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state="hidden" r:id="rId47"/>
    <sheet name="Sheet1" sheetId="82" r:id="rId48"/>
  </sheets>
  <externalReferences>
    <externalReference r:id="rId49"/>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I7" i="34"/>
  <c r="G7" i="34"/>
  <c r="E7" i="34"/>
  <c r="C6" i="68"/>
  <c r="I41" i="39" l="1"/>
  <c r="G41" i="39"/>
  <c r="E41" i="39"/>
  <c r="I38" i="39"/>
  <c r="G38" i="39"/>
  <c r="E38" i="39"/>
  <c r="C38" i="39"/>
  <c r="I34" i="39"/>
  <c r="G34" i="39"/>
  <c r="E34" i="39"/>
  <c r="F2" i="81"/>
  <c r="C11" i="39"/>
  <c r="I7" i="39"/>
  <c r="G7" i="39"/>
  <c r="E7" i="39"/>
  <c r="I5" i="39"/>
  <c r="G5" i="39"/>
  <c r="E5" i="39"/>
  <c r="G62" i="43"/>
  <c r="G63" i="43"/>
  <c r="G64" i="43"/>
  <c r="G65" i="43"/>
  <c r="G66" i="43"/>
  <c r="G67" i="43"/>
  <c r="G68" i="43"/>
  <c r="G69" i="43"/>
  <c r="G61" i="43"/>
  <c r="X21" i="1"/>
  <c r="X22" i="1"/>
  <c r="X23" i="1"/>
  <c r="X20" i="1"/>
  <c r="X24" i="1" s="1"/>
  <c r="W24" i="1" s="1"/>
  <c r="V24" i="1"/>
  <c r="B21" i="1" l="1"/>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X32"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C30" i="71"/>
  <c r="X31" i="71"/>
  <c r="AA32" i="71"/>
  <c r="C34" i="71"/>
  <c r="C35" i="71" s="1"/>
  <c r="Y33" i="71"/>
  <c r="Z33" i="71" s="1"/>
  <c r="AB33" i="71"/>
  <c r="X34" i="71"/>
  <c r="AA34" i="71"/>
  <c r="X35" i="71"/>
  <c r="AA35" i="71"/>
  <c r="X36" i="71"/>
  <c r="AA36" i="71"/>
  <c r="C38" i="71"/>
  <c r="C39" i="71" s="1"/>
  <c r="Y37" i="71"/>
  <c r="Z37" i="71" s="1"/>
  <c r="AB37" i="71"/>
  <c r="X38" i="71"/>
  <c r="AA38" i="71"/>
  <c r="F51" i="71"/>
  <c r="F52" i="71"/>
  <c r="V52" i="71" s="1"/>
  <c r="C28" i="71"/>
  <c r="C27" i="71" s="1"/>
  <c r="Y25" i="71"/>
  <c r="Z25" i="71" s="1"/>
  <c r="Y26" i="71"/>
  <c r="Z26" i="71" s="1"/>
  <c r="Y27" i="71"/>
  <c r="Z27" i="71" s="1"/>
  <c r="Y28" i="71"/>
  <c r="Z28" i="71" s="1"/>
  <c r="B28" i="71"/>
  <c r="B27" i="71" s="1"/>
  <c r="B26" i="71" s="1"/>
  <c r="X25" i="71"/>
  <c r="X26" i="71"/>
  <c r="X27" i="71"/>
  <c r="X28" i="71"/>
  <c r="C31" i="71"/>
  <c r="D30" i="71"/>
  <c r="D34" i="71"/>
  <c r="D38" i="71"/>
  <c r="P28" i="71"/>
  <c r="AA3" i="71" s="1"/>
  <c r="E59" i="71"/>
  <c r="E60" i="71" s="1"/>
  <c r="U60" i="71" s="1"/>
  <c r="E63" i="71"/>
  <c r="E64" i="71"/>
  <c r="U64" i="71" s="1"/>
  <c r="Q65" i="71"/>
  <c r="U68" i="71"/>
  <c r="E67" i="71"/>
  <c r="Q28" i="71"/>
  <c r="F28" i="71" s="1"/>
  <c r="F27" i="71" s="1"/>
  <c r="F26"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D83" i="71" s="1"/>
  <c r="C87" i="71"/>
  <c r="C86" i="71" s="1"/>
  <c r="D86" i="71" s="1"/>
  <c r="T28" i="71"/>
  <c r="S28" i="71"/>
  <c r="AB26" i="71"/>
  <c r="AB28" i="71"/>
  <c r="E28" i="71"/>
  <c r="E27" i="71" s="1"/>
  <c r="E26" i="71" s="1"/>
  <c r="AA25" i="71"/>
  <c r="AA26" i="71"/>
  <c r="AA27" i="71"/>
  <c r="AA28" i="71"/>
  <c r="D28" i="71"/>
  <c r="U28" i="71" s="1"/>
  <c r="C66" i="71"/>
  <c r="D66" i="71" s="1"/>
  <c r="O67" i="71"/>
  <c r="D67" i="71"/>
  <c r="C64" i="71"/>
  <c r="D64" i="71" s="1"/>
  <c r="D63" i="71"/>
  <c r="C82" i="71"/>
  <c r="D82" i="71" s="1"/>
  <c r="D75" i="71"/>
  <c r="C74" i="71"/>
  <c r="D74" i="71" s="1"/>
  <c r="D87" i="71"/>
  <c r="D79" i="71"/>
  <c r="C78" i="71"/>
  <c r="D78" i="71"/>
  <c r="D71" i="71"/>
  <c r="C70" i="71"/>
  <c r="D70" i="71" s="1"/>
  <c r="C60" i="71"/>
  <c r="T60" i="71" s="1"/>
  <c r="D59" i="71"/>
  <c r="C56" i="71"/>
  <c r="T56" i="71" s="1"/>
  <c r="D55" i="71"/>
  <c r="P67" i="71"/>
  <c r="E66" i="71"/>
  <c r="P65" i="71" s="1"/>
  <c r="C32" i="71"/>
  <c r="T32" i="71" s="1"/>
  <c r="D31" i="71"/>
  <c r="P66" i="71"/>
  <c r="O66" i="71"/>
  <c r="O65" i="71"/>
  <c r="D32" i="71"/>
  <c r="D56"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F94" i="40"/>
  <c r="H25" i="40"/>
  <c r="AB25" i="40" s="1"/>
  <c r="G94" i="40"/>
  <c r="J25" i="40"/>
  <c r="AC25" i="40" s="1"/>
  <c r="H29" i="39"/>
  <c r="AB29" i="39" s="1"/>
  <c r="J29" i="39"/>
  <c r="AC29" i="39" s="1"/>
  <c r="J18" i="36"/>
  <c r="AC18" i="36" s="1"/>
  <c r="F68" i="35"/>
  <c r="G68" i="35"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4" i="43"/>
  <c r="D51"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6" i="35"/>
  <c r="W22" i="35"/>
  <c r="S31" i="35"/>
  <c r="F36" i="34"/>
  <c r="J35" i="34"/>
  <c r="H39" i="33"/>
  <c r="AB39" i="33" s="1"/>
  <c r="F26" i="33"/>
  <c r="U33" i="33"/>
  <c r="S40"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H36" i="34"/>
  <c r="U36" i="34" s="1"/>
  <c r="F37" i="34"/>
  <c r="AA37" i="34" s="1"/>
  <c r="S35" i="34"/>
  <c r="F28" i="34"/>
  <c r="AA28" i="34"/>
  <c r="F25" i="34"/>
  <c r="S25" i="34"/>
  <c r="H23" i="34"/>
  <c r="U23" i="34" s="1"/>
  <c r="J23" i="34"/>
  <c r="W23" i="34" s="1"/>
  <c r="F19" i="34"/>
  <c r="S19" i="34" s="1"/>
  <c r="H17" i="34"/>
  <c r="U17" i="34"/>
  <c r="F15" i="34"/>
  <c r="AA15" i="34" s="1"/>
  <c r="J15" i="34"/>
  <c r="AC15" i="34" s="1"/>
  <c r="H15" i="34"/>
  <c r="AB15"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B17"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30" i="33"/>
  <c r="AB30" i="33" s="1"/>
  <c r="F30" i="33"/>
  <c r="H44" i="33"/>
  <c r="J29" i="34"/>
  <c r="J25" i="36"/>
  <c r="W25" i="36"/>
  <c r="F25" i="36"/>
  <c r="S25" i="36"/>
  <c r="H25" i="36"/>
  <c r="AB25" i="36"/>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AB46" i="34"/>
  <c r="AC30" i="34"/>
  <c r="AA14" i="34"/>
  <c r="S45" i="33"/>
  <c r="AB45" i="33"/>
  <c r="AB31" i="33"/>
  <c r="U31" i="33"/>
  <c r="W29" i="33"/>
  <c r="S44" i="34"/>
  <c r="BA585" i="3"/>
  <c r="F17" i="21"/>
  <c r="AA17" i="21" s="1"/>
  <c r="H17" i="21"/>
  <c r="AB17" i="21" s="1"/>
  <c r="F15" i="21"/>
  <c r="S15" i="21" s="1"/>
  <c r="J41" i="39"/>
  <c r="W41" i="39" s="1"/>
  <c r="AC45" i="39"/>
  <c r="W35" i="39"/>
  <c r="S35"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BA554" i="3"/>
  <c r="AZ554" i="3" s="1"/>
  <c r="BA552" i="3"/>
  <c r="BA548" i="3"/>
  <c r="BA544" i="3"/>
  <c r="AZ544" i="3" s="1"/>
  <c r="BA542" i="3"/>
  <c r="BA540" i="3"/>
  <c r="BA538" i="3"/>
  <c r="BA536" i="3"/>
  <c r="BA534" i="3"/>
  <c r="AZ534" i="3" s="1"/>
  <c r="BA532" i="3"/>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77" i="3"/>
  <c r="BA573" i="3"/>
  <c r="BA569" i="3"/>
  <c r="BA565" i="3"/>
  <c r="BA561" i="3"/>
  <c r="BA555" i="3"/>
  <c r="BA549" i="3"/>
  <c r="BA545" i="3"/>
  <c r="BA541"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7" i="3"/>
  <c r="G563" i="3"/>
  <c r="BL558" i="3"/>
  <c r="AC557" i="3"/>
  <c r="G557" i="3" s="1"/>
  <c r="BQ557" i="3"/>
  <c r="BL557" i="3" s="1"/>
  <c r="BQ583" i="3"/>
  <c r="BL583" i="3" s="1"/>
  <c r="BQ581" i="3"/>
  <c r="BQ579" i="3"/>
  <c r="BQ577" i="3"/>
  <c r="BL577" i="3" s="1"/>
  <c r="BQ575" i="3"/>
  <c r="BQ573" i="3"/>
  <c r="BL573" i="3"/>
  <c r="BQ571" i="3"/>
  <c r="BQ569" i="3"/>
  <c r="BL569" i="3" s="1"/>
  <c r="BQ567" i="3"/>
  <c r="BQ565" i="3"/>
  <c r="BL565" i="3"/>
  <c r="BQ563" i="3"/>
  <c r="BQ561" i="3"/>
  <c r="BQ559" i="3"/>
  <c r="BL559" i="3"/>
  <c r="G559" i="3"/>
  <c r="G553" i="3"/>
  <c r="G547" i="3"/>
  <c r="G543" i="3"/>
  <c r="G539" i="3"/>
  <c r="G537" i="3"/>
  <c r="BQ555" i="3"/>
  <c r="BQ553" i="3"/>
  <c r="BL553" i="3" s="1"/>
  <c r="BQ551" i="3"/>
  <c r="BQ549" i="3"/>
  <c r="BQ547" i="3"/>
  <c r="BL547" i="3" s="1"/>
  <c r="BQ545" i="3"/>
  <c r="BQ543" i="3"/>
  <c r="BL543" i="3"/>
  <c r="BQ541" i="3"/>
  <c r="BL541" i="3" s="1"/>
  <c r="AZ541" i="3" s="1"/>
  <c r="BQ539" i="3"/>
  <c r="BL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W14" i="37"/>
  <c r="U33" i="37"/>
  <c r="U39" i="37"/>
  <c r="AA13" i="33"/>
  <c r="AC31"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U40" i="39"/>
  <c r="S42" i="39"/>
  <c r="AA41" i="39"/>
  <c r="W9"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BL549" i="3"/>
  <c r="AZ549" i="3" s="1"/>
  <c r="AZ494" i="3"/>
  <c r="AZ502"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39" i="3"/>
  <c r="AZ47" i="3"/>
  <c r="AZ59" i="3"/>
  <c r="AZ63" i="3"/>
  <c r="AZ75" i="3"/>
  <c r="AZ79" i="3"/>
  <c r="AZ152" i="3"/>
  <c r="AZ160" i="3"/>
  <c r="AZ168" i="3"/>
  <c r="AZ184" i="3"/>
  <c r="AZ192" i="3"/>
  <c r="AZ200" i="3"/>
  <c r="AZ93"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AZ327" i="3" s="1"/>
  <c r="G328" i="3"/>
  <c r="BA330" i="3"/>
  <c r="AZ330" i="3"/>
  <c r="BL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87"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BA15" i="3"/>
  <c r="AZ15" i="3" s="1"/>
  <c r="BB5" i="3"/>
  <c r="BR5" i="3"/>
  <c r="AZ380" i="3"/>
  <c r="AZ388" i="3"/>
  <c r="G509" i="3"/>
  <c r="BL493" i="3"/>
  <c r="AZ493" i="3" s="1"/>
  <c r="AZ390" i="3"/>
  <c r="U36" i="40"/>
  <c r="F83" i="43"/>
  <c r="H85" i="43" s="1"/>
  <c r="F50" i="43"/>
  <c r="H54" i="43" s="1"/>
  <c r="G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48" i="3"/>
  <c r="AZ259" i="3"/>
  <c r="AZ280" i="3"/>
  <c r="AZ288" i="3"/>
  <c r="AZ117" i="3"/>
  <c r="AZ133" i="3"/>
  <c r="AZ21" i="3"/>
  <c r="AZ37" i="3"/>
  <c r="AZ58" i="3"/>
  <c r="AZ61"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Z412" i="3"/>
  <c r="AZ417" i="3"/>
  <c r="AZ428" i="3"/>
  <c r="AZ433" i="3"/>
  <c r="AZ465" i="3"/>
  <c r="AA32" i="36"/>
  <c r="S32" i="36"/>
  <c r="AZ457" i="3"/>
  <c r="AZ473" i="3"/>
  <c r="AZ490" i="3"/>
  <c r="F28" i="6"/>
  <c r="BL14" i="3"/>
  <c r="U30" i="33"/>
  <c r="F12" i="33"/>
  <c r="H12" i="39"/>
  <c r="AB12" i="39" s="1"/>
  <c r="F39" i="40"/>
  <c r="BA14" i="3"/>
  <c r="AZ14" i="3" s="1"/>
  <c r="AZ367" i="3"/>
  <c r="AZ224" i="3"/>
  <c r="AZ238" i="3"/>
  <c r="AZ250" i="3"/>
  <c r="AZ281" i="3"/>
  <c r="AZ286" i="3"/>
  <c r="AZ297" i="3"/>
  <c r="AZ157" i="3"/>
  <c r="AZ165" i="3"/>
  <c r="AZ181" i="3"/>
  <c r="AZ197" i="3"/>
  <c r="AZ19" i="3"/>
  <c r="AZ26" i="3"/>
  <c r="AZ41" i="3"/>
  <c r="B12" i="1"/>
  <c r="E12" i="1" s="1"/>
  <c r="B10" i="1"/>
  <c r="E10" i="1" s="1"/>
  <c r="AZ88"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J21" i="39"/>
  <c r="W21" i="39" s="1"/>
  <c r="F21" i="39"/>
  <c r="H21" i="39"/>
  <c r="AB21" i="39" s="1"/>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AC29" i="37"/>
  <c r="U29" i="37"/>
  <c r="S32" i="37"/>
  <c r="AB31" i="37"/>
  <c r="W30" i="37"/>
  <c r="S36" i="37"/>
  <c r="U32" i="37"/>
  <c r="AC35" i="37"/>
  <c r="S30" i="37"/>
  <c r="S37" i="37"/>
  <c r="AC15" i="37"/>
  <c r="J17" i="37"/>
  <c r="W17" i="37" s="1"/>
  <c r="F17" i="37"/>
  <c r="AA17" i="37" s="1"/>
  <c r="AB17" i="37"/>
  <c r="F19" i="37"/>
  <c r="F23" i="37"/>
  <c r="S23" i="37" s="1"/>
  <c r="U23" i="37"/>
  <c r="U15" i="37"/>
  <c r="AC13" i="37"/>
  <c r="AA13" i="37"/>
  <c r="H10" i="37"/>
  <c r="AB10" i="37" s="1"/>
  <c r="F63" i="37"/>
  <c r="F11" i="37"/>
  <c r="S11" i="37" s="1"/>
  <c r="W25" i="34"/>
  <c r="AA33" i="34"/>
  <c r="U44" i="34"/>
  <c r="U43" i="34"/>
  <c r="AC39" i="34"/>
  <c r="W41" i="34"/>
  <c r="AC42" i="34"/>
  <c r="AB35" i="34"/>
  <c r="U39" i="34"/>
  <c r="AB41" i="34"/>
  <c r="AA25" i="34"/>
  <c r="U28" i="34"/>
  <c r="S17" i="34"/>
  <c r="U27" i="34"/>
  <c r="S2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23" i="21"/>
  <c r="S23" i="21"/>
  <c r="E85" i="21"/>
  <c r="D120" i="9"/>
  <c r="D121" i="9" s="1"/>
  <c r="D7" i="52"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U38" i="39"/>
  <c r="S8" i="39"/>
  <c r="S20" i="36"/>
  <c r="AC25" i="36"/>
  <c r="U32" i="36"/>
  <c r="W29" i="36"/>
  <c r="AC20" i="36"/>
  <c r="U25" i="36"/>
  <c r="AB28" i="36"/>
  <c r="AA13" i="36"/>
  <c r="W9" i="36"/>
  <c r="W22" i="36"/>
  <c r="W23" i="36"/>
  <c r="S9" i="36"/>
  <c r="AB20" i="35"/>
  <c r="S24" i="35"/>
  <c r="U24" i="35"/>
  <c r="AA16" i="35"/>
  <c r="AA35" i="37"/>
  <c r="W36" i="37"/>
  <c r="S27" i="37"/>
  <c r="W32" i="37"/>
  <c r="U36" i="37"/>
  <c r="S40" i="37"/>
  <c r="AB37" i="37"/>
  <c r="AC34" i="37"/>
  <c r="AB35" i="37"/>
  <c r="AA31" i="37"/>
  <c r="U19" i="37"/>
  <c r="AA29" i="37"/>
  <c r="U8" i="37"/>
  <c r="AB40" i="34"/>
  <c r="U19" i="34"/>
  <c r="W19" i="34"/>
  <c r="AA30" i="34"/>
  <c r="U25" i="34"/>
  <c r="AB36" i="34"/>
  <c r="W33" i="34"/>
  <c r="AC14" i="34"/>
  <c r="AC32" i="34"/>
  <c r="AC29" i="34"/>
  <c r="W29" i="34"/>
  <c r="W46" i="34"/>
  <c r="AC46" i="34"/>
  <c r="S32" i="34"/>
  <c r="AA32" i="34"/>
  <c r="U30" i="34"/>
  <c r="AB30" i="34"/>
  <c r="S37" i="34"/>
  <c r="U38" i="34"/>
  <c r="AC40" i="34"/>
  <c r="W40" i="34"/>
  <c r="AA19" i="34"/>
  <c r="AA36" i="34"/>
  <c r="S36" i="34"/>
  <c r="AA8" i="34"/>
  <c r="S8" i="34"/>
  <c r="S46" i="34"/>
  <c r="AA46" i="34"/>
  <c r="U32" i="34"/>
  <c r="AB32" i="34"/>
  <c r="U14" i="34"/>
  <c r="AB14" i="34"/>
  <c r="AC43" i="34"/>
  <c r="W4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AB32" i="21" s="1"/>
  <c r="H9" i="21"/>
  <c r="J9" i="21"/>
  <c r="W9" i="21" s="1"/>
  <c r="J32" i="21"/>
  <c r="W32" i="21" s="1"/>
  <c r="F32" i="21"/>
  <c r="AA32" i="21" s="1"/>
  <c r="U17" i="21"/>
  <c r="W29" i="21"/>
  <c r="S19" i="21"/>
  <c r="K141" i="21"/>
  <c r="K144" i="21"/>
  <c r="K143" i="21"/>
  <c r="U27" i="21"/>
  <c r="AB25" i="21"/>
  <c r="AB44" i="21"/>
  <c r="W13" i="21"/>
  <c r="W42" i="21"/>
  <c r="F10" i="21"/>
  <c r="AA10" i="21" s="1"/>
  <c r="K145" i="21"/>
  <c r="W17" i="21"/>
  <c r="W25" i="21"/>
  <c r="AA29"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J19" i="37"/>
  <c r="AC19" i="37" s="1"/>
  <c r="S19" i="37"/>
  <c r="AA19" i="37"/>
  <c r="AA23" i="37"/>
  <c r="J23" i="37"/>
  <c r="J10" i="37"/>
  <c r="W10" i="37" s="1"/>
  <c r="G63" i="37"/>
  <c r="H11" i="37"/>
  <c r="AB11" i="37" s="1"/>
  <c r="G70" i="34"/>
  <c r="H11" i="34"/>
  <c r="U11" i="34" s="1"/>
  <c r="J10" i="34"/>
  <c r="AC10" i="34" s="1"/>
  <c r="AB41" i="33"/>
  <c r="U41" i="33"/>
  <c r="AC35" i="33"/>
  <c r="J36" i="33"/>
  <c r="W36" i="33" s="1"/>
  <c r="H36" i="33"/>
  <c r="U36" i="33" s="1"/>
  <c r="S36" i="33"/>
  <c r="AC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G79" i="33"/>
  <c r="H17" i="33"/>
  <c r="AB17" i="33" s="1"/>
  <c r="F17" i="33"/>
  <c r="W17" i="33"/>
  <c r="S37" i="21"/>
  <c r="AA23" i="21"/>
  <c r="AB15" i="21"/>
  <c r="J23" i="21"/>
  <c r="F85" i="21"/>
  <c r="G85" i="21" s="1"/>
  <c r="H23" i="21"/>
  <c r="AB23" i="21" s="1"/>
  <c r="D6" i="52"/>
  <c r="AP7" i="1"/>
  <c r="AB45" i="21"/>
  <c r="AB9" i="21"/>
  <c r="U9" i="21"/>
  <c r="S32" i="21"/>
  <c r="AC9" i="21"/>
  <c r="U32" i="21"/>
  <c r="U32" i="39"/>
  <c r="AC32" i="39"/>
  <c r="W19" i="37"/>
  <c r="W23" i="37"/>
  <c r="AC23" i="37"/>
  <c r="H63" i="37"/>
  <c r="I63" i="37" s="1"/>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AC23" i="21"/>
  <c r="W23" i="21"/>
  <c r="H109" i="9"/>
  <c r="M49" i="9" s="1"/>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7" i="73"/>
  <c r="E10" i="76"/>
  <c r="F6" i="15"/>
  <c r="D6" i="73"/>
  <c r="D3" i="73"/>
  <c r="M28" i="15"/>
  <c r="F43" i="15"/>
  <c r="B7" i="76"/>
  <c r="L47" i="15"/>
  <c r="F3" i="73"/>
  <c r="F16" i="15"/>
  <c r="B10" i="76"/>
  <c r="E8" i="76"/>
  <c r="F36" i="15"/>
  <c r="E9" i="76"/>
  <c r="F26" i="67"/>
  <c r="M24" i="67"/>
  <c r="B12" i="76"/>
  <c r="E2" i="68"/>
  <c r="F9" i="15"/>
  <c r="J15" i="15"/>
  <c r="E11" i="76"/>
  <c r="F42" i="15"/>
  <c r="F42" i="67"/>
  <c r="M23" i="15"/>
  <c r="E7" i="76"/>
  <c r="AO13" i="1"/>
  <c r="M8" i="67"/>
  <c r="F4" i="73"/>
  <c r="E13" i="76"/>
  <c r="F37" i="67"/>
  <c r="M23" i="67"/>
  <c r="B8" i="76"/>
  <c r="C76" i="67"/>
  <c r="M6" i="15"/>
  <c r="F8" i="67"/>
  <c r="M29" i="67"/>
  <c r="M22" i="67"/>
  <c r="F7" i="67"/>
  <c r="F5" i="73"/>
  <c r="M26" i="15"/>
  <c r="M6" i="67"/>
  <c r="B13" i="76"/>
  <c r="B9" i="76"/>
  <c r="D5" i="73"/>
  <c r="F40" i="67"/>
  <c r="F20" i="31"/>
  <c r="M29" i="15"/>
  <c r="F13" i="15"/>
  <c r="M9" i="15"/>
  <c r="F6" i="73"/>
  <c r="D7" i="73"/>
  <c r="E12" i="76"/>
  <c r="E2" i="69"/>
  <c r="M22" i="15"/>
  <c r="B11" i="76"/>
  <c r="F6" i="67"/>
  <c r="AB8" i="34" l="1"/>
  <c r="U34" i="34"/>
  <c r="AA40" i="34"/>
  <c r="AC36" i="34"/>
  <c r="AB23" i="34"/>
  <c r="U21" i="34"/>
  <c r="S21" i="34"/>
  <c r="U15" i="34"/>
  <c r="W15" i="34"/>
  <c r="W9" i="34"/>
  <c r="W8" i="34"/>
  <c r="U41" i="39"/>
  <c r="W34" i="39"/>
  <c r="S34" i="39"/>
  <c r="W27" i="39"/>
  <c r="S23" i="39"/>
  <c r="U21" i="39"/>
  <c r="W19" i="39"/>
  <c r="S19" i="39"/>
  <c r="W8" i="39"/>
  <c r="C18" i="9"/>
  <c r="D18" i="9" s="1"/>
  <c r="H50" i="43"/>
  <c r="G50" i="43" s="1"/>
  <c r="K50" i="43" s="1"/>
  <c r="J50" i="43" s="1"/>
  <c r="U9" i="34"/>
  <c r="AB9" i="34"/>
  <c r="W12" i="35"/>
  <c r="AC12" i="35"/>
  <c r="AC39" i="37"/>
  <c r="W39" i="37"/>
  <c r="W27" i="21"/>
  <c r="AC27" i="21"/>
  <c r="AA9" i="21"/>
  <c r="S9" i="21"/>
  <c r="AB36" i="35"/>
  <c r="U36" i="35"/>
  <c r="M54" i="43"/>
  <c r="N54" i="43" s="1"/>
  <c r="K54" i="43"/>
  <c r="J54" i="43" s="1"/>
  <c r="AZ511" i="3"/>
  <c r="AZ515" i="3"/>
  <c r="AZ519" i="3"/>
  <c r="AZ565" i="3"/>
  <c r="AZ573" i="3"/>
  <c r="BL586" i="3"/>
  <c r="B73" i="43"/>
  <c r="B79" i="43"/>
  <c r="B76" i="43"/>
  <c r="B75" i="43"/>
  <c r="F12" i="34"/>
  <c r="F12" i="35"/>
  <c r="G581" i="3"/>
  <c r="G580" i="3"/>
  <c r="G570" i="3"/>
  <c r="G569" i="3"/>
  <c r="G565" i="3"/>
  <c r="G564" i="3"/>
  <c r="G556" i="3"/>
  <c r="G555" i="3"/>
  <c r="G554" i="3"/>
  <c r="M50" i="43"/>
  <c r="N50" i="43" s="1"/>
  <c r="U23" i="21"/>
  <c r="D20" i="71"/>
  <c r="U20" i="71" s="1"/>
  <c r="T20" i="71"/>
  <c r="AB36" i="33"/>
  <c r="S13" i="21"/>
  <c r="S17" i="37"/>
  <c r="AB33" i="34"/>
  <c r="AA35" i="33"/>
  <c r="S43" i="34"/>
  <c r="AA27" i="40"/>
  <c r="AB27" i="40"/>
  <c r="AA39" i="34"/>
  <c r="F29" i="6"/>
  <c r="AZ361" i="3"/>
  <c r="AZ347" i="3"/>
  <c r="AZ344" i="3"/>
  <c r="AZ313" i="3"/>
  <c r="AZ378" i="3"/>
  <c r="S11" i="39"/>
  <c r="U43" i="33"/>
  <c r="AZ497" i="3"/>
  <c r="AZ501" i="3"/>
  <c r="AZ525" i="3"/>
  <c r="AZ533" i="3"/>
  <c r="AZ504" i="3"/>
  <c r="AZ508" i="3"/>
  <c r="AZ512" i="3"/>
  <c r="AZ520" i="3"/>
  <c r="AZ542" i="3"/>
  <c r="AZ548" i="3"/>
  <c r="AZ558" i="3"/>
  <c r="S11" i="36"/>
  <c r="BA550" i="3"/>
  <c r="BL540" i="3"/>
  <c r="AZ540" i="3" s="1"/>
  <c r="BA539" i="3"/>
  <c r="AZ539" i="3" s="1"/>
  <c r="BL538" i="3"/>
  <c r="AZ538" i="3" s="1"/>
  <c r="G549" i="3"/>
  <c r="G526" i="3"/>
  <c r="BL16" i="3"/>
  <c r="AZ16" i="3" s="1"/>
  <c r="G6" i="1"/>
  <c r="I24" i="43"/>
  <c r="C24" i="43" s="1"/>
  <c r="G399" i="3"/>
  <c r="BL399" i="3"/>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BL346" i="3"/>
  <c r="AZ346" i="3" s="1"/>
  <c r="AZ399" i="3"/>
  <c r="AZ411" i="3"/>
  <c r="AZ414" i="3"/>
  <c r="AZ419" i="3"/>
  <c r="AZ429" i="3"/>
  <c r="AZ435" i="3"/>
  <c r="AZ439" i="3"/>
  <c r="AZ451" i="3"/>
  <c r="AZ458" i="3"/>
  <c r="AZ462" i="3"/>
  <c r="AZ466" i="3"/>
  <c r="AZ469" i="3"/>
  <c r="AZ472" i="3"/>
  <c r="AZ475" i="3"/>
  <c r="AZ483" i="3"/>
  <c r="AZ316" i="3"/>
  <c r="AZ332"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AZ2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AZ247" i="3"/>
  <c r="AZ264" i="3"/>
  <c r="AZ282" i="3"/>
  <c r="AZ289" i="3"/>
  <c r="G160" i="3"/>
  <c r="BL162" i="3"/>
  <c r="AZ162"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G37" i="3"/>
  <c r="G38" i="3"/>
  <c r="BL38" i="3"/>
  <c r="G41" i="3"/>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AZ95"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C40" i="71"/>
  <c r="D39" i="71"/>
  <c r="C51" i="71"/>
  <c r="D50" i="71"/>
  <c r="AA30" i="71"/>
  <c r="AA33" i="71"/>
  <c r="S21" i="37"/>
  <c r="C29" i="39"/>
  <c r="B68" i="43"/>
  <c r="B77" i="43"/>
  <c r="AB27" i="71"/>
  <c r="AB25" i="71"/>
  <c r="AB29" i="71"/>
  <c r="X29" i="71"/>
  <c r="AB31" i="71"/>
  <c r="F35" i="71"/>
  <c r="F36" i="71" s="1"/>
  <c r="V36" i="71" s="1"/>
  <c r="X33" i="71"/>
  <c r="AB35" i="71"/>
  <c r="F39" i="71"/>
  <c r="F40" i="71" s="1"/>
  <c r="V40" i="71" s="1"/>
  <c r="B55" i="71"/>
  <c r="B56" i="71" s="1"/>
  <c r="S56" i="71" s="1"/>
  <c r="V24" i="71"/>
  <c r="C28" i="67"/>
  <c r="C40" i="69"/>
  <c r="E19" i="71"/>
  <c r="E18" i="71" s="1"/>
  <c r="E17" i="71" s="1"/>
  <c r="E16" i="71" s="1"/>
  <c r="V20" i="71"/>
  <c r="AZ521" i="3"/>
  <c r="D17" i="71"/>
  <c r="C16" i="71"/>
  <c r="M23" i="43" s="1"/>
  <c r="D19" i="53"/>
  <c r="B38" i="72" s="1"/>
  <c r="D16" i="53"/>
  <c r="B34" i="72" s="1"/>
  <c r="G28" i="6"/>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BA547" i="3"/>
  <c r="AZ547" i="3" s="1"/>
  <c r="BL546" i="3"/>
  <c r="BA546" i="3"/>
  <c r="BL545" i="3"/>
  <c r="AZ545" i="3" s="1"/>
  <c r="BA543" i="3"/>
  <c r="AZ543" i="3" s="1"/>
  <c r="AZ409" i="3"/>
  <c r="G5" i="3"/>
  <c r="B3" i="3" s="1"/>
  <c r="E77" i="3" s="1"/>
  <c r="AZ569" i="3"/>
  <c r="AZ577" i="3"/>
  <c r="AZ583" i="3"/>
  <c r="AZ532" i="3"/>
  <c r="AZ536" i="3"/>
  <c r="AZ556" i="3"/>
  <c r="AB26" i="33"/>
  <c r="W11" i="35"/>
  <c r="AC11" i="35"/>
  <c r="AA26" i="33"/>
  <c r="S26" i="33"/>
  <c r="BL585" i="3"/>
  <c r="AZ585" i="3" s="1"/>
  <c r="H28" i="21"/>
  <c r="F28" i="21"/>
  <c r="J28" i="21"/>
  <c r="H31" i="21"/>
  <c r="J31" i="21"/>
  <c r="F31" i="21"/>
  <c r="F9" i="33"/>
  <c r="AA9" i="33" s="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L581" i="3"/>
  <c r="BA581" i="3"/>
  <c r="BA580" i="3"/>
  <c r="AZ580" i="3" s="1"/>
  <c r="BL579" i="3"/>
  <c r="BA579" i="3"/>
  <c r="BL578" i="3"/>
  <c r="BA578" i="3"/>
  <c r="BL568" i="3"/>
  <c r="BA568" i="3"/>
  <c r="BL567" i="3"/>
  <c r="BA567" i="3"/>
  <c r="BA566" i="3"/>
  <c r="AZ566" i="3" s="1"/>
  <c r="BA564" i="3"/>
  <c r="AZ564" i="3" s="1"/>
  <c r="BL563" i="3"/>
  <c r="BA563" i="3"/>
  <c r="BL562" i="3"/>
  <c r="BA562" i="3"/>
  <c r="BL555" i="3"/>
  <c r="AZ555" i="3" s="1"/>
  <c r="BA553" i="3"/>
  <c r="AZ553" i="3" s="1"/>
  <c r="BL552" i="3"/>
  <c r="AZ552" i="3" s="1"/>
  <c r="BL551" i="3"/>
  <c r="BL550" i="3"/>
  <c r="AZ550" i="3" s="1"/>
  <c r="AZ420" i="3"/>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8" i="3"/>
  <c r="AZ48" i="3"/>
  <c r="AZ60" i="3"/>
  <c r="AZ64" i="3"/>
  <c r="AZ78" i="3"/>
  <c r="AZ91" i="3"/>
  <c r="AZ98" i="3"/>
  <c r="AZ104" i="3"/>
  <c r="AZ108" i="3"/>
  <c r="C26" i="71"/>
  <c r="D26" i="71" s="1"/>
  <c r="D27" i="71"/>
  <c r="D35" i="71"/>
  <c r="C36" i="71"/>
  <c r="C43" i="71"/>
  <c r="D42" i="71"/>
  <c r="C47" i="71"/>
  <c r="D47" i="71" s="1"/>
  <c r="D46" i="71"/>
  <c r="AB21" i="21"/>
  <c r="AC21" i="34"/>
  <c r="U18" i="36"/>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V28" i="71"/>
  <c r="AA31" i="71"/>
  <c r="X9" i="71"/>
  <c r="X10" i="71"/>
  <c r="Y39" i="71"/>
  <c r="Z39" i="71" s="1"/>
  <c r="AA39" i="71"/>
  <c r="AB9" i="71"/>
  <c r="AB10" i="71"/>
  <c r="AB24" i="71"/>
  <c r="AA23" i="71"/>
  <c r="AA22" i="71"/>
  <c r="Y18" i="71"/>
  <c r="Z18" i="71" s="1"/>
  <c r="X18" i="71"/>
  <c r="AA18" i="71"/>
  <c r="X14" i="71"/>
  <c r="AA12"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F65" i="67"/>
  <c r="F71" i="15"/>
  <c r="L59" i="15"/>
  <c r="N59" i="15"/>
  <c r="M59" i="15"/>
  <c r="Q71" i="67"/>
  <c r="F64" i="15"/>
  <c r="C27" i="67"/>
  <c r="B13" i="70"/>
  <c r="M7" i="67"/>
  <c r="F50" i="67"/>
  <c r="F68" i="67"/>
  <c r="C36" i="68"/>
  <c r="D9" i="69"/>
  <c r="F27" i="69"/>
  <c r="C36" i="69"/>
  <c r="D9" i="68"/>
  <c r="M26" i="67"/>
  <c r="F13" i="67"/>
  <c r="F38" i="67"/>
  <c r="F16" i="67"/>
  <c r="C16" i="15"/>
  <c r="F26" i="15"/>
  <c r="D4" i="73"/>
  <c r="L48" i="67"/>
  <c r="L47" i="67"/>
  <c r="F43" i="67"/>
  <c r="M24" i="15"/>
  <c r="C76" i="15"/>
  <c r="M9" i="67"/>
  <c r="M28" i="67"/>
  <c r="J15" i="67"/>
  <c r="F36" i="67"/>
  <c r="M8" i="15"/>
  <c r="F7" i="15"/>
  <c r="G1" i="73"/>
  <c r="L48" i="15"/>
  <c r="F37" i="15"/>
  <c r="F38" i="15"/>
  <c r="F40" i="15"/>
  <c r="F9" i="67"/>
  <c r="F8" i="15"/>
  <c r="F51" i="15" l="1"/>
  <c r="C6" i="15"/>
  <c r="F50" i="15"/>
  <c r="M7" i="15"/>
  <c r="J6" i="15" s="1"/>
  <c r="J18" i="15" s="1"/>
  <c r="F65" i="15"/>
  <c r="F71" i="67"/>
  <c r="F64" i="67"/>
  <c r="J57" i="67"/>
  <c r="J55" i="67" s="1"/>
  <c r="J58" i="67" s="1"/>
  <c r="Q50" i="67" s="1"/>
  <c r="I54" i="67"/>
  <c r="J53" i="67"/>
  <c r="F1" i="67" s="1"/>
  <c r="L56" i="67"/>
  <c r="F66" i="15"/>
  <c r="C6" i="67"/>
  <c r="C32" i="67" s="1"/>
  <c r="F66" i="67"/>
  <c r="C27" i="15"/>
  <c r="J57" i="15"/>
  <c r="J55" i="15" s="1"/>
  <c r="J58" i="15" s="1"/>
  <c r="Q50" i="15" s="1"/>
  <c r="J53" i="15"/>
  <c r="L56" i="15" s="1"/>
  <c r="I54" i="15"/>
  <c r="L58" i="15"/>
  <c r="Q60" i="15" s="1"/>
  <c r="N59" i="67"/>
  <c r="L58" i="67"/>
  <c r="Q60" i="67" s="1"/>
  <c r="M59" i="67"/>
  <c r="L59" i="67"/>
  <c r="Q61" i="67" s="1"/>
  <c r="F68" i="15"/>
  <c r="Q71" i="15"/>
  <c r="J6" i="67"/>
  <c r="J18" i="67" s="1"/>
  <c r="K57" i="43"/>
  <c r="J57" i="43" s="1"/>
  <c r="D57" i="43" s="1"/>
  <c r="M57" i="43"/>
  <c r="N57" i="43" s="1"/>
  <c r="M55" i="43"/>
  <c r="N55" i="43" s="1"/>
  <c r="K55" i="43"/>
  <c r="M51" i="43"/>
  <c r="N51" i="43" s="1"/>
  <c r="K51" i="43"/>
  <c r="J51" i="43" s="1"/>
  <c r="C52" i="71"/>
  <c r="D51" i="71"/>
  <c r="T40" i="71"/>
  <c r="D40" i="71"/>
  <c r="AZ477" i="3"/>
  <c r="AZ459" i="3"/>
  <c r="AZ442" i="3"/>
  <c r="AZ402" i="3"/>
  <c r="S12" i="35"/>
  <c r="AA12" i="35"/>
  <c r="K53" i="43"/>
  <c r="M53" i="43"/>
  <c r="N53" i="43" s="1"/>
  <c r="K52" i="43"/>
  <c r="M52" i="43"/>
  <c r="N52" i="43" s="1"/>
  <c r="M56" i="43"/>
  <c r="N56" i="43" s="1"/>
  <c r="K56" i="43"/>
  <c r="J56" i="43" s="1"/>
  <c r="M58" i="43"/>
  <c r="N58" i="43" s="1"/>
  <c r="K58" i="43"/>
  <c r="J58" i="43" s="1"/>
  <c r="AZ581" i="3"/>
  <c r="S12" i="34"/>
  <c r="AA12" i="34"/>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66" i="71"/>
  <c r="N67" i="71"/>
  <c r="T36" i="71"/>
  <c r="D36" i="71"/>
  <c r="AZ562" i="3"/>
  <c r="AZ563" i="3"/>
  <c r="AZ567" i="3"/>
  <c r="AZ568" i="3"/>
  <c r="AZ578" i="3"/>
  <c r="AZ579" i="3"/>
  <c r="AB36" i="39"/>
  <c r="U36" i="39"/>
  <c r="U38" i="40"/>
  <c r="AB38" i="40"/>
  <c r="S38" i="40"/>
  <c r="AA38" i="40"/>
  <c r="AC14" i="40"/>
  <c r="W14" i="40"/>
  <c r="AC31" i="39"/>
  <c r="W31" i="39"/>
  <c r="AB31" i="39"/>
  <c r="U31" i="39"/>
  <c r="W25" i="37"/>
  <c r="AC25" i="37"/>
  <c r="AA38" i="37"/>
  <c r="S38" i="37"/>
  <c r="U38" i="37"/>
  <c r="AB38" i="37"/>
  <c r="AC28" i="37"/>
  <c r="W28" i="37"/>
  <c r="AA24" i="36"/>
  <c r="S24" i="36"/>
  <c r="S23" i="35"/>
  <c r="AA23" i="35"/>
  <c r="AB23" i="35"/>
  <c r="U23" i="35"/>
  <c r="AC27" i="34"/>
  <c r="W27" i="34"/>
  <c r="S31" i="21"/>
  <c r="AA31" i="21"/>
  <c r="U31" i="21"/>
  <c r="AB31" i="21"/>
  <c r="AA28" i="21"/>
  <c r="S28" i="21"/>
  <c r="BL5" i="3"/>
  <c r="AZ546" i="3"/>
  <c r="AZ560" i="3"/>
  <c r="W39" i="40"/>
  <c r="AC39" i="40"/>
  <c r="AA44" i="39"/>
  <c r="S44" i="39"/>
  <c r="AA26" i="37"/>
  <c r="S26" i="37"/>
  <c r="AC26" i="37"/>
  <c r="W26" i="37"/>
  <c r="AA35" i="35"/>
  <c r="S35" i="35"/>
  <c r="AB25" i="35"/>
  <c r="U25" i="35"/>
  <c r="W25" i="35"/>
  <c r="AC25" i="35"/>
  <c r="AC13" i="35"/>
  <c r="W13" i="35"/>
  <c r="AC47" i="34"/>
  <c r="W47" i="34"/>
  <c r="U47" i="34"/>
  <c r="AB47" i="34"/>
  <c r="W45" i="34"/>
  <c r="AC45" i="34"/>
  <c r="S31" i="34"/>
  <c r="AA31" i="34"/>
  <c r="W31" i="34"/>
  <c r="AC31" i="34"/>
  <c r="S29" i="34"/>
  <c r="AA29" i="34"/>
  <c r="W13" i="34"/>
  <c r="AC13" i="34"/>
  <c r="AB46" i="33"/>
  <c r="U46" i="33"/>
  <c r="AC46" i="33"/>
  <c r="W46" i="33"/>
  <c r="AC44" i="33"/>
  <c r="W44" i="33"/>
  <c r="AA14" i="33"/>
  <c r="S14" i="33"/>
  <c r="U12" i="33"/>
  <c r="AB12" i="33"/>
  <c r="S45" i="21"/>
  <c r="AA45" i="21"/>
  <c r="AC30" i="21"/>
  <c r="W30" i="21"/>
  <c r="AB30" i="21"/>
  <c r="U30" i="21"/>
  <c r="S14" i="21"/>
  <c r="AA14" i="21"/>
  <c r="BA5" i="3"/>
  <c r="C15" i="71"/>
  <c r="T16" i="71"/>
  <c r="B15" i="71"/>
  <c r="B14" i="71" s="1"/>
  <c r="B13" i="71" s="1"/>
  <c r="B12" i="71" s="1"/>
  <c r="S16" i="71"/>
  <c r="D43" i="71"/>
  <c r="C44" i="71"/>
  <c r="AC36" i="39"/>
  <c r="W36" i="39"/>
  <c r="AA36" i="39"/>
  <c r="S36" i="39"/>
  <c r="AC38" i="40"/>
  <c r="W38" i="40"/>
  <c r="AA14" i="40"/>
  <c r="S14" i="40"/>
  <c r="AB14" i="40"/>
  <c r="U14" i="40"/>
  <c r="AA31" i="39"/>
  <c r="S31" i="39"/>
  <c r="AA25" i="37"/>
  <c r="S25" i="37"/>
  <c r="U25" i="37"/>
  <c r="AB25" i="37"/>
  <c r="AC38" i="37"/>
  <c r="W38" i="37"/>
  <c r="U28" i="37"/>
  <c r="AB28" i="37"/>
  <c r="AA28" i="37"/>
  <c r="S28" i="37"/>
  <c r="AC24" i="36"/>
  <c r="W24" i="36"/>
  <c r="W23" i="35"/>
  <c r="AC23" i="35"/>
  <c r="S27" i="34"/>
  <c r="AA27" i="34"/>
  <c r="W31" i="21"/>
  <c r="AC31" i="21"/>
  <c r="AC28" i="21"/>
  <c r="W28" i="21"/>
  <c r="AB28" i="21"/>
  <c r="U28"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Z551" i="3"/>
  <c r="AB39" i="40"/>
  <c r="U39" i="40"/>
  <c r="W44" i="39"/>
  <c r="AC44" i="39"/>
  <c r="AB44" i="39"/>
  <c r="U44" i="39"/>
  <c r="AB26" i="37"/>
  <c r="U26" i="37"/>
  <c r="U35" i="35"/>
  <c r="AB35" i="35"/>
  <c r="AC35" i="35"/>
  <c r="W35" i="35"/>
  <c r="S25" i="35"/>
  <c r="AA25" i="35"/>
  <c r="AB13" i="35"/>
  <c r="U13" i="35"/>
  <c r="S13" i="35"/>
  <c r="AA13" i="35"/>
  <c r="AA47" i="34"/>
  <c r="S47" i="34"/>
  <c r="S45" i="34"/>
  <c r="AA45" i="34"/>
  <c r="AB45" i="34"/>
  <c r="U45" i="34"/>
  <c r="U31" i="34"/>
  <c r="AB31" i="34"/>
  <c r="U29" i="34"/>
  <c r="AB29" i="34"/>
  <c r="AA13" i="34"/>
  <c r="S13" i="34"/>
  <c r="AB13" i="34"/>
  <c r="U13" i="34"/>
  <c r="AA46" i="33"/>
  <c r="S46" i="33"/>
  <c r="AA44" i="33"/>
  <c r="S44" i="33"/>
  <c r="AC14" i="33"/>
  <c r="W14" i="33"/>
  <c r="AB14" i="33"/>
  <c r="U14" i="33"/>
  <c r="W12" i="33"/>
  <c r="AC12" i="33"/>
  <c r="W45" i="21"/>
  <c r="AC45" i="21"/>
  <c r="S30" i="21"/>
  <c r="AA30" i="21"/>
  <c r="AB14" i="21"/>
  <c r="U14" i="21"/>
  <c r="AC14" i="21"/>
  <c r="W14" i="2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F11" i="15"/>
  <c r="M11" i="15"/>
  <c r="J10" i="15" s="1"/>
  <c r="F11" i="67"/>
  <c r="C32" i="15"/>
  <c r="Q74" i="15"/>
  <c r="Q61" i="15"/>
  <c r="AE11" i="1"/>
  <c r="AE9" i="1"/>
  <c r="F27" i="68"/>
  <c r="AE7" i="1"/>
  <c r="AE8" i="1"/>
  <c r="AE12" i="1"/>
  <c r="AE10" i="1"/>
  <c r="C16" i="67"/>
  <c r="F41" i="67"/>
  <c r="Q73" i="15" l="1"/>
  <c r="Q52" i="15"/>
  <c r="C49" i="15"/>
  <c r="Q74" i="67"/>
  <c r="F1" i="15"/>
  <c r="Q73" i="67"/>
  <c r="Q52" i="67"/>
  <c r="J5" i="15"/>
  <c r="J24" i="15" s="1"/>
  <c r="J5" i="67"/>
  <c r="J24" i="67" s="1"/>
  <c r="J52" i="43"/>
  <c r="D52" i="43"/>
  <c r="J53" i="43"/>
  <c r="D53" i="43"/>
  <c r="T52" i="71"/>
  <c r="D52" i="71"/>
  <c r="AZ5" i="3"/>
  <c r="E3" i="6" s="1"/>
  <c r="J55" i="43"/>
  <c r="D55" i="43"/>
  <c r="AY6" i="3"/>
  <c r="E65" i="39"/>
  <c r="B11" i="71"/>
  <c r="B10" i="71" s="1"/>
  <c r="B9" i="71" s="1"/>
  <c r="B8" i="71" s="1"/>
  <c r="B7" i="71" s="1"/>
  <c r="B6" i="71" s="1"/>
  <c r="B5" i="71" s="1"/>
  <c r="S12" i="71"/>
  <c r="D15" i="71"/>
  <c r="C14" i="71"/>
  <c r="N65" i="71"/>
  <c r="N66" i="71"/>
  <c r="E11" i="71"/>
  <c r="E10" i="71" s="1"/>
  <c r="E9" i="71" s="1"/>
  <c r="E8" i="71" s="1"/>
  <c r="E7" i="71" s="1"/>
  <c r="E6" i="71" s="1"/>
  <c r="E5" i="71" s="1"/>
  <c r="V12" i="71"/>
  <c r="T44" i="71"/>
  <c r="D44"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AE6" i="1"/>
  <c r="M27" i="67"/>
  <c r="M27" i="15"/>
  <c r="E49" i="34" l="1"/>
  <c r="E53" i="34" s="1"/>
  <c r="F53" i="34" s="1"/>
  <c r="C48" i="15"/>
  <c r="C66" i="15" s="1"/>
  <c r="D3" i="21"/>
  <c r="D37" i="11"/>
  <c r="M18" i="9"/>
  <c r="B118" i="9" s="1"/>
  <c r="D19" i="11"/>
  <c r="C19" i="11" s="1"/>
  <c r="C17" i="4"/>
  <c r="B4" i="52" s="1"/>
  <c r="B43" i="72" s="1"/>
  <c r="D3" i="37"/>
  <c r="E6" i="6"/>
  <c r="D10" i="11" s="1"/>
  <c r="C10" i="11" s="1"/>
  <c r="D3" i="34"/>
  <c r="L18" i="9"/>
  <c r="K23" i="9" s="1"/>
  <c r="D3" i="33"/>
  <c r="D14" i="12"/>
  <c r="D17" i="12" s="1"/>
  <c r="C17" i="12" s="1"/>
  <c r="E50" i="43"/>
  <c r="B48" i="43" s="1"/>
  <c r="C28" i="43" s="1"/>
  <c r="D116" i="43"/>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9"/>
  <c r="C34" i="69"/>
  <c r="D10" i="68"/>
  <c r="C17" i="67"/>
  <c r="F41" i="15"/>
  <c r="C17" i="15"/>
  <c r="C14" i="67"/>
  <c r="I54" i="34" l="1"/>
  <c r="J54" i="34" s="1"/>
  <c r="C60" i="15"/>
  <c r="F69" i="15"/>
  <c r="D20" i="12"/>
  <c r="C20" i="12" s="1"/>
  <c r="C18" i="12" s="1"/>
  <c r="D6" i="6"/>
  <c r="B2" i="74"/>
  <c r="C14" i="74"/>
  <c r="T15" i="43"/>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B1" i="74"/>
  <c r="B14" i="74"/>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9" i="43" l="1"/>
  <c r="G39" i="43"/>
  <c r="I39" i="43" s="1"/>
  <c r="C34" i="43"/>
  <c r="E34" i="43" s="1"/>
  <c r="E33" i="43"/>
  <c r="G38" i="43"/>
  <c r="I38" i="43" s="1"/>
  <c r="E38" i="43"/>
  <c r="E41" i="43"/>
  <c r="G41" i="43"/>
  <c r="I41" i="43" s="1"/>
  <c r="E37" i="43"/>
  <c r="G37" i="43"/>
  <c r="I37" i="43" s="1"/>
  <c r="E42" i="43"/>
  <c r="G42" i="43"/>
  <c r="I42" i="43" s="1"/>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C31"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E2" i="76" l="1"/>
  <c r="B2" i="4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B6" i="76"/>
  <c r="F35" i="15"/>
  <c r="B2" i="76" l="1"/>
  <c r="B3" i="76" s="1"/>
  <c r="B3" i="43"/>
  <c r="C7" i="68"/>
  <c r="C5"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1" i="68" l="1"/>
  <c r="C52"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B2" i="68" l="1"/>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11" i="1"/>
  <c r="AO9" i="1"/>
  <c r="AO7" i="1"/>
  <c r="AO8" i="1"/>
  <c r="C19" i="9"/>
  <c r="R48" i="39" l="1"/>
  <c r="C48" i="39" s="1"/>
  <c r="C21" i="9"/>
  <c r="C102" i="9"/>
  <c r="B3" i="68"/>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35" i="9"/>
  <c r="D19" i="9"/>
  <c r="C20" i="9"/>
  <c r="D34" i="9"/>
  <c r="C47" i="39" l="1"/>
  <c r="C103" i="9"/>
  <c r="D102" i="9"/>
  <c r="D21" i="9"/>
  <c r="D22" i="9"/>
  <c r="G19" i="9"/>
  <c r="G21" i="9" s="1"/>
  <c r="B3" i="15"/>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B3" i="39"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F4" i="52"/>
  <c r="B51" i="72" s="1"/>
  <c r="G118" i="9"/>
  <c r="G4" i="52" s="1"/>
  <c r="B52" i="72" s="1"/>
  <c r="H101" i="9"/>
  <c r="M48" i="9" s="1"/>
  <c r="I118" i="9"/>
  <c r="C105" i="9" s="1"/>
  <c r="H107" i="9"/>
  <c r="D4" i="52"/>
  <c r="B47" i="72" s="1"/>
  <c r="D5" i="53"/>
  <c r="H119" i="9"/>
  <c r="H5" i="52" s="1"/>
  <c r="H4" i="52"/>
  <c r="I4" i="52"/>
  <c r="D45" i="9"/>
  <c r="E118" i="9"/>
  <c r="E4" i="52" s="1"/>
  <c r="B48" i="72" s="1"/>
  <c r="H102" i="9" l="1"/>
  <c r="H108" i="9" s="1"/>
  <c r="E14" i="74"/>
  <c r="F14" i="74"/>
  <c r="B5" i="74"/>
  <c r="D5" i="74" s="1"/>
  <c r="D52" i="9"/>
  <c r="C78" i="9"/>
  <c r="C73" i="9" s="1"/>
  <c r="C93" i="9"/>
  <c r="C86" i="9" s="1"/>
  <c r="C72" i="9"/>
  <c r="C85" i="9"/>
  <c r="D53" i="9"/>
  <c r="C64" i="9"/>
  <c r="C63" i="9" s="1"/>
  <c r="C67" i="9" s="1"/>
  <c r="D55" i="9"/>
  <c r="M53" i="9" s="1"/>
  <c r="B20" i="72"/>
  <c r="D6" i="53"/>
  <c r="B22" i="72" s="1"/>
  <c r="D13" i="53"/>
  <c r="D122" i="9"/>
  <c r="D7" i="53" l="1"/>
  <c r="B21" i="72" s="1"/>
  <c r="C79" i="9"/>
  <c r="C80" i="9" s="1"/>
  <c r="E80" i="9" s="1"/>
  <c r="E81" i="9" s="1"/>
  <c r="C95" i="9"/>
  <c r="C96" i="9" s="1"/>
  <c r="E96" i="9" s="1"/>
  <c r="E97" i="9" s="1"/>
  <c r="C5" i="74"/>
  <c r="C6" i="74"/>
  <c r="D15" i="53"/>
  <c r="B31" i="72" s="1"/>
  <c r="B30" i="72"/>
  <c r="D14" i="53"/>
  <c r="B32" i="72" s="1"/>
  <c r="D8" i="52"/>
  <c r="D123" i="9"/>
  <c r="D9" i="52" s="1"/>
  <c r="D59" i="9"/>
  <c r="M55" i="9" s="1"/>
  <c r="C68" i="9"/>
  <c r="D54"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<sst xmlns="http://schemas.openxmlformats.org/spreadsheetml/2006/main" count="8334" uniqueCount="3630">
  <si>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</si>
  <si>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</si>
  <si>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</si>
  <si>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</si>
  <si>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</si>
  <si>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</si>
  <si>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</si>
  <si>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</si>
  <si>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</si>
  <si>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</si>
  <si>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</si>
  <si>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</si>
  <si>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</si>
  <si>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</si>
  <si>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</si>
  <si>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</si>
  <si>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</si>
  <si>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</si>
  <si>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</si>
  <si>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</si>
  <si>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</si>
  <si>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</si>
  <si>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</si>
  <si>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</si>
  <si>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</si>
  <si>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</si>
  <si>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</si>
  <si>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</si>
  <si>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</si>
  <si>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</si>
  <si>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</si>
  <si>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</si>
  <si>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</si>
  <si>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</si>
  <si>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</si>
  <si>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</si>
  <si>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</si>
  <si>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</si>
  <si>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</si>
  <si>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</si>
  <si>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</si>
  <si>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</si>
  <si>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</si>
  <si>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</si>
  <si>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</si>
  <si>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</si>
  <si>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</si>
  <si>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</si>
  <si>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</si>
  <si>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</si>
  <si>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</si>
  <si>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</si>
  <si>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</si>
  <si>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</si>
  <si>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</si>
  <si>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</si>
  <si>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</si>
  <si>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</si>
  <si>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</si>
  <si>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</si>
  <si>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</si>
  <si>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</si>
  <si>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</si>
  <si>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</si>
  <si>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</si>
  <si>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</si>
  <si>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</si>
  <si>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</si>
  <si>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</si>
  <si>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</si>
  <si>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</si>
  <si>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</si>
  <si>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</si>
  <si>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</si>
  <si>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</si>
  <si>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</si>
  <si>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</si>
  <si>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</si>
  <si>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</si>
  <si>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</si>
  <si>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</si>
  <si>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</si>
  <si>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</si>
  <si>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</si>
  <si>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</si>
  <si>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</si>
  <si>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</si>
  <si>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</si>
  <si>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</si>
  <si>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</si>
  <si>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</si>
  <si>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</si>
  <si>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</si>
  <si>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</si>
  <si>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</si>
  <si>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</si>
  <si>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</si>
  <si>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</si>
  <si>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</si>
  <si>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</si>
  <si>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</si>
  <si>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</si>
  <si>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</si>
  <si>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</si>
  <si>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</si>
  <si>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</si>
  <si>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</si>
  <si>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</si>
  <si>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</si>
  <si>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</si>
  <si>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</si>
  <si>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</si>
  <si>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</si>
  <si>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</si>
  <si>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</si>
  <si>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</si>
  <si>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</si>
  <si>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</si>
  <si>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</si>
  <si>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</si>
  <si>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</si>
  <si>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</si>
  <si>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</si>
  <si>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</si>
  <si>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</si>
  <si>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</si>
  <si>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</si>
  <si>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</si>
  <si>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</si>
  <si>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</si>
  <si>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</si>
  <si>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</si>
  <si>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</si>
  <si>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</si>
  <si>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</si>
  <si>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</si>
  <si>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</si>
  <si>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</si>
  <si>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</si>
  <si>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</si>
  <si>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</si>
  <si>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</si>
  <si>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</si>
  <si>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</si>
  <si>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</si>
  <si>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</si>
  <si>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</si>
  <si>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</si>
  <si>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</si>
  <si>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</si>
  <si>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</si>
  <si>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</si>
  <si>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</si>
  <si>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</si>
  <si>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</si>
  <si>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</si>
  <si>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</si>
  <si>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</si>
  <si>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</si>
  <si>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</si>
  <si>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</si>
  <si>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</si>
  <si>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</si>
  <si>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</si>
  <si>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</si>
  <si>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</si>
  <si>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</si>
  <si>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</si>
  <si>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</si>
  <si>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</si>
  <si>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</si>
  <si>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</si>
  <si>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</si>
  <si>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</si>
  <si>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</si>
  <si>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</si>
  <si>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</si>
  <si>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</si>
  <si>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</si>
  <si>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</si>
  <si>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</si>
  <si>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</si>
  <si>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</si>
  <si>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</si>
  <si>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</si>
  <si>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</si>
  <si>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</si>
  <si>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</si>
  <si>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</si>
  <si>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</si>
  <si>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</si>
  <si>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</si>
  <si>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</si>
  <si>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</si>
  <si>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</si>
  <si>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</si>
  <si>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</si>
  <si>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</si>
  <si>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</si>
  <si>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</si>
  <si>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</si>
  <si>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</si>
  <si>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</si>
  <si>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</si>
  <si>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</si>
  <si>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</si>
  <si>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</si>
  <si>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</si>
  <si>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</si>
  <si>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</si>
  <si>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</si>
  <si>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</si>
  <si>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</si>
  <si>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</si>
  <si>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</si>
  <si>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</si>
  <si>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</si>
  <si>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</si>
  <si>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</si>
  <si>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</si>
  <si>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</si>
  <si>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</si>
  <si>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</si>
  <si>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</si>
  <si>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</si>
  <si>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</si>
  <si>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</si>
  <si>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</si>
  <si>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</si>
  <si>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</si>
  <si>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</si>
  <si>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</si>
  <si>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</si>
  <si>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</si>
  <si>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</si>
  <si>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</si>
  <si>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</si>
  <si>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</si>
  <si>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</si>
  <si>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</si>
  <si>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</si>
  <si>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</si>
  <si>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</si>
  <si>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</si>
  <si>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</si>
  <si>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</si>
  <si>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</si>
  <si>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</si>
  <si>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</si>
  <si>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</si>
  <si>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</si>
  <si>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</si>
  <si>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</si>
  <si>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</si>
  <si>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</si>
  <si>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</si>
  <si>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</si>
  <si>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</si>
  <si>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</si>
  <si>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</si>
  <si>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</si>
  <si>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</si>
  <si>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</si>
  <si>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</si>
  <si>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</si>
  <si>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</si>
  <si>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</si>
  <si>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</si>
  <si>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</si>
  <si>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</si>
  <si>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</si>
  <si>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</si>
  <si>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</si>
  <si>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</si>
  <si>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</si>
  <si>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</si>
  <si>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</si>
  <si>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</si>
  <si>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</si>
  <si>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</si>
  <si>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</si>
  <si>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</si>
  <si>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</si>
  <si>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</si>
  <si>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</si>
  <si>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</si>
  <si>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</si>
  <si>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</si>
  <si>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</si>
  <si>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</si>
  <si>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</si>
  <si>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</si>
  <si>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</si>
  <si>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</si>
  <si>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</si>
  <si>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</si>
  <si>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</si>
  <si>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</si>
  <si>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</si>
  <si>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</si>
  <si>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</si>
  <si>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</si>
  <si>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</si>
  <si>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</si>
  <si>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</si>
  <si>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</si>
  <si>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</si>
  <si>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</si>
  <si>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</si>
  <si>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</si>
  <si>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</si>
  <si>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</si>
  <si>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</si>
  <si>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</si>
  <si>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</si>
  <si>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</si>
  <si>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</si>
  <si>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</si>
  <si>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</si>
  <si>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</si>
  <si>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</si>
  <si>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</si>
  <si>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</si>
  <si>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</si>
  <si>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</si>
  <si>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</si>
  <si>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</si>
  <si>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</si>
  <si>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</si>
  <si>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</si>
  <si>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</si>
  <si>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</si>
  <si>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</si>
  <si>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</si>
  <si>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</si>
  <si>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</si>
  <si>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</si>
  <si>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</si>
  <si>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</si>
  <si>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</si>
  <si>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</si>
  <si>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</si>
  <si>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</si>
  <si>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</si>
  <si>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</si>
  <si>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</si>
  <si>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</si>
  <si>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</si>
  <si>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</si>
  <si>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</si>
  <si>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</si>
  <si>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</si>
  <si>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</si>
  <si>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</si>
  <si>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</si>
  <si>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</si>
  <si>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</si>
  <si>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</si>
  <si>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</si>
  <si>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</si>
  <si>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</si>
  <si>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</si>
  <si>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</si>
  <si>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</si>
  <si>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</si>
  <si>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</si>
  <si>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</si>
  <si>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</si>
  <si>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</si>
  <si>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</si>
  <si>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</si>
  <si>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</si>
  <si>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</si>
  <si>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</si>
  <si>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</si>
  <si>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</si>
  <si>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</si>
  <si>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</si>
  <si>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</si>
  <si>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</si>
  <si>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</si>
  <si>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</si>
  <si>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</si>
  <si>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</si>
  <si>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</si>
  <si>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</si>
  <si>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</si>
  <si>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</si>
  <si>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</si>
  <si>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</si>
  <si>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</si>
  <si>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</si>
  <si>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</si>
  <si>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</si>
  <si>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</si>
  <si>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</si>
  <si>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</si>
  <si>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</si>
  <si>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</si>
  <si>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</si>
  <si>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</si>
  <si>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</si>
  <si>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</si>
  <si>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</si>
  <si>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</si>
  <si>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</si>
  <si>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</si>
  <si>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</si>
  <si>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</si>
  <si>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</si>
  <si>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</si>
  <si>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</si>
  <si>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</si>
  <si>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</si>
  <si>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</si>
  <si>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</si>
  <si>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</si>
  <si>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</si>
  <si>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</si>
  <si>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</si>
  <si>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</si>
  <si>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</si>
  <si>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</si>
  <si>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</si>
  <si>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</si>
  <si>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</si>
  <si>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</si>
  <si>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</si>
  <si>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</si>
  <si>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</si>
  <si>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</si>
  <si>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</si>
  <si>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</si>
  <si>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</si>
  <si>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</si>
  <si>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</si>
  <si>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</si>
  <si>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</si>
  <si>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</si>
  <si>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</si>
  <si>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</si>
  <si>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</si>
  <si>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</si>
  <si>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</si>
  <si>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</si>
  <si>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</si>
  <si>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</si>
  <si>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</si>
  <si>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</si>
  <si>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</si>
  <si>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</si>
  <si>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</si>
  <si>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</si>
  <si>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</si>
  <si>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</si>
  <si>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</si>
  <si>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</si>
  <si>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</si>
  <si>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</si>
  <si>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</si>
  <si>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</si>
  <si>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</si>
  <si>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</si>
  <si>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</si>
  <si>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</si>
  <si>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</si>
  <si>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</si>
  <si>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</si>
  <si>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</si>
  <si>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</si>
  <si>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</si>
  <si>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</si>
  <si>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</si>
  <si>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</si>
  <si>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</si>
  <si>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</si>
  <si>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</si>
  <si>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</si>
  <si>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</si>
  <si>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</si>
  <si>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</si>
  <si>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</si>
  <si>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</si>
  <si>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</si>
  <si>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</si>
  <si>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</si>
  <si>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</si>
  <si>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</si>
  <si>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</si>
  <si>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</si>
  <si>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</si>
  <si>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</si>
  <si>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</si>
  <si>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</si>
  <si>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</si>
  <si>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</si>
  <si>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</si>
  <si>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</si>
  <si>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</si>
  <si>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</si>
  <si>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</si>
  <si>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</si>
  <si>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</si>
  <si>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</si>
  <si>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</si>
  <si>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</si>
  <si>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</si>
  <si>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</si>
  <si>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</si>
  <si>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</si>
  <si>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</si>
  <si>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</si>
  <si>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</si>
  <si>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</si>
  <si>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</si>
  <si>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</si>
  <si>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</si>
  <si>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</si>
  <si>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</si>
  <si>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</si>
  <si>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</si>
  <si>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</si>
  <si>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</si>
  <si>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</si>
  <si>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</si>
  <si>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</si>
  <si>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</si>
  <si>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</si>
  <si>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</si>
  <si>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</si>
  <si>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</si>
  <si>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</si>
  <si>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</si>
  <si>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</si>
  <si>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</si>
  <si>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</si>
  <si>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</si>
  <si>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</si>
  <si>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</si>
  <si>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</si>
  <si>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</si>
  <si>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</si>
  <si>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</si>
  <si>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</si>
  <si>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</si>
  <si>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</si>
  <si>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</si>
  <si>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</si>
  <si>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</si>
  <si>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</si>
  <si>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</si>
  <si>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</si>
  <si>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</si>
  <si>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</si>
  <si>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</si>
  <si>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</si>
  <si>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</si>
  <si>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</si>
  <si>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</si>
  <si>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</si>
  <si>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</si>
  <si>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</si>
  <si>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</si>
  <si>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</si>
  <si>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</si>
  <si>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</si>
  <si>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</si>
  <si>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</si>
  <si>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</si>
  <si>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</si>
  <si>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</si>
  <si>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</si>
  <si>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</si>
  <si>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</si>
  <si>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</si>
  <si>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</si>
  <si>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</si>
  <si>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</si>
  <si>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</si>
  <si>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</si>
  <si>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</si>
  <si>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</si>
  <si>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</si>
  <si>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</si>
  <si>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</si>
  <si>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</si>
  <si>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</si>
  <si>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</si>
  <si>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</si>
  <si>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</si>
  <si>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</si>
  <si>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</si>
  <si>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</si>
  <si>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</si>
  <si>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</si>
  <si>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</si>
  <si>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</si>
  <si>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</si>
  <si>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</si>
  <si>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</si>
  <si>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</si>
  <si>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</si>
  <si>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</si>
  <si>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</si>
  <si>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</si>
  <si>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</si>
  <si>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</si>
  <si>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</si>
  <si>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</si>
  <si>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</si>
  <si>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</si>
  <si>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</si>
  <si>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</si>
  <si>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</si>
  <si>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</si>
  <si>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</si>
  <si>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</si>
  <si>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</si>
  <si>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</si>
  <si>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</si>
  <si>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</si>
  <si>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</si>
  <si>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</si>
  <si>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</si>
  <si>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</si>
  <si>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</si>
  <si>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</si>
  <si>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</si>
  <si>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</si>
  <si>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</si>
  <si>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</si>
  <si>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</si>
  <si>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</si>
  <si>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</si>
  <si>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</si>
  <si>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</si>
  <si>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</si>
  <si>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</si>
  <si>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</si>
  <si>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</si>
  <si>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</si>
  <si>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</si>
  <si>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</si>
  <si>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</si>
  <si>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</si>
  <si>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</si>
  <si>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</si>
  <si>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</si>
  <si>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</si>
  <si>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</si>
  <si>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</si>
  <si>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</si>
  <si>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</si>
  <si>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</si>
  <si>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</si>
  <si>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</si>
  <si>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</si>
  <si>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</si>
  <si>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</si>
  <si>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</si>
  <si>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</si>
  <si>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</si>
  <si>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</si>
  <si>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</si>
  <si>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</si>
  <si>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</si>
  <si>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</si>
  <si>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</si>
  <si>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</si>
  <si>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</si>
  <si>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</si>
  <si>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</si>
  <si>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</si>
  <si>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</si>
  <si>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</si>
  <si>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</si>
  <si>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</si>
  <si>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</si>
  <si>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</si>
  <si>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</si>
  <si>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</si>
  <si>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</si>
  <si>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</si>
  <si>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</si>
  <si>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</si>
  <si>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</si>
  <si>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</si>
  <si>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</si>
  <si>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</si>
  <si>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</si>
  <si>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</si>
  <si>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</si>
  <si>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</si>
  <si>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</si>
  <si>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</si>
  <si>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</si>
  <si>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</si>
  <si>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</si>
  <si>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</si>
  <si>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</si>
  <si>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</si>
  <si>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</si>
  <si>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</si>
  <si>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</si>
  <si>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</si>
  <si>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</si>
  <si>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</si>
  <si>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</si>
  <si>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</si>
  <si>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</si>
  <si>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</si>
  <si>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</si>
  <si>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</si>
  <si>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</si>
  <si>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</si>
  <si>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</si>
  <si>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</si>
  <si>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</si>
  <si>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</si>
  <si>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</si>
  <si>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</si>
  <si>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</si>
  <si>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</si>
  <si>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</si>
  <si>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</si>
  <si>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</si>
  <si>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</si>
  <si>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</si>
  <si>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</si>
  <si>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</si>
  <si>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</si>
  <si>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</si>
  <si>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</si>
  <si>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</si>
  <si>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</si>
  <si>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</si>
  <si>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</si>
  <si>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</si>
  <si>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</si>
  <si>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</si>
  <si>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</si>
  <si>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</si>
  <si>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</si>
  <si>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</si>
  <si>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</si>
  <si>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</si>
  <si>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</si>
  <si>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</si>
  <si>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</si>
  <si>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</si>
  <si>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</si>
  <si>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</si>
  <si>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</si>
  <si>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</si>
  <si>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</si>
  <si>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</si>
  <si>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</si>
  <si>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</si>
  <si>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</si>
  <si>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</si>
  <si>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</si>
  <si>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</si>
  <si>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</si>
  <si>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</si>
  <si>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</si>
  <si>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</si>
  <si>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</si>
  <si>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</si>
  <si>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</si>
  <si>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</si>
  <si>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</si>
  <si>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</si>
  <si>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</si>
  <si>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</si>
  <si>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</si>
  <si>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</si>
  <si>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</si>
  <si>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</si>
  <si>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</si>
  <si>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</si>
  <si>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</si>
  <si>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</si>
  <si>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</si>
  <si>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</si>
  <si>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</si>
  <si>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</si>
  <si>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</si>
  <si>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</si>
  <si>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</si>
  <si>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</si>
  <si>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</si>
  <si>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</si>
  <si>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</si>
  <si>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</si>
  <si>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</si>
  <si>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</si>
  <si>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</si>
  <si>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</si>
  <si>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</si>
  <si>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</si>
  <si>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</si>
  <si>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</si>
  <si>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</si>
  <si>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</si>
  <si>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</si>
  <si>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</si>
  <si>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</si>
  <si>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</si>
  <si>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</si>
  <si>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</si>
  <si>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</si>
  <si>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</si>
  <si>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</si>
  <si>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</si>
  <si>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</si>
  <si>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</si>
  <si>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</si>
  <si>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</si>
  <si>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</si>
  <si>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</si>
  <si>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</si>
  <si>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</si>
  <si>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</si>
  <si>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</si>
  <si>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</si>
  <si>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</si>
  <si>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</si>
  <si>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</si>
  <si>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</si>
  <si>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</si>
  <si>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</si>
  <si>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</si>
  <si>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</si>
  <si>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</si>
  <si>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</si>
  <si>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</si>
  <si>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</si>
  <si>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</si>
  <si>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</si>
  <si>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</si>
  <si>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</si>
  <si>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</si>
  <si>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</si>
  <si>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</si>
  <si>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</si>
  <si>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</si>
  <si>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</si>
  <si>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</si>
  <si>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</si>
  <si>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</si>
  <si>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</si>
  <si>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</si>
  <si>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</si>
  <si>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</si>
  <si>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</si>
  <si>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</si>
  <si>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</si>
  <si>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</si>
  <si>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</si>
  <si>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</si>
  <si>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</si>
  <si>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</si>
  <si>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</si>
  <si>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</si>
  <si>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</si>
  <si>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</si>
  <si>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</si>
  <si>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</si>
  <si>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</si>
  <si>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</si>
  <si>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</si>
  <si>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</si>
  <si>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</si>
  <si>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</si>
  <si>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</si>
  <si>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</si>
  <si>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</si>
  <si>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</si>
  <si>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</si>
  <si>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</si>
  <si>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</si>
  <si>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</si>
  <si>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</si>
  <si>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</si>
  <si>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</si>
  <si>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</si>
  <si>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</si>
  <si>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</si>
  <si>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</si>
  <si>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</si>
  <si>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</si>
  <si>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</si>
  <si>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</si>
  <si>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</si>
  <si>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</si>
  <si>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</si>
  <si>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</si>
  <si>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</si>
  <si>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</si>
  <si>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</si>
  <si>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</si>
  <si>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</si>
  <si>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</si>
  <si>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</si>
  <si>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</si>
  <si>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</si>
  <si>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</si>
  <si>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</si>
  <si>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</si>
  <si>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</si>
  <si>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</si>
  <si>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</si>
  <si>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</si>
  <si>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</si>
  <si>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</si>
  <si>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</si>
  <si>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</si>
  <si>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</si>
  <si>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</si>
  <si>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</si>
  <si>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</si>
  <si>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</si>
  <si>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</si>
  <si>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</si>
  <si>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</si>
  <si>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</si>
  <si>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</si>
  <si>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</si>
  <si>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</si>
  <si>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</si>
  <si>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</si>
  <si>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</si>
  <si>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</si>
  <si>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</si>
  <si>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</si>
  <si>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</si>
  <si>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</si>
  <si>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</si>
  <si>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</si>
  <si>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</si>
  <si>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</si>
  <si>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</si>
  <si>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</si>
  <si>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</si>
  <si>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</si>
  <si>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</si>
  <si>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</si>
  <si>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</si>
  <si>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</si>
  <si>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</si>
  <si>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</si>
  <si>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</si>
  <si>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</si>
  <si>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</si>
  <si>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</si>
  <si>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</si>
  <si>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</si>
  <si>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</si>
  <si>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</si>
  <si>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</si>
  <si>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</si>
  <si>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</si>
  <si>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</si>
  <si>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</si>
  <si>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</si>
  <si>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</si>
  <si>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</si>
  <si>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</si>
  <si>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</si>
  <si>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</si>
  <si>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</si>
  <si>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</si>
  <si>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</si>
  <si>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</si>
  <si>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</si>
  <si>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</si>
  <si>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</si>
  <si>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</si>
  <si>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</si>
  <si>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</si>
  <si>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</si>
  <si>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</si>
  <si>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</si>
  <si>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</si>
  <si>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</si>
  <si>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</si>
  <si>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</si>
  <si>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</si>
  <si>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</si>
  <si>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</si>
  <si>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</si>
  <si>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</si>
  <si>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</si>
  <si>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</si>
  <si>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</si>
  <si>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</si>
  <si>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</si>
  <si>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</si>
  <si>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</si>
  <si>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</si>
  <si>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</si>
  <si>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</si>
  <si>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</si>
  <si>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</si>
  <si>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</si>
  <si>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</si>
  <si>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</si>
  <si>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</si>
  <si>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</si>
  <si>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</si>
  <si>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</si>
  <si>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</si>
  <si>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</si>
  <si>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</si>
  <si>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</si>
  <si>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</si>
  <si>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</si>
  <si>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</si>
  <si>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</si>
  <si>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</si>
  <si>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</si>
  <si>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</si>
  <si>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</si>
  <si>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</si>
  <si>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</si>
  <si>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</si>
  <si>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</si>
  <si>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</si>
  <si>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</si>
  <si>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</si>
  <si>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</si>
  <si>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</si>
  <si>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</si>
  <si>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</si>
  <si>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</si>
  <si>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</si>
  <si>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</si>
  <si>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</si>
  <si>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</si>
  <si>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</si>
  <si>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</si>
  <si>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</si>
  <si>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</si>
  <si>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</si>
  <si>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</si>
  <si>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</si>
  <si>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</si>
  <si>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</si>
  <si>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</si>
  <si>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</si>
  <si>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</si>
  <si>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</si>
  <si>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</si>
  <si>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</si>
  <si>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</si>
  <si>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</si>
  <si>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</si>
  <si>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</si>
  <si>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</si>
  <si>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</si>
  <si>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</si>
  <si>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</si>
  <si>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</si>
  <si>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</si>
  <si>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</si>
  <si>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</si>
  <si>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</si>
  <si>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</si>
  <si>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</si>
  <si>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</si>
  <si>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</si>
  <si>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</si>
  <si>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</si>
  <si>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</si>
  <si>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</si>
  <si>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</si>
  <si>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</si>
  <si>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</si>
  <si>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</si>
  <si>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</si>
  <si>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</si>
  <si>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</si>
  <si>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</si>
  <si>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</si>
  <si>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</si>
  <si>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</si>
  <si>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</si>
  <si>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</si>
  <si>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</si>
  <si>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</si>
  <si>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</si>
  <si>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</si>
  <si>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</si>
  <si>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</si>
  <si>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</si>
  <si>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</si>
  <si>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</si>
  <si>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</si>
  <si>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</si>
  <si>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</si>
  <si>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</si>
  <si>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</si>
  <si>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</si>
  <si>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</si>
  <si>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</si>
  <si>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</si>
  <si>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</si>
  <si>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</si>
  <si>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</si>
  <si>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</si>
  <si>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</si>
  <si>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</si>
  <si>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</si>
  <si>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</si>
  <si>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</si>
  <si>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</si>
  <si>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</si>
  <si>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</si>
  <si>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</si>
  <si>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</si>
  <si>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</si>
  <si>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</si>
  <si>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</si>
  <si>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</si>
  <si>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</si>
  <si>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</si>
  <si>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</si>
  <si>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</si>
  <si>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</si>
  <si>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</si>
  <si>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</si>
  <si>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</si>
  <si>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</si>
  <si>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</si>
  <si>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</si>
  <si>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</si>
  <si>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</si>
  <si>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</si>
  <si>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</si>
  <si>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</si>
  <si>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</si>
  <si>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</si>
  <si>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</si>
  <si>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</si>
  <si>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</si>
  <si>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</si>
  <si>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</si>
  <si>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</si>
  <si>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</si>
  <si>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</si>
  <si>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</si>
  <si>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</si>
  <si>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</si>
  <si>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</si>
  <si>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</si>
  <si>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</si>
  <si>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</si>
  <si>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</si>
  <si>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</si>
  <si>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</si>
  <si>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</si>
  <si>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</si>
  <si>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</si>
  <si>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</si>
  <si>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</si>
  <si>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</si>
  <si>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</si>
  <si>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</si>
  <si>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</si>
  <si>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</si>
  <si>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</si>
  <si>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</si>
  <si>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</si>
  <si>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</si>
  <si>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</si>
  <si>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</si>
  <si>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</si>
  <si>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</si>
  <si>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</si>
  <si>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</si>
  <si>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</si>
  <si>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</si>
  <si>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</si>
  <si>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</si>
  <si>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</si>
  <si>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</si>
  <si>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</si>
  <si>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</si>
  <si>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</si>
  <si>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</si>
  <si>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</si>
  <si>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</si>
  <si>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</si>
  <si>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</si>
  <si>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</si>
  <si>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</si>
  <si>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</si>
  <si>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</si>
  <si>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</si>
  <si>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</si>
  <si>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</si>
  <si>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</si>
  <si>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</si>
  <si>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</si>
  <si>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</si>
  <si>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</si>
  <si>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</si>
  <si>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</si>
  <si>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</si>
  <si>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</si>
  <si>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</si>
  <si>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</si>
  <si>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</si>
  <si>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</si>
  <si>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</si>
  <si>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</si>
  <si>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</si>
  <si>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</si>
  <si>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</si>
  <si>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</si>
  <si>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</si>
  <si>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</si>
  <si>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</si>
  <si>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</si>
  <si>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</si>
  <si>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</si>
  <si>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</si>
  <si>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</si>
  <si>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</si>
  <si>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</si>
  <si>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</si>
  <si>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</si>
  <si>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</si>
  <si>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</si>
  <si>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</si>
  <si>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</si>
  <si>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</si>
  <si>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</si>
  <si>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</si>
  <si>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</si>
  <si>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</si>
  <si>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</si>
  <si>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</si>
  <si>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</si>
  <si>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</si>
  <si>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</si>
  <si>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</si>
  <si>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</si>
  <si>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</si>
  <si>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</si>
  <si>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</si>
  <si>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</si>
  <si>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</si>
  <si>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</si>
  <si>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</si>
  <si>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</si>
  <si>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</si>
  <si>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</si>
  <si>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</si>
  <si>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</si>
  <si>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</si>
  <si>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</si>
  <si>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</si>
  <si>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</si>
  <si>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</si>
  <si>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</si>
  <si>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</si>
  <si>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</si>
  <si>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</si>
  <si>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</si>
  <si>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</si>
  <si>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</si>
  <si>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</si>
  <si>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</si>
  <si>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</si>
  <si>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</si>
  <si>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</si>
  <si>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</si>
  <si>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</si>
  <si>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</si>
  <si>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</si>
  <si>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</si>
  <si>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</si>
  <si>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</si>
  <si>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</si>
  <si>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</si>
  <si>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</si>
  <si>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</si>
  <si>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</si>
  <si>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</si>
  <si>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</si>
  <si>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</si>
  <si>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</si>
  <si>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</si>
  <si>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</si>
  <si>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</si>
  <si>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</si>
  <si>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</si>
  <si>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</si>
  <si>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</si>
  <si>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</si>
  <si>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</si>
  <si>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</si>
  <si>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</si>
  <si>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</si>
  <si>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</si>
  <si>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</si>
  <si>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</si>
  <si>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</si>
  <si>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</si>
  <si>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</si>
  <si>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</si>
  <si>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</si>
  <si>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</si>
  <si>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</si>
  <si>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</si>
  <si>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</si>
  <si>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</si>
  <si>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</si>
  <si>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</si>
  <si>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</si>
  <si>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</si>
  <si>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</si>
  <si>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</si>
  <si>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</si>
  <si>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</si>
  <si>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</si>
  <si>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</si>
  <si>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</si>
  <si>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</si>
  <si>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</si>
  <si>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</si>
  <si>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</si>
  <si>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</si>
  <si>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</si>
  <si>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</si>
  <si>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</si>
  <si>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</si>
  <si>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</si>
  <si>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</si>
  <si>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</si>
  <si>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</si>
  <si>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</si>
  <si>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</si>
  <si>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</si>
  <si>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</si>
  <si>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</si>
  <si>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</si>
  <si>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</si>
  <si>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</si>
  <si>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</si>
  <si>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</si>
  <si>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</si>
  <si>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</si>
  <si>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</si>
  <si>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</si>
  <si>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</si>
  <si>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</si>
  <si>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</si>
  <si>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</si>
  <si>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</si>
  <si>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</si>
  <si>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</si>
  <si>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</si>
  <si>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</si>
  <si>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</si>
  <si>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</si>
  <si>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</si>
  <si>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</si>
  <si>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</si>
  <si>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</si>
  <si>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</si>
  <si>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</si>
  <si>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</si>
  <si>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</si>
  <si>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</si>
  <si>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</si>
  <si>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</si>
  <si>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</si>
  <si>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</si>
  <si>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</si>
  <si>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</si>
  <si>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</si>
  <si>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</si>
  <si>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</si>
  <si>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</si>
  <si>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</si>
  <si>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</si>
  <si>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</si>
  <si>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</si>
  <si>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</si>
  <si>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</si>
  <si>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</si>
  <si>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</si>
  <si>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</si>
  <si>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</si>
  <si>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</si>
  <si>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</si>
  <si>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</si>
  <si>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</si>
  <si>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</si>
  <si>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</si>
  <si>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</si>
  <si>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</si>
  <si>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</si>
  <si>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</si>
  <si>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</si>
  <si>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</si>
  <si>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</si>
  <si>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</si>
  <si>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</si>
  <si>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</si>
  <si>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</si>
  <si>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</si>
  <si>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</si>
  <si>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</si>
  <si>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</si>
  <si>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</si>
  <si>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</si>
  <si>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</si>
  <si>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</si>
  <si>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</si>
  <si>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</si>
  <si>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</si>
  <si>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</si>
  <si>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</si>
  <si>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</si>
  <si>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</si>
  <si>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</si>
  <si>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</si>
  <si>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</si>
  <si>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</si>
  <si>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</si>
  <si>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</si>
  <si>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</si>
  <si>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</si>
  <si>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</si>
  <si>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</si>
  <si>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</si>
  <si>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</si>
  <si>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</si>
  <si>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</si>
  <si>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</si>
  <si>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</si>
  <si>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</si>
  <si>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</si>
  <si>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</si>
  <si>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</si>
  <si>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</si>
  <si>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</si>
  <si>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</si>
  <si>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</si>
  <si>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</si>
  <si>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</si>
  <si>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</si>
  <si>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</si>
  <si>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</si>
  <si>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</si>
  <si>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</si>
  <si>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</si>
  <si>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</si>
  <si>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</si>
  <si>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</si>
  <si>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</si>
  <si>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</si>
  <si>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</si>
  <si>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</si>
  <si>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</si>
  <si>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</si>
  <si>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</si>
  <si>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</si>
  <si>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</si>
  <si>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</si>
  <si>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</si>
  <si>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</si>
  <si>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</si>
  <si>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</si>
  <si>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</si>
  <si>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</si>
  <si>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</si>
  <si>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</si>
  <si>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</si>
  <si>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</si>
  <si>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</si>
  <si>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</si>
  <si>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</si>
  <si>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</si>
  <si>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</si>
  <si>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</si>
  <si>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</si>
  <si>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</si>
  <si>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</si>
  <si>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</si>
  <si>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</si>
  <si>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</si>
  <si>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</si>
  <si>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</si>
  <si>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</si>
  <si>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</si>
  <si>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</si>
  <si>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</si>
  <si>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</si>
  <si>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</si>
  <si>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</si>
  <si>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</si>
  <si>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</si>
  <si>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</si>
  <si>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</si>
  <si>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</si>
  <si>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</si>
  <si>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</si>
  <si>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</si>
  <si>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</si>
  <si>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</si>
  <si>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</si>
  <si>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</si>
  <si>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</si>
  <si>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</si>
  <si>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</si>
  <si>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</si>
  <si>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</si>
  <si>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</si>
  <si>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</si>
  <si>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</si>
  <si>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</si>
  <si>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</si>
  <si>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</si>
  <si>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</si>
  <si>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</si>
  <si>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</si>
  <si>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</si>
  <si>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</si>
  <si>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</si>
  <si>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</si>
  <si>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</si>
  <si>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</si>
  <si>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</si>
  <si>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</si>
  <si>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</si>
  <si>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</si>
  <si>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</si>
  <si>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</si>
  <si>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</si>
  <si>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</si>
  <si>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</si>
  <si>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</si>
  <si>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</si>
  <si>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</si>
  <si>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</si>
  <si>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</si>
  <si>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</si>
  <si>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</si>
  <si>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</si>
  <si>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</si>
  <si>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</si>
  <si>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</si>
  <si>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</si>
  <si>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</si>
  <si>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</si>
  <si>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</si>
  <si>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</si>
  <si>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</si>
  <si>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</si>
  <si>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</si>
  <si>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</si>
  <si>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</si>
  <si>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</si>
  <si>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</si>
  <si>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</si>
  <si>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</si>
  <si>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</si>
  <si>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</si>
  <si>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</si>
  <si>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</si>
  <si>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</si>
  <si>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</si>
  <si>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</si>
  <si>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</si>
  <si>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</si>
  <si>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</si>
  <si>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</si>
  <si>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</si>
  <si>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</si>
  <si>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</si>
  <si>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</si>
  <si>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</si>
  <si>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</si>
  <si>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</si>
  <si>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</si>
  <si>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</si>
  <si>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</si>
  <si>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</si>
  <si>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</si>
  <si>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</si>
  <si>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</si>
  <si>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</si>
  <si>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</si>
  <si>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</si>
  <si>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</si>
  <si>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</si>
  <si>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</si>
  <si>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</si>
  <si>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</si>
  <si>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</si>
  <si>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</si>
  <si>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</si>
  <si>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</si>
  <si>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</si>
  <si>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</si>
  <si>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</si>
  <si>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</si>
  <si>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</si>
  <si>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</si>
  <si>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</si>
  <si>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</si>
  <si>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</si>
  <si>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</si>
  <si>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</si>
  <si>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</si>
  <si>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</si>
  <si>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</si>
  <si>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</si>
  <si>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</si>
  <si>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</si>
  <si>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</si>
  <si>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</si>
  <si>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</si>
  <si>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</si>
  <si>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</si>
  <si>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</si>
  <si>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</si>
  <si>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</si>
  <si>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</si>
  <si>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</si>
  <si>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</si>
  <si>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</si>
  <si>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</si>
  <si>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</si>
  <si>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</si>
  <si>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</si>
  <si>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</si>
  <si>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</si>
  <si>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</si>
  <si>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</si>
  <si>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</si>
  <si>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</si>
  <si>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</si>
  <si>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</si>
  <si>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</si>
  <si>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</si>
  <si>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</si>
  <si>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</si>
  <si>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</si>
  <si>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</si>
  <si>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</si>
  <si>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</si>
  <si>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</si>
  <si>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</si>
  <si>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</si>
  <si>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</si>
  <si>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</si>
  <si>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</si>
  <si>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</si>
  <si>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</si>
  <si>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</si>
  <si>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</si>
  <si>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</si>
  <si>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</si>
  <si>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</si>
  <si>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</si>
  <si>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</si>
  <si>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</si>
  <si>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</si>
  <si>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</si>
  <si>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</si>
  <si>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</si>
  <si>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</si>
  <si>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</si>
  <si>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</si>
  <si>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</si>
  <si>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</si>
  <si>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</si>
  <si>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</si>
  <si>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</si>
  <si>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</si>
  <si>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</si>
  <si>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</si>
  <si>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</si>
  <si>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</si>
  <si>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</si>
  <si>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</si>
  <si>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</si>
  <si>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</si>
  <si>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</si>
  <si>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</si>
  <si>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</si>
  <si>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</si>
  <si>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</si>
  <si>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</si>
  <si>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</si>
  <si>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</si>
  <si>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</si>
  <si>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</si>
  <si>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</si>
  <si>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</si>
  <si>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</si>
  <si>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</si>
  <si>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</si>
  <si>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</si>
  <si>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</si>
  <si>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</si>
  <si>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</si>
  <si>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</si>
  <si>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</si>
  <si>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</si>
  <si>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</si>
  <si>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</si>
  <si>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</si>
  <si>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</si>
  <si>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</si>
  <si>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</si>
  <si>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</si>
  <si>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</si>
  <si>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</si>
  <si>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</si>
  <si>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</si>
  <si>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</si>
  <si>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</si>
  <si>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</si>
  <si>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</si>
  <si>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</si>
  <si>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</si>
  <si>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</si>
  <si>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</si>
  <si>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</si>
  <si>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</si>
  <si>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</si>
  <si>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</si>
  <si>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</si>
  <si>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</si>
  <si>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</si>
  <si>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</si>
  <si>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</si>
  <si>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</si>
  <si>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</si>
  <si>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</si>
  <si>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</si>
  <si>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</si>
  <si>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</si>
  <si>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</si>
  <si>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</si>
  <si>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</si>
  <si>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</si>
  <si>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</si>
  <si>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</si>
  <si>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</si>
  <si>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</si>
  <si>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</si>
  <si>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</si>
  <si>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</si>
  <si>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</si>
  <si>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</si>
  <si>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</si>
  <si>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</si>
  <si>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</si>
  <si>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</si>
  <si>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</si>
  <si>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</si>
  <si>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</si>
  <si>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</si>
  <si>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</si>
  <si>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</si>
  <si>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</si>
  <si>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</si>
  <si>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</si>
  <si>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</si>
  <si>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</si>
  <si>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</si>
  <si>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</si>
  <si>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</si>
  <si>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</si>
  <si>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</si>
  <si>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</si>
  <si>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</si>
  <si>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</si>
  <si>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</si>
  <si>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</si>
  <si>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</si>
  <si>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</si>
  <si>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</si>
  <si>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</si>
  <si>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</si>
  <si>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</si>
  <si>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</si>
  <si>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</si>
  <si>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</si>
  <si>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</si>
  <si>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</si>
  <si>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</si>
  <si>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</si>
  <si>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</si>
  <si>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</si>
  <si>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</si>
  <si>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</si>
  <si>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</si>
  <si>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</si>
  <si>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</si>
  <si>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</si>
  <si>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</si>
  <si>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</si>
  <si>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</si>
  <si>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</si>
  <si>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</si>
  <si>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</si>
  <si>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</si>
  <si>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</si>
  <si>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</si>
  <si>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</si>
  <si>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</si>
  <si>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</si>
  <si>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</si>
  <si>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</si>
  <si>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</si>
  <si>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</si>
  <si>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</si>
  <si>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</si>
  <si>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</si>
  <si>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</si>
  <si>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</si>
  <si>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</si>
  <si>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</si>
  <si>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</si>
  <si>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</si>
  <si>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</si>
  <si>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</si>
  <si>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</si>
  <si>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</si>
  <si>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</si>
  <si>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</si>
  <si>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</si>
  <si>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</si>
  <si>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</si>
  <si>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</si>
  <si>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</si>
  <si>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</si>
  <si>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</si>
  <si>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</si>
  <si>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</si>
  <si>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</si>
  <si>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</si>
  <si>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</si>
  <si>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</si>
  <si>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</si>
  <si>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</si>
  <si>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</si>
  <si>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</si>
  <si>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</si>
  <si>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</si>
  <si>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</si>
  <si>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</si>
  <si>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</si>
  <si>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</si>
  <si>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</si>
  <si>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</si>
  <si>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</si>
  <si>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</si>
  <si>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</si>
  <si>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</si>
  <si>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</si>
  <si>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</si>
  <si>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</si>
  <si>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</si>
  <si>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</si>
  <si>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</si>
  <si>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</si>
  <si>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</si>
  <si>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</si>
  <si>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</si>
  <si>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</si>
  <si>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</si>
  <si>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</si>
  <si>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</si>
  <si>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</si>
  <si>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</si>
  <si>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</si>
  <si>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</si>
  <si>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</si>
  <si>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</si>
  <si>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</si>
  <si>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</si>
  <si>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</si>
  <si>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</si>
  <si>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</si>
  <si>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</si>
  <si>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</si>
  <si>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</si>
  <si>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</si>
  <si>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</si>
  <si>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</si>
  <si>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</si>
  <si>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</si>
  <si>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</si>
  <si>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</si>
  <si>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</si>
  <si>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</si>
  <si>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</si>
  <si>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</si>
  <si>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</si>
  <si>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</si>
  <si>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</si>
  <si>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</si>
  <si>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</si>
  <si>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</si>
  <si>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</si>
  <si>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</si>
  <si>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</si>
  <si>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</si>
  <si>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</si>
  <si>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</si>
  <si>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</si>
  <si>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</si>
  <si>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</si>
  <si>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</si>
  <si>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</si>
  <si>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</si>
  <si>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</si>
  <si>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</si>
  <si>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</si>
  <si>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</si>
  <si>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</si>
  <si>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</si>
  <si>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</si>
  <si>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</si>
  <si>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</si>
  <si>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</si>
  <si>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</si>
  <si>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</si>
  <si>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</si>
  <si>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</si>
  <si>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</si>
  <si>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</si>
  <si>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</si>
  <si>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</si>
  <si>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</si>
  <si>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</si>
  <si>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</si>
  <si>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</si>
  <si>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</si>
  <si>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</si>
  <si>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</si>
  <si>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</si>
  <si>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</si>
  <si>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</si>
  <si>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</si>
  <si>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</si>
  <si>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</si>
  <si>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</si>
  <si>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</si>
  <si>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</si>
  <si>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</si>
  <si>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</si>
  <si>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</si>
  <si>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</si>
  <si>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</si>
  <si>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</si>
  <si>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</si>
  <si>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</si>
  <si>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</si>
  <si>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</si>
  <si>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</si>
  <si>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</si>
  <si>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</si>
  <si>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</si>
  <si>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</si>
  <si>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</si>
  <si>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</si>
  <si>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</si>
  <si>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</si>
  <si>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</si>
  <si>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</si>
  <si>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</si>
  <si>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</si>
  <si>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</si>
  <si>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</si>
  <si>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</si>
  <si>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</si>
  <si>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</si>
  <si>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</si>
  <si>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</si>
  <si>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</si>
  <si>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</si>
  <si>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</si>
  <si>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</si>
  <si>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</si>
  <si>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</si>
  <si>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</si>
  <si>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</si>
  <si>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</si>
  <si>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</si>
  <si>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</si>
  <si>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</si>
  <si>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</si>
  <si>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</si>
  <si>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</si>
  <si>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</si>
  <si>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</si>
  <si>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</si>
  <si>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</si>
  <si>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</si>
  <si>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</si>
  <si>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</si>
  <si>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</si>
  <si>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</si>
  <si>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</si>
  <si>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</si>
  <si>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</si>
  <si>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</si>
  <si>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</si>
  <si>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</si>
  <si>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</si>
  <si>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</si>
  <si>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</si>
  <si>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</si>
  <si>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</si>
  <si>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</si>
  <si>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</si>
  <si>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</si>
  <si>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</si>
  <si>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</si>
  <si>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</si>
  <si>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</si>
  <si>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</si>
  <si>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</si>
  <si>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</si>
  <si>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</si>
  <si>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</si>
  <si>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</si>
  <si>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</si>
  <si>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</si>
  <si>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</si>
  <si>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</si>
  <si>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</si>
  <si>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</si>
  <si>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</si>
  <si>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</si>
  <si>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</si>
  <si>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</si>
  <si>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</si>
  <si>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</si>
  <si>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</si>
  <si>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</si>
  <si>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</si>
  <si>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</si>
  <si>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</si>
  <si>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</si>
  <si>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</si>
  <si>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</si>
  <si>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</si>
  <si>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</si>
  <si>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</si>
  <si>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</si>
  <si>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</si>
  <si>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</si>
  <si>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</si>
  <si>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</si>
  <si>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</si>
  <si>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</si>
  <si>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</si>
  <si>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</si>
  <si>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</si>
  <si>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</si>
  <si>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</si>
  <si>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</si>
  <si>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</si>
  <si>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</si>
  <si>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</si>
  <si>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</si>
  <si>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</si>
  <si>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</si>
  <si>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</si>
  <si>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</si>
  <si>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</si>
  <si>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</si>
  <si>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</si>
  <si>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</si>
  <si>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</si>
  <si>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</si>
  <si>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</si>
  <si>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</si>
  <si>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</si>
  <si>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</si>
  <si>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</si>
  <si>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</si>
  <si>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</si>
  <si>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</si>
  <si>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</si>
  <si>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</si>
  <si>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</si>
  <si>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</si>
  <si>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</si>
  <si>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</si>
  <si>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</si>
  <si>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</si>
  <si>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</si>
  <si>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</si>
  <si>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</si>
  <si>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</si>
  <si>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</si>
  <si>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</si>
  <si>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</si>
  <si>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</si>
  <si>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</si>
  <si>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</si>
  <si>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</si>
  <si>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</si>
  <si>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</si>
  <si>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</si>
  <si>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</si>
  <si>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</si>
  <si>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</si>
  <si>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</si>
  <si>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</si>
  <si>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</si>
  <si>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</si>
  <si>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</si>
  <si>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</si>
  <si>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</si>
  <si>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</si>
  <si>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</si>
  <si>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</si>
  <si>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</si>
  <si>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</si>
  <si>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</si>
  <si>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</si>
  <si>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</si>
  <si>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</si>
  <si>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</si>
  <si>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</si>
  <si>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</si>
  <si>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</si>
  <si>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</si>
  <si>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</si>
  <si>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</si>
  <si>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</si>
  <si>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</si>
  <si>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</si>
  <si>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</si>
  <si>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</si>
  <si>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</si>
  <si>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</si>
  <si>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</si>
  <si>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</si>
  <si>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</si>
  <si>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</si>
  <si>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</si>
  <si>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</si>
  <si>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</si>
  <si>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</si>
  <si>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</si>
  <si>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</si>
  <si>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</si>
  <si>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</si>
  <si>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</si>
  <si>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</si>
  <si>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</si>
  <si>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</si>
  <si>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</si>
  <si>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</si>
  <si>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</si>
  <si>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</si>
  <si>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</si>
  <si>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</si>
  <si>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</si>
  <si>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</si>
  <si>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</si>
  <si>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</si>
  <si>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</si>
  <si>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</si>
  <si>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</si>
  <si>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</si>
  <si>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</si>
  <si>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</si>
  <si>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</si>
  <si>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</si>
  <si>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</si>
  <si>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</si>
  <si>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</si>
  <si>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</si>
  <si>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</si>
  <si>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</si>
  <si>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</si>
  <si>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</si>
  <si>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</si>
  <si>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</si>
  <si>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</si>
  <si>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</si>
  <si>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</si>
  <si>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</si>
  <si>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</si>
  <si>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</si>
  <si>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</si>
  <si>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</si>
  <si>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</si>
  <si>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</si>
  <si>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</si>
  <si>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</si>
  <si>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</si>
  <si>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</si>
  <si>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</si>
  <si>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</si>
  <si>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</si>
  <si>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</si>
  <si>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</si>
  <si>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</si>
  <si>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</si>
  <si>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</si>
  <si>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</si>
  <si>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</si>
  <si>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</si>
  <si>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</si>
  <si>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</si>
  <si>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</si>
  <si>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</si>
  <si>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</si>
  <si>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</si>
  <si>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</si>
  <si>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</si>
  <si>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</si>
  <si>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</si>
  <si>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</si>
  <si>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</si>
  <si>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</si>
  <si>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</si>
  <si>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</si>
  <si>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</si>
  <si>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</si>
  <si>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</si>
  <si>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</si>
  <si>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</si>
  <si>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</si>
  <si>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</si>
  <si>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</si>
  <si>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</si>
  <si>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</si>
  <si>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</si>
  <si>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</si>
  <si>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</si>
  <si>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</si>
  <si>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</si>
  <si>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</si>
  <si>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</si>
  <si>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</si>
  <si>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</si>
  <si>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</si>
  <si>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</si>
  <si>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</si>
  <si>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</si>
  <si>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</si>
  <si>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</si>
  <si>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</si>
  <si>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</si>
  <si>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</si>
  <si>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</si>
  <si>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</si>
  <si>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</si>
  <si>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</si>
  <si>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</si>
  <si>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</si>
  <si>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</si>
  <si>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</si>
  <si>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</si>
  <si>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</si>
  <si>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</si>
  <si>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</si>
  <si>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</si>
  <si>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</si>
  <si>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</si>
  <si>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</si>
  <si>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</si>
  <si>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</si>
  <si>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</si>
  <si>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</si>
  <si>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</si>
  <si>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</si>
  <si>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</si>
  <si>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</si>
  <si>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</si>
  <si>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</si>
  <si>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</si>
  <si>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</si>
  <si>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</si>
  <si>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</si>
  <si>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</si>
  <si>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</si>
  <si>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</si>
  <si>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</si>
  <si>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</si>
  <si>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</si>
  <si>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</si>
  <si>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</si>
  <si>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</si>
  <si>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</si>
  <si>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</si>
  <si>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</si>
  <si>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</si>
  <si>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</si>
  <si>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</si>
  <si>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</si>
  <si>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</si>
  <si>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</si>
  <si>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</si>
  <si>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</si>
  <si>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</si>
  <si>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</si>
  <si>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</si>
  <si>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</si>
  <si>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</si>
  <si>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</si>
  <si>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</si>
  <si>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</si>
  <si>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</si>
  <si>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</si>
  <si>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</si>
  <si>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</si>
  <si>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</si>
  <si>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</si>
  <si>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</si>
  <si>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</si>
  <si>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</si>
  <si>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</si>
  <si>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</si>
  <si>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</si>
  <si>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</si>
  <si>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</si>
  <si>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</si>
  <si>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</si>
  <si>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</si>
  <si>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</si>
  <si>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</si>
  <si>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</si>
  <si>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</si>
  <si>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</si>
  <si>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</si>
  <si>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</si>
  <si>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</si>
  <si>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</si>
  <si>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</si>
  <si>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</si>
  <si>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</si>
  <si>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</si>
  <si>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</si>
  <si>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</si>
  <si>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</si>
  <si>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</si>
  <si>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</si>
  <si>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</si>
  <si>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</si>
  <si>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</si>
  <si>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</si>
  <si>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</si>
  <si>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</si>
  <si>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</si>
  <si>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</si>
  <si>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</si>
  <si>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</si>
  <si>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</si>
  <si>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</si>
  <si>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</si>
  <si>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</si>
  <si>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</si>
  <si>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</si>
  <si>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</si>
  <si>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</si>
  <si>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</si>
  <si>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</si>
  <si>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</si>
  <si>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</si>
  <si>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</si>
  <si>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</si>
  <si>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</si>
  <si>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</si>
  <si>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</si>
  <si>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</si>
  <si>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</si>
  <si>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</si>
  <si>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</si>
  <si>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</si>
  <si>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</si>
  <si>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</si>
  <si>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</si>
  <si>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</si>
  <si>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</si>
  <si>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</si>
  <si>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</si>
  <si>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</si>
  <si>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</si>
  <si>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</si>
  <si>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</si>
  <si>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</si>
  <si>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</si>
  <si>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</si>
  <si>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</si>
  <si>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</si>
  <si>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</si>
  <si>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</si>
  <si>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</si>
  <si>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</si>
  <si>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</si>
  <si>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</si>
  <si>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</si>
  <si>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</si>
  <si>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</si>
  <si>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</si>
  <si>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</si>
  <si>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</si>
  <si>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</si>
  <si>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</si>
  <si>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</si>
  <si>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</si>
  <si>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</si>
  <si>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</si>
  <si>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</si>
  <si>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</si>
  <si>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</si>
  <si>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</si>
  <si>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</si>
  <si>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</si>
  <si>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</si>
  <si>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</si>
  <si>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</si>
  <si>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</si>
  <si>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</si>
  <si>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</si>
  <si>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</si>
  <si>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</si>
  <si>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</si>
  <si>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</si>
  <si>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</si>
  <si>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</si>
  <si>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</si>
  <si>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</si>
  <si>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</si>
  <si>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</si>
  <si>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</si>
  <si>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</si>
  <si>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</si>
  <si>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</si>
  <si>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</si>
  <si>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</si>
  <si>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</si>
  <si>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</si>
  <si>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</si>
  <si>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</si>
  <si>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</si>
  <si>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</si>
  <si>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</si>
  <si>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</si>
  <si>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</si>
  <si>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</si>
  <si>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</si>
  <si>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</si>
  <si>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</si>
  <si>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</si>
  <si>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</si>
  <si>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</si>
  <si>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</si>
  <si>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</si>
  <si>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</si>
  <si>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</si>
  <si>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</si>
  <si>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</si>
  <si>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</si>
  <si>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</si>
  <si>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</si>
  <si>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</si>
  <si>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</si>
  <si>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</si>
  <si>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</si>
  <si>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</si>
  <si>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</si>
  <si>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</si>
  <si>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</si>
  <si>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</si>
  <si>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</si>
  <si>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</si>
  <si>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</si>
  <si>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</si>
  <si>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</si>
  <si>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</si>
  <si>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</si>
  <si>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</si>
  <si>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</si>
  <si>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</si>
  <si>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</si>
  <si>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</si>
  <si>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</si>
  <si>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</si>
  <si>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</si>
  <si>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</si>
  <si>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</si>
  <si>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</si>
  <si>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</si>
  <si>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</si>
  <si>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</si>
  <si>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</si>
  <si>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</si>
  <si>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</si>
  <si>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</si>
  <si>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</si>
  <si>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</si>
  <si>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</si>
  <si>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</si>
  <si>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</si>
  <si>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</si>
  <si>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</si>
  <si>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</si>
  <si>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</si>
  <si>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</si>
  <si>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</si>
  <si>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</si>
  <si>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</si>
  <si>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</si>
  <si>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</si>
  <si>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</si>
  <si>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</si>
  <si>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</si>
  <si>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</si>
  <si>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</si>
  <si>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</si>
  <si>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</si>
  <si>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</si>
  <si>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</si>
  <si>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</si>
  <si>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</si>
  <si>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</si>
  <si>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</si>
  <si>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</si>
  <si>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</si>
  <si>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</si>
  <si>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</si>
  <si>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</si>
  <si>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</si>
  <si>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</si>
  <si>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</si>
  <si>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</si>
  <si>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</si>
  <si>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</si>
  <si>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</si>
  <si>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</si>
  <si>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</si>
  <si>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</si>
  <si>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</si>
  <si>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</si>
  <si>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</si>
  <si>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</si>
  <si>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</si>
  <si>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</si>
  <si>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</si>
  <si>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</si>
  <si>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</si>
  <si>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</si>
  <si>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</si>
  <si>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</si>
  <si>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</si>
  <si>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</si>
  <si>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</si>
  <si>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</si>
  <si>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</si>
  <si>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</si>
  <si>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</si>
  <si>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</si>
  <si>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</si>
  <si>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</si>
  <si>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</si>
  <si>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</si>
  <si>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</si>
  <si>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</si>
  <si>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</si>
  <si>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</si>
  <si>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</si>
  <si>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</si>
  <si>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</si>
  <si>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</si>
  <si>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</si>
  <si>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</si>
  <si>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</si>
  <si>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</si>
  <si>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</si>
  <si>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</si>
  <si>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</si>
  <si>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</si>
  <si>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</si>
  <si>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</si>
  <si>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</si>
  <si>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</si>
  <si>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</si>
  <si>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</si>
  <si>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</si>
  <si>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</si>
  <si>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</si>
  <si>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</si>
  <si>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</si>
  <si>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</si>
  <si>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</si>
  <si>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</si>
  <si>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</si>
  <si>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</si>
  <si>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</si>
  <si>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</si>
  <si>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</si>
  <si>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</si>
  <si>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</si>
  <si>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</si>
  <si>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</si>
  <si>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</si>
  <si>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</si>
  <si>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</si>
  <si>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</si>
  <si>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</si>
  <si>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</si>
  <si>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</si>
  <si>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</si>
  <si>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</si>
  <si>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</si>
  <si>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</si>
  <si>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</si>
  <si>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</si>
  <si>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</si>
  <si>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</si>
  <si>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</si>
  <si>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</si>
  <si>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</si>
  <si>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</si>
  <si>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</si>
  <si>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</si>
  <si>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</si>
  <si>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</si>
  <si>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</si>
  <si>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</si>
  <si>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</si>
  <si>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</si>
  <si>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</si>
  <si>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</si>
  <si>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</si>
  <si>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</si>
  <si>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</si>
  <si>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</si>
  <si>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</si>
  <si>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</si>
  <si>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</si>
  <si>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</si>
  <si>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</si>
  <si>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</si>
  <si>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</si>
  <si>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</si>
  <si>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</si>
  <si>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</si>
  <si>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</si>
  <si>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</si>
  <si>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</si>
  <si>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</si>
  <si>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</si>
  <si>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</si>
  <si>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</si>
  <si>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</si>
  <si>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</si>
  <si>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</si>
  <si>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</si>
  <si>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</si>
  <si>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</si>
  <si>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</si>
  <si>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</si>
  <si>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</si>
  <si>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</si>
  <si>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</si>
  <si>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</si>
  <si>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</si>
  <si>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</si>
  <si>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</si>
  <si>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</si>
  <si>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</si>
  <si>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</si>
  <si>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</si>
  <si>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</si>
  <si>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</si>
  <si>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</si>
  <si>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</si>
  <si>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</si>
  <si>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</si>
  <si>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</si>
  <si>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</si>
  <si>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</si>
  <si>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</si>
  <si>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</si>
  <si>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</si>
  <si>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</si>
  <si>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</si>
  <si>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</si>
  <si>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</si>
  <si>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</si>
  <si>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</si>
  <si>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</si>
  <si>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</si>
  <si>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</si>
  <si>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</si>
  <si>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</si>
  <si>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</si>
  <si>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</si>
  <si>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</si>
  <si>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</si>
  <si>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</si>
  <si>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</si>
  <si>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</si>
  <si>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</si>
  <si>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</si>
  <si>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</si>
  <si>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</si>
  <si>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</si>
  <si>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</si>
  <si>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</si>
  <si>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</si>
  <si>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</si>
  <si>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</si>
  <si>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</si>
  <si>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</si>
  <si>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</si>
  <si>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</si>
  <si>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</si>
  <si>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</si>
  <si>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</si>
  <si>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</si>
  <si>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</si>
  <si>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</si>
  <si>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</si>
  <si>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</si>
  <si>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</si>
  <si>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</si>
  <si>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</si>
  <si>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</si>
  <si>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</si>
  <si>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</si>
  <si>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</si>
  <si>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</si>
  <si>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</si>
  <si>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</si>
  <si>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</si>
  <si>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</si>
  <si>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</si>
  <si>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</si>
  <si>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</si>
  <si>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</si>
  <si>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</si>
  <si>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</si>
  <si>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</si>
  <si>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</si>
  <si>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</si>
  <si>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</si>
  <si>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</si>
  <si>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</si>
  <si>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</si>
  <si>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</si>
  <si>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</si>
  <si>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</si>
  <si>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</si>
  <si>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</si>
  <si>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</si>
  <si>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</si>
  <si>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</si>
  <si>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</si>
  <si>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</si>
  <si>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</si>
  <si>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</si>
  <si>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</si>
  <si>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</si>
  <si>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</si>
  <si>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</si>
  <si>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</si>
  <si>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</si>
  <si>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</si>
  <si>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</si>
  <si>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</si>
  <si>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</si>
  <si>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</si>
  <si>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</si>
  <si>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</si>
  <si>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</si>
  <si>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</si>
  <si>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</si>
  <si>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</si>
  <si>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</si>
  <si>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</si>
  <si>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</si>
  <si>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</si>
  <si>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</si>
  <si>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</si>
  <si>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</si>
  <si>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</si>
  <si>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</si>
  <si>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</si>
  <si>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</si>
  <si>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</si>
  <si>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</si>
  <si>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</si>
  <si>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</si>
  <si>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</si>
  <si>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</si>
  <si>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</si>
  <si>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</si>
  <si>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</si>
  <si>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</si>
  <si>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</si>
  <si>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</si>
  <si>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</si>
  <si>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</si>
  <si>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</si>
  <si>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</si>
  <si>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</si>
  <si>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</si>
  <si>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</si>
  <si>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</si>
  <si>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</si>
  <si>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</si>
  <si>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</si>
  <si>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</si>
  <si>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</si>
  <si>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</si>
  <si>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</si>
  <si>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</si>
  <si>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</si>
  <si>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</si>
  <si>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</si>
  <si>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</si>
  <si>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</si>
  <si>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</si>
  <si>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</si>
  <si>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</si>
  <si>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</si>
  <si>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</si>
  <si>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</si>
  <si>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</si>
  <si>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</si>
  <si>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</si>
  <si>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</si>
  <si>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</si>
  <si>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</si>
  <si>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</si>
  <si>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</si>
  <si>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</si>
  <si>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</si>
  <si>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</si>
  <si>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</si>
  <si>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</si>
  <si>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</si>
  <si>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</si>
  <si>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</si>
  <si>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</si>
  <si>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</si>
  <si>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</si>
  <si>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</si>
  <si>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</si>
  <si>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</si>
  <si>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</si>
  <si>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</si>
  <si>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</si>
  <si>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</si>
  <si>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</si>
  <si>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</si>
  <si>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</si>
  <si>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</si>
  <si>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</si>
  <si>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</si>
  <si>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</si>
  <si>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</si>
  <si>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</si>
  <si>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</si>
  <si>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</si>
  <si>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</si>
  <si>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</si>
  <si>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</si>
  <si>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</si>
  <si>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</si>
  <si>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</si>
  <si>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</si>
  <si>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</si>
  <si>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</si>
  <si>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</si>
  <si>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</si>
  <si>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</si>
  <si>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</si>
  <si>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</si>
  <si>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</si>
  <si>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</si>
  <si>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</si>
  <si>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</si>
  <si>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</si>
  <si>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</si>
  <si>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</si>
  <si>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</si>
  <si>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</si>
  <si>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</si>
  <si>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</si>
  <si>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</si>
  <si>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</si>
  <si>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</si>
  <si>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</si>
  <si>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</si>
  <si>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</si>
  <si>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</si>
  <si>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</si>
  <si>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</si>
  <si>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</si>
  <si>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</si>
  <si>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</si>
  <si>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</si>
  <si>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</si>
  <si>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</si>
  <si>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</si>
  <si>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</si>
  <si>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</si>
  <si>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</si>
  <si>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</si>
  <si>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</si>
  <si>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</si>
  <si>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</si>
  <si>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</si>
  <si>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</si>
  <si>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</si>
  <si>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</si>
  <si>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</si>
  <si>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</si>
  <si>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</si>
  <si>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</si>
  <si>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</si>
  <si>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</si>
  <si>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</si>
  <si>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</si>
  <si>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</si>
  <si>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</si>
  <si>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</si>
  <si>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</si>
  <si>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</si>
  <si>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</si>
  <si>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</si>
  <si>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</si>
  <si>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</si>
  <si>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</si>
  <si>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</si>
  <si>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</si>
  <si>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</si>
  <si>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</si>
  <si>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</si>
  <si>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</si>
  <si>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</si>
  <si>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</si>
  <si>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</si>
  <si>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</si>
  <si>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</si>
  <si>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</si>
  <si>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</si>
  <si>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</si>
  <si>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</si>
  <si>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</si>
  <si>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</si>
  <si>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</si>
  <si>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</si>
  <si>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</si>
  <si>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</si>
  <si>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</si>
  <si>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</si>
  <si>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</si>
  <si>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</si>
  <si>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</si>
  <si>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</si>
  <si>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</si>
  <si>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</si>
  <si>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</si>
  <si>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</si>
  <si>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</si>
  <si>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</si>
  <si>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</si>
  <si>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</si>
  <si>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</si>
  <si>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</si>
  <si>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</si>
  <si>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</si>
  <si>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</si>
  <si>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</si>
  <si>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</si>
  <si>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</si>
  <si>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</si>
  <si>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</si>
  <si>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</si>
  <si>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</si>
  <si>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</si>
  <si>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</si>
  <si>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</si>
  <si>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</si>
  <si>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</si>
  <si>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</si>
  <si>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</si>
  <si>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</si>
  <si>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</si>
  <si>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</si>
  <si>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</si>
  <si>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</si>
  <si>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</si>
  <si>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</si>
  <si>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</si>
  <si>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</si>
  <si>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</si>
  <si>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</si>
  <si>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</si>
  <si>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</si>
  <si>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</si>
  <si>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</si>
  <si>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</si>
  <si>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</si>
  <si>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</si>
  <si>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</si>
  <si>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</si>
  <si>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</si>
  <si>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</si>
  <si>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</si>
  <si>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</si>
  <si>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</si>
  <si>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</si>
  <si>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</si>
  <si>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</si>
  <si>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</si>
  <si>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</si>
  <si>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</si>
  <si>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</si>
  <si>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</si>
  <si>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</si>
  <si>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</si>
  <si>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</si>
  <si>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</si>
  <si>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</si>
  <si>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</si>
  <si>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</si>
  <si>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</si>
  <si>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</si>
  <si>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</si>
  <si>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</si>
  <si>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</si>
  <si>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</si>
  <si>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</si>
  <si>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</si>
  <si>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</si>
  <si>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</si>
  <si>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</si>
  <si>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</si>
  <si>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</si>
  <si>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</si>
  <si>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</si>
  <si>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</si>
  <si>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</si>
  <si>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</si>
  <si>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</si>
  <si>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</si>
  <si>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</si>
  <si>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</si>
  <si>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</si>
  <si>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</si>
  <si>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</si>
  <si>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</si>
  <si>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</si>
  <si>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</si>
  <si>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</si>
  <si>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</si>
  <si>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</si>
  <si>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</si>
  <si>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</si>
  <si>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</si>
  <si>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</si>
  <si>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</si>
  <si>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</si>
  <si>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</si>
  <si>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</si>
  <si>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</si>
  <si>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</si>
  <si>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</si>
  <si>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</si>
  <si>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</si>
  <si>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</si>
  <si>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</si>
  <si>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</si>
  <si>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</si>
  <si>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</si>
  <si>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</si>
  <si>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</si>
  <si>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</si>
  <si>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</si>
  <si>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</si>
  <si>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</si>
  <si>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</si>
  <si>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</si>
  <si>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</si>
  <si>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</si>
  <si>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</si>
  <si>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</si>
  <si>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</si>
  <si>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</si>
  <si>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</si>
  <si>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</si>
  <si>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</si>
  <si>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</si>
  <si>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</si>
  <si>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</si>
  <si>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</si>
  <si>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</si>
  <si>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</si>
  <si>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</si>
  <si>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</si>
  <si>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</si>
  <si>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</si>
  <si>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</si>
  <si>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</si>
  <si>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</si>
  <si>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</si>
  <si>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</si>
  <si>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</si>
  <si>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</si>
  <si>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</si>
  <si>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</si>
  <si>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</si>
  <si>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</si>
  <si>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</si>
  <si>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</si>
  <si>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</si>
  <si>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</si>
  <si>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</si>
  <si>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</si>
  <si>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</si>
  <si>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</si>
  <si>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</si>
  <si>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</si>
  <si>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</si>
  <si>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</si>
  <si>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</si>
  <si>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</si>
  <si>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</si>
  <si>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</si>
  <si>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</si>
  <si>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</si>
  <si>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</si>
  <si>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</si>
  <si>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</si>
  <si>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</si>
  <si>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</si>
  <si>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</si>
  <si>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</si>
  <si>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</si>
  <si>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</si>
  <si>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</si>
  <si>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</si>
  <si>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</si>
  <si>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</si>
  <si>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</si>
  <si>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</si>
  <si>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</si>
  <si>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</si>
  <si>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</si>
  <si>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</si>
  <si>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</si>
  <si>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</si>
  <si>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</si>
  <si>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</si>
  <si>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</si>
  <si>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</si>
  <si>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</si>
  <si>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</si>
  <si>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</si>
  <si>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</si>
  <si>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</si>
  <si>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</si>
  <si>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</si>
  <si>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</si>
  <si>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</si>
  <si>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</si>
  <si>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</si>
  <si>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</si>
  <si>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</si>
  <si>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</si>
  <si>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</si>
  <si>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</si>
  <si>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</si>
  <si>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</si>
  <si>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</si>
  <si>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</si>
  <si>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</si>
  <si>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</si>
  <si>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</si>
  <si>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</si>
  <si>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</si>
  <si>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</si>
  <si>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</si>
  <si>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</si>
  <si>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</si>
  <si>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</si>
  <si>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</si>
  <si>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</si>
  <si>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</si>
  <si>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</si>
  <si>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</si>
  <si>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</si>
  <si>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</si>
  <si>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</si>
  <si>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</si>
  <si>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</si>
  <si>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</si>
  <si>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</si>
  <si>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</si>
  <si>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</si>
  <si>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</si>
  <si>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</si>
  <si>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</si>
  <si>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</si>
  <si>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</si>
  <si>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</si>
  <si>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</si>
  <si>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</si>
  <si>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</si>
  <si>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</si>
  <si>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</si>
  <si>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</si>
  <si>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</si>
  <si>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</si>
  <si>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</si>
  <si>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</si>
  <si>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</si>
  <si>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</si>
  <si>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</si>
  <si>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</si>
  <si>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</si>
  <si>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</si>
  <si>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</si>
  <si>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</si>
  <si>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</si>
  <si>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</si>
  <si>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</si>
  <si>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</si>
  <si>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</si>
  <si>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</si>
  <si>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</si>
  <si>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</si>
  <si>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</si>
  <si>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</si>
  <si>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</si>
  <si>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</si>
  <si>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</si>
  <si>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</si>
  <si>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</si>
  <si>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</si>
  <si>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</si>
  <si>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</si>
  <si>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</si>
  <si>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</si>
  <si>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</si>
  <si>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</si>
  <si>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</si>
  <si>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</si>
  <si>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</si>
  <si>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</si>
  <si>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</si>
  <si>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</si>
  <si>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</si>
  <si>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</si>
  <si>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</si>
  <si>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</si>
  <si>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</si>
  <si>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</si>
  <si>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</si>
  <si>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</si>
  <si>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</si>
  <si>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</si>
  <si>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</si>
  <si>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</si>
  <si>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</si>
  <si>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</si>
  <si>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</si>
  <si>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</si>
  <si>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</si>
  <si>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</si>
  <si>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</si>
  <si>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</si>
  <si>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</si>
  <si>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</si>
  <si>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</si>
  <si>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</si>
  <si>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</si>
  <si>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</si>
  <si>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</si>
  <si>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</si>
  <si>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</si>
  <si>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</si>
  <si>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</si>
  <si>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</si>
  <si>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</si>
  <si>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</si>
  <si>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</si>
  <si>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</si>
  <si>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</si>
  <si>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</si>
  <si>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</si>
  <si>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</si>
  <si>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</si>
  <si>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</si>
  <si>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</si>
  <si>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</si>
  <si>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</si>
  <si>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</si>
  <si>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</si>
  <si>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</si>
  <si>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</si>
  <si>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</si>
  <si>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</si>
  <si>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</si>
  <si>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</si>
  <si>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</si>
  <si>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</si>
  <si>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</si>
  <si>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</si>
  <si>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</si>
  <si>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</si>
  <si>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</si>
  <si>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</si>
  <si>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</si>
  <si>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</si>
  <si>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</si>
  <si>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</si>
  <si>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</si>
  <si>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</si>
  <si>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</si>
  <si>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</si>
  <si>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</si>
  <si>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</si>
  <si>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</si>
  <si>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</si>
  <si>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</si>
  <si>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</si>
  <si>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</si>
  <si>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</si>
  <si>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</si>
  <si>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</si>
  <si>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</si>
  <si>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</si>
  <si>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</si>
  <si>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</si>
  <si>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</si>
  <si>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</si>
  <si>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</si>
  <si>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</si>
  <si>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</si>
  <si>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</si>
  <si>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</si>
  <si>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</si>
  <si>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</si>
  <si>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</si>
  <si>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</si>
  <si>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</si>
  <si>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</si>
  <si>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</si>
  <si>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</si>
  <si>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</si>
  <si>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</si>
  <si>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</si>
  <si>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</si>
  <si>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</si>
  <si>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</si>
  <si>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</si>
  <si>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</si>
  <si>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</si>
  <si>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</si>
  <si>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</si>
  <si>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</si>
  <si>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</si>
  <si>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</si>
  <si>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</si>
  <si>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</si>
  <si>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</si>
  <si>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</si>
  <si>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</si>
  <si>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是</t>
  </si>
  <si>
    <t>地上</t>
  </si>
  <si>
    <t>办公</t>
    <phoneticPr fontId="7" type="noConversion"/>
  </si>
  <si>
    <t>成新度</t>
  </si>
  <si>
    <t>收益法</t>
  </si>
  <si>
    <t>宗地容积率</t>
  </si>
  <si>
    <t>不临65条商业街</t>
  </si>
  <si>
    <t>通路</t>
  </si>
  <si>
    <t>通电</t>
  </si>
  <si>
    <t>通讯</t>
  </si>
  <si>
    <t>通上水</t>
  </si>
  <si>
    <t>通下水</t>
  </si>
  <si>
    <t>通热</t>
  </si>
  <si>
    <t>燃气</t>
  </si>
  <si>
    <t>平整</t>
  </si>
  <si>
    <t>与级别开发程度不一致</t>
  </si>
  <si>
    <t>中心城区以外</t>
  </si>
  <si>
    <t>一般</t>
  </si>
  <si>
    <t>较好</t>
  </si>
  <si>
    <t>好</t>
  </si>
  <si>
    <t>未包含在土地购买价格中</t>
  </si>
  <si>
    <t>全部缴纳</t>
  </si>
  <si>
    <t>已包含在土地取得成本中</t>
  </si>
  <si>
    <t>押一</t>
  </si>
  <si>
    <t>砖混</t>
  </si>
  <si>
    <t>非生产用房</t>
  </si>
  <si>
    <t>否</t>
  </si>
  <si>
    <t>成本法</t>
  </si>
  <si>
    <t>总价</t>
  </si>
  <si>
    <t>成本比率</t>
  </si>
  <si>
    <t>商务金融用地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</si>
  <si>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</si>
  <si>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</si>
  <si>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</si>
  <si>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</si>
  <si>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</si>
  <si>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</si>
  <si>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</si>
  <si>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</si>
  <si>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</si>
  <si>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</si>
  <si>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</si>
  <si>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</si>
  <si>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</si>
  <si>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</si>
  <si>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</si>
  <si>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</si>
  <si>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</si>
  <si>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</si>
  <si>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</si>
  <si>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挂牌</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</si>
  <si>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</si>
  <si>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</si>
  <si>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</si>
  <si>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</si>
  <si>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</si>
  <si>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</si>
  <si>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</si>
  <si>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</si>
  <si>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</si>
  <si>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</si>
  <si>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</si>
  <si>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</si>
  <si>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</si>
  <si>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</si>
  <si>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</si>
  <si>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</si>
  <si>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</si>
  <si>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</si>
  <si>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</si>
  <si>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</si>
  <si>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</si>
  <si>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</si>
  <si>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</si>
  <si>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</si>
  <si>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</si>
  <si>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</si>
  <si>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</si>
  <si>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</si>
  <si>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</si>
  <si>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</si>
  <si>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</si>
  <si>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</si>
  <si>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</si>
  <si>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</si>
  <si>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</si>
  <si>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</si>
  <si>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</si>
  <si>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</si>
  <si>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</si>
  <si>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</si>
  <si>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</si>
  <si>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</si>
  <si>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</si>
  <si>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</si>
  <si>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</si>
  <si>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</si>
  <si>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</si>
  <si>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</si>
  <si>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</si>
  <si>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</si>
  <si>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</si>
  <si>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</si>
  <si>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</si>
  <si>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</si>
  <si>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</si>
  <si>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</si>
  <si>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</si>
  <si>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</si>
  <si>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</si>
  <si>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</si>
  <si>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</si>
  <si>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</si>
  <si>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</si>
  <si>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</si>
  <si>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</si>
  <si>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</si>
  <si>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</si>
  <si>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</si>
  <si>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</si>
  <si>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</si>
  <si>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</si>
  <si>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</si>
  <si>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</si>
  <si>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</si>
  <si>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</si>
  <si>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</si>
  <si>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</si>
  <si>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</si>
  <si>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</si>
  <si>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</si>
  <si>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</si>
  <si>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</si>
  <si>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</si>
  <si>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</si>
  <si>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</si>
  <si>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</si>
  <si>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</si>
  <si>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</si>
  <si>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</si>
  <si>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</si>
  <si>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</si>
  <si>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</si>
  <si>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</si>
  <si>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</si>
  <si>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</si>
  <si>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</si>
  <si>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</si>
  <si>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</si>
  <si>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</si>
  <si>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</si>
  <si>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</si>
  <si>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</si>
  <si>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</si>
  <si>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</si>
  <si>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</si>
  <si>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</si>
  <si>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</si>
  <si>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</si>
  <si>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</si>
  <si>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</si>
  <si>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</si>
  <si>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</si>
  <si>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</si>
  <si>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</si>
  <si>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</si>
  <si>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</si>
  <si>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</si>
  <si>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</si>
  <si>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</si>
  <si>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</si>
  <si>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</si>
  <si>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</si>
  <si>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</si>
  <si>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</si>
  <si>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</si>
  <si>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</si>
  <si>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</si>
  <si>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</si>
  <si>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</si>
  <si>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</si>
  <si>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</si>
  <si>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</si>
  <si>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</si>
  <si>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</si>
  <si>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</si>
  <si>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</si>
  <si>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</si>
  <si>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</si>
  <si>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</si>
  <si>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</si>
  <si>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</si>
  <si>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</si>
  <si>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</si>
  <si>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</si>
  <si>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</si>
  <si>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</si>
  <si>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</si>
  <si>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六级</t>
    <phoneticPr fontId="134" type="noConversion"/>
  </si>
  <si>
    <t>三通</t>
    <phoneticPr fontId="134" type="noConversion"/>
  </si>
  <si>
    <t>六级</t>
    <phoneticPr fontId="134" type="noConversion"/>
  </si>
  <si>
    <t>六通</t>
    <phoneticPr fontId="134" type="noConversion"/>
  </si>
  <si>
    <t>五级</t>
    <phoneticPr fontId="134" type="noConversion"/>
  </si>
  <si>
    <t>三通</t>
    <phoneticPr fontId="134" type="noConversion"/>
  </si>
  <si>
    <t>正常</t>
  </si>
  <si>
    <t>正常</t>
    <phoneticPr fontId="30" type="noConversion"/>
  </si>
  <si>
    <t>一般</t>
    <phoneticPr fontId="30" type="noConversion"/>
  </si>
  <si>
    <t>较好</t>
    <phoneticPr fontId="30" type="noConversion"/>
  </si>
  <si>
    <t>一般</t>
    <phoneticPr fontId="30" type="noConversion"/>
  </si>
  <si>
    <t>较好</t>
    <phoneticPr fontId="30" type="noConversion"/>
  </si>
  <si>
    <t>七级</t>
    <phoneticPr fontId="30" type="noConversion"/>
  </si>
  <si>
    <t>五通</t>
    <phoneticPr fontId="30" type="noConversion"/>
  </si>
  <si>
    <t>五级</t>
    <phoneticPr fontId="30" type="noConversion"/>
  </si>
  <si>
    <t>六级</t>
    <phoneticPr fontId="30" type="noConversion"/>
  </si>
  <si>
    <t>七级</t>
    <phoneticPr fontId="30" type="noConversion"/>
  </si>
  <si>
    <t>七通</t>
    <phoneticPr fontId="30" type="noConversion"/>
  </si>
  <si>
    <t>六通</t>
    <phoneticPr fontId="30" type="noConversion"/>
  </si>
  <si>
    <t>四通</t>
    <phoneticPr fontId="30" type="noConversion"/>
  </si>
  <si>
    <t>三通</t>
    <phoneticPr fontId="30" type="noConversion"/>
  </si>
  <si>
    <t>周边办公</t>
    <phoneticPr fontId="134" type="noConversion"/>
  </si>
  <si>
    <r>
      <t>2</t>
    </r>
    <r>
      <rPr>
        <sz val="11"/>
        <color theme="1"/>
        <rFont val="宋体"/>
        <family val="3"/>
        <charset val="134"/>
        <scheme val="minor"/>
      </rPr>
      <t>-2.5W</t>
    </r>
    <phoneticPr fontId="134" type="noConversion"/>
  </si>
  <si>
    <r>
      <t>3</t>
    </r>
    <r>
      <rPr>
        <sz val="11"/>
        <color theme="1"/>
        <rFont val="宋体"/>
        <family val="3"/>
        <charset val="134"/>
        <scheme val="minor"/>
      </rPr>
      <t>-4元/平方米·天</t>
    </r>
    <phoneticPr fontId="134" type="noConversion"/>
  </si>
  <si>
    <t>商业</t>
    <phoneticPr fontId="134" type="noConversion"/>
  </si>
  <si>
    <r>
      <t>3</t>
    </r>
    <r>
      <rPr>
        <sz val="11"/>
        <color theme="1"/>
        <rFont val="宋体"/>
        <family val="3"/>
        <charset val="134"/>
        <scheme val="minor"/>
      </rPr>
      <t>-3.5W</t>
    </r>
    <phoneticPr fontId="134" type="noConversion"/>
  </si>
  <si>
    <r>
      <t>5</t>
    </r>
    <r>
      <rPr>
        <sz val="11"/>
        <color theme="1"/>
        <rFont val="宋体"/>
        <family val="3"/>
        <charset val="134"/>
        <scheme val="minor"/>
      </rPr>
      <t>-6元/平方米·天</t>
    </r>
    <phoneticPr fontId="134" type="noConversion"/>
  </si>
  <si>
    <t>项目模式</t>
  </si>
  <si>
    <t>售价</t>
  </si>
  <si>
    <t>空港科技大厦</t>
    <phoneticPr fontId="3" type="noConversion"/>
  </si>
  <si>
    <t>泰达科技园</t>
    <phoneticPr fontId="3" type="noConversion"/>
  </si>
  <si>
    <t>办公</t>
    <phoneticPr fontId="31" type="noConversion"/>
  </si>
  <si>
    <t>20-30</t>
    <phoneticPr fontId="31" type="noConversion"/>
  </si>
  <si>
    <t>20-30</t>
    <phoneticPr fontId="31" type="noConversion"/>
  </si>
  <si>
    <t>30-40</t>
    <phoneticPr fontId="31" type="noConversion"/>
  </si>
  <si>
    <t>20-30</t>
    <phoneticPr fontId="31" type="noConversion"/>
  </si>
  <si>
    <t>较好</t>
    <phoneticPr fontId="31" type="noConversion"/>
  </si>
  <si>
    <t>一般</t>
    <phoneticPr fontId="31" type="noConversion"/>
  </si>
  <si>
    <t>七通</t>
    <phoneticPr fontId="31" type="noConversion"/>
  </si>
  <si>
    <t>七通</t>
    <phoneticPr fontId="31" type="noConversion"/>
  </si>
  <si>
    <t>独栋</t>
    <phoneticPr fontId="31" type="noConversion"/>
  </si>
  <si>
    <t>混合</t>
    <phoneticPr fontId="31" type="noConversion"/>
  </si>
  <si>
    <t>钢混</t>
    <phoneticPr fontId="31" type="noConversion"/>
  </si>
  <si>
    <t>普装</t>
    <phoneticPr fontId="31" type="noConversion"/>
  </si>
  <si>
    <t>精装</t>
    <phoneticPr fontId="31" type="noConversion"/>
  </si>
  <si>
    <t>五通</t>
    <phoneticPr fontId="31" type="noConversion"/>
  </si>
  <si>
    <t>五通</t>
    <phoneticPr fontId="31" type="noConversion"/>
  </si>
  <si>
    <t>比较法-办公</t>
  </si>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</sst>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xf numFmtId="0" fontId="53" fillId="8" borderId="0" xfId="19" applyFill="1"/>
    <xf numFmtId="0" fontId="0" fillId="8" borderId="0" xfId="0" applyFill="1">
      <alignment vertical="center"/>
    </xf>
    <xf numFmtId="0" fontId="53" fillId="16" borderId="0" xfId="19" applyFill="1"/>
    <xf numFmtId="0" fontId="0" fillId="16" borderId="0" xfId="0" applyFill="1">
      <alignment vertical="center"/>
    </xf>
    <xf numFmtId="0" fontId="95"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28625"/>
          <a:ext cx="6838096" cy="2638095"/>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10657144" cy="552381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100952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686550"/>
          <a:ext cx="10600001"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579753</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80953" cy="4819048"/>
        </a:xfrm>
        <a:prstGeom prst="rect">
          <a:avLst/>
        </a:prstGeom>
      </xdr:spPr>
    </xdr:pic>
    <xdr:clientData/>
  </xdr:twoCellAnchor>
  <xdr:twoCellAnchor editAs="oneCell">
    <xdr:from>
      <xdr:col>0</xdr:col>
      <xdr:colOff>0</xdr:colOff>
      <xdr:row>29</xdr:row>
      <xdr:rowOff>0</xdr:rowOff>
    </xdr:from>
    <xdr:to>
      <xdr:col>15</xdr:col>
      <xdr:colOff>74905</xdr:colOff>
      <xdr:row>57</xdr:row>
      <xdr:rowOff>142257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972050"/>
          <a:ext cx="10361905" cy="4942857"/>
        </a:xfrm>
        <a:prstGeom prst="rect">
          <a:avLst/>
        </a:prstGeom>
      </xdr:spPr>
    </xdr:pic>
    <xdr:clientData/>
  </xdr:twoCellAnchor>
  <xdr:twoCellAnchor editAs="oneCell">
    <xdr:from>
      <xdr:col>0</xdr:col>
      <xdr:colOff>0</xdr:colOff>
      <xdr:row>57</xdr:row>
      <xdr:rowOff>85725</xdr:rowOff>
    </xdr:from>
    <xdr:to>
      <xdr:col>14</xdr:col>
      <xdr:colOff>436896</xdr:colOff>
      <xdr:row>85</xdr:row>
      <xdr:rowOff>75602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10038096" cy="4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估价对象为北京市房地产，为所有。根据《国有土地使用证》[]，估价对象（分摊）出让国有建设用地使用权面积为527.48平方米，建筑面积为1216.87平方米。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估价对象为北京市房地产,属开发建设的，该项目尚在开发建设中。根据《国有土地使用证》[]，估价对象（分摊）出让国有建设用地使用权面积为527.48平方米，规划建筑面积为1216.87平方米。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2023年7月17日</v>
      </c>
    </row>
    <row r="13" spans="1:2" s="1202" customFormat="1">
      <c r="A13" s="1200" t="s">
        <v>529</v>
      </c>
      <c r="B13" s="1201"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2124</v>
      </c>
    </row>
    <row r="21" spans="1:2" s="1202" customFormat="1">
      <c r="A21" s="1200" t="s">
        <v>537</v>
      </c>
      <c r="B21" s="1201">
        <f ca="1">'预评函-2'!D7</f>
        <v>17455</v>
      </c>
    </row>
    <row r="22" spans="1:2" s="1202" customFormat="1">
      <c r="A22" s="1200" t="s">
        <v>538</v>
      </c>
      <c r="B22" s="1201" t="str">
        <f ca="1">'预评函-2'!D6</f>
        <v>贰仟壹佰贰拾肆万元整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2124</v>
      </c>
    </row>
    <row r="31" spans="1:2" s="1202" customFormat="1">
      <c r="A31" s="1200" t="s">
        <v>576</v>
      </c>
      <c r="B31" s="1201">
        <f ca="1">'预评函-2'!D15</f>
        <v>17455</v>
      </c>
    </row>
    <row r="32" spans="1:2" s="1202" customFormat="1">
      <c r="A32" s="1200" t="s">
        <v>543</v>
      </c>
      <c r="B32" s="1201" t="str">
        <f ca="1">'预评函-2'!D14</f>
        <v>贰仟壹佰贰拾肆万元整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1216.8699999999999</v>
      </c>
    </row>
    <row r="44" spans="1:2" s="1202" customFormat="1">
      <c r="A44" s="1200" t="s">
        <v>575</v>
      </c>
      <c r="B44" s="1201" t="str">
        <f>'预评函-3'!C2</f>
        <v>(分摊)土地面积</v>
      </c>
    </row>
    <row r="45" spans="1:2" s="1202" customFormat="1">
      <c r="A45" s="1200" t="s">
        <v>547</v>
      </c>
      <c r="B45" s="1201">
        <f>'预评函-3'!C4</f>
        <v>527.48</v>
      </c>
    </row>
    <row r="46" spans="1:2" s="1202" customFormat="1">
      <c r="A46" s="1200" t="s">
        <v>573</v>
      </c>
      <c r="B46" s="1201" t="str">
        <f>'预评函-3'!D2</f>
        <v>出让国有建设用地使用权价值</v>
      </c>
    </row>
    <row r="47" spans="1:2" s="1202" customFormat="1">
      <c r="A47" s="1200" t="s">
        <v>548</v>
      </c>
      <c r="B47" s="1201">
        <f ca="1">'预评函-3'!D4</f>
        <v>1531</v>
      </c>
    </row>
    <row r="48" spans="1:2" s="1202" customFormat="1">
      <c r="A48" s="1200" t="s">
        <v>549</v>
      </c>
      <c r="B48" s="1201">
        <f ca="1">'预评函-3'!E4</f>
        <v>12582</v>
      </c>
    </row>
    <row r="49" spans="1:2" s="1202" customFormat="1">
      <c r="A49" s="1200" t="s">
        <v>550</v>
      </c>
      <c r="B49" s="1201" t="str">
        <f ca="1">'预评函-3'!D5</f>
        <v>壹仟伍佰叁拾壹万元整</v>
      </c>
    </row>
    <row r="50" spans="1:2" s="1202" customFormat="1">
      <c r="A50" s="1200" t="s">
        <v>574</v>
      </c>
      <c r="B50" s="1201" t="str">
        <f>'预评函-3'!F2</f>
        <v>在建建筑物价值</v>
      </c>
    </row>
    <row r="51" spans="1:2" s="1202" customFormat="1">
      <c r="A51" s="1200" t="s">
        <v>551</v>
      </c>
      <c r="B51" s="1201">
        <f ca="1">'预评函-3'!F4</f>
        <v>593</v>
      </c>
    </row>
    <row r="52" spans="1:2" s="1202" customFormat="1">
      <c r="A52" s="1200" t="s">
        <v>552</v>
      </c>
      <c r="B52" s="1201">
        <f ca="1">'预评函-3'!G4</f>
        <v>4873</v>
      </c>
    </row>
    <row r="53" spans="1:2" s="1202" customFormat="1">
      <c r="A53" s="1200" t="s">
        <v>580</v>
      </c>
      <c r="B53" s="1201" t="str">
        <f ca="1">'预评函-3'!F5</f>
        <v>伍佰玖拾叁万元整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4" t="s">
        <v>2584</v>
      </c>
      <c r="J2" s="3514"/>
      <c r="K2" s="3514"/>
      <c r="L2" s="3514"/>
      <c r="M2" s="3514"/>
      <c r="N2" s="3514"/>
      <c r="O2" s="3514"/>
      <c r="P2" s="3514"/>
      <c r="Q2" s="3514"/>
      <c r="R2" s="3514"/>
    </row>
    <row r="3" spans="1:18">
      <c r="A3" s="3019" t="s">
        <v>2505</v>
      </c>
      <c r="B3" s="3020">
        <f>项目基本情况!D3</f>
        <v>45124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45124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8"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19"/>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6"/>
      <c r="D13" s="856">
        <v>54463</v>
      </c>
      <c r="E13" s="856">
        <v>54463</v>
      </c>
      <c r="F13" s="856"/>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25.58</v>
      </c>
      <c r="E15" s="2409">
        <f>IF(A13="出让",IF(E13="","",ROUNDDOWN(MIN((E13-$D$3)/365,E14),2)),E14)</f>
        <v>25.58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5"/>
      <c r="C16" s="3526"/>
      <c r="D16" s="3527"/>
      <c r="E16" s="2412" t="s">
        <v>2194</v>
      </c>
      <c r="F16" s="3528"/>
      <c r="G16" s="3529"/>
      <c r="H16" s="3529"/>
      <c r="I16" s="3530"/>
      <c r="J16" s="2438"/>
      <c r="K16" s="2616"/>
      <c r="L16" s="2450"/>
      <c r="M16" s="2450"/>
      <c r="N16" s="2508"/>
      <c r="O16" s="2450"/>
      <c r="P16" s="2508"/>
      <c r="Q16" s="2438"/>
      <c r="R16" s="2438"/>
    </row>
    <row r="17" spans="1:28">
      <c r="A17" s="313" t="s">
        <v>2195</v>
      </c>
      <c r="B17" s="302" t="s">
        <v>2196</v>
      </c>
      <c r="C17" s="8">
        <f>'数据-汇总表'!E3</f>
        <v>1216.8699999999999</v>
      </c>
      <c r="D17" s="2321" t="s">
        <v>2197</v>
      </c>
      <c r="E17" s="3531" t="s">
        <v>2198</v>
      </c>
      <c r="F17" s="3532"/>
      <c r="G17" s="3532"/>
      <c r="H17" s="3532"/>
      <c r="I17" s="353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527.48</v>
      </c>
      <c r="D18" s="1092" t="s">
        <v>2201</v>
      </c>
      <c r="E18" s="3534" t="s">
        <v>2202</v>
      </c>
      <c r="F18" s="3535"/>
      <c r="G18" s="3535"/>
      <c r="H18" s="3535"/>
      <c r="I18" s="3536"/>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1" t="s">
        <v>2206</v>
      </c>
      <c r="C20" s="3522"/>
      <c r="D20" s="3523" t="s">
        <v>2207</v>
      </c>
      <c r="E20" s="3524"/>
      <c r="F20" s="2646" t="s">
        <v>1056</v>
      </c>
      <c r="G20" s="2663"/>
      <c r="H20" s="2663"/>
      <c r="I20" s="2663"/>
      <c r="J20" s="2438"/>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9"/>
      <c r="B30" s="302" t="s">
        <v>2218</v>
      </c>
      <c r="C30" s="3540"/>
      <c r="D30" s="3541"/>
      <c r="E30" s="2663"/>
      <c r="F30" s="2663"/>
      <c r="G30" s="2663"/>
      <c r="H30" s="2663"/>
      <c r="I30" s="2663"/>
      <c r="J30" s="2438"/>
      <c r="K30" s="2615"/>
      <c r="L30" s="2612"/>
      <c r="M30" s="2612"/>
      <c r="N30" s="2438"/>
      <c r="O30" s="2449"/>
      <c r="P30" s="2438"/>
      <c r="Q30" s="2438"/>
      <c r="R30" s="2438"/>
      <c r="S30" s="2438"/>
      <c r="T30" s="2438"/>
      <c r="U30" s="2438"/>
      <c r="V30" s="2438"/>
    </row>
    <row r="31" spans="1:28">
      <c r="A31" s="3542"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7" t="s">
        <v>2228</v>
      </c>
      <c r="T34" s="2427" t="str">
        <f>NUMBERSTRING(7-K34,1)&amp;"通"</f>
        <v>七通</v>
      </c>
      <c r="U34" s="2438"/>
      <c r="V34" s="2438"/>
    </row>
    <row r="35" spans="1:30">
      <c r="A35" s="2428"/>
      <c r="B35" s="3544" t="s">
        <v>2229</v>
      </c>
      <c r="C35" s="3544"/>
      <c r="D35" s="3544"/>
      <c r="E35" s="354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304</v>
      </c>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264</v>
      </c>
      <c r="C38" s="2431" t="s">
        <v>264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527.48</v>
      </c>
      <c r="B3" s="11">
        <f>IF(C3="否",G5-AT5,G5)</f>
        <v>1216.8699999999999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1216.8699999999999</v>
      </c>
      <c r="H5" s="13">
        <f t="shared" ref="H5:AT5" si="0">SUM(H13:H656)</f>
        <v>1216.8699999999999</v>
      </c>
      <c r="I5" s="13">
        <f t="shared" si="0"/>
        <v>1216.8699999999999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1216.8699999999999</v>
      </c>
      <c r="BA5" s="15">
        <f t="shared" si="1"/>
        <v>1216.8699999999999</v>
      </c>
      <c r="BB5" s="15">
        <f t="shared" si="1"/>
        <v>1216.8699999999999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527.48</v>
      </c>
      <c r="F6" s="13" t="s">
        <v>0</v>
      </c>
      <c r="G6" s="13" t="s">
        <v>1</v>
      </c>
      <c r="H6" s="17">
        <f>SUMIF(I$12:AB$12,"总值",I6:AB6)</f>
        <v>527.48</v>
      </c>
      <c r="I6" s="13">
        <f t="shared" ref="I6:AB6" si="2">ROUND($A$3*I5/$B$3,2)</f>
        <v>527.48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527.48</v>
      </c>
      <c r="AZ6" s="13" t="s">
        <v>2</v>
      </c>
      <c r="BA6" s="13">
        <f>ROUND($AY$6*BA5/$AZ$5,2)</f>
        <v>527.48</v>
      </c>
      <c r="BB6" s="13">
        <f>ROUND($AY$6*BB5/$AZ$5,2)</f>
        <v>527.48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3383</v>
      </c>
      <c r="E13" s="13">
        <f>IF($C$3="是",ROUND($A$3*G13/$B$3,2),ROUND($A$3*(G13-AT13)/$B$3,2))</f>
        <v>527.48</v>
      </c>
      <c r="F13" s="29"/>
      <c r="G13" s="30">
        <f>H13+AC13+AT13</f>
        <v>1216.8699999999999</v>
      </c>
      <c r="H13" s="17">
        <f>SUMIF(I$12:AB$12,"总值",I13:AB13)</f>
        <v>1216.8699999999999</v>
      </c>
      <c r="I13" s="1625">
        <v>1216.8699999999999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527.48</v>
      </c>
      <c r="AZ13" s="13">
        <f>BA13+BL13</f>
        <v>1216.8699999999999</v>
      </c>
      <c r="BA13" s="13">
        <f>SUM(BB13:BK13)</f>
        <v>1216.8699999999999</v>
      </c>
      <c r="BB13" s="13">
        <f>IF($D13="是",I13-J13,0)</f>
        <v>1216.8699999999999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8" t="s">
        <v>1108</v>
      </c>
      <c r="F2" s="2658"/>
      <c r="G2" s="2649"/>
      <c r="H2" s="2650"/>
      <c r="I2" s="2324" t="s">
        <v>1132</v>
      </c>
      <c r="J2" s="2658"/>
      <c r="K2" s="2658"/>
      <c r="L2" s="2658"/>
      <c r="M2" s="2658"/>
      <c r="N2" s="2660"/>
      <c r="O2" s="2658"/>
      <c r="P2" s="2658"/>
    </row>
    <row r="3" spans="1:16" ht="15.75" thickBot="1">
      <c r="A3" s="3555" t="s">
        <v>1105</v>
      </c>
      <c r="B3" s="3555"/>
      <c r="C3" s="3555"/>
      <c r="D3" s="43">
        <f>'数据-基础表'!AY6</f>
        <v>527.48</v>
      </c>
      <c r="E3" s="43">
        <f>'数据-基础表'!AZ5</f>
        <v>1216.8699999999999</v>
      </c>
      <c r="F3" s="2658"/>
      <c r="G3" s="1145"/>
      <c r="H3" s="1026" t="s">
        <v>1106</v>
      </c>
      <c r="I3" s="855">
        <f>ROUND('数据-基础表'!B3/'数据-基础表'!A3,2)</f>
        <v>2.31</v>
      </c>
      <c r="J3" s="2658"/>
      <c r="K3" s="2658"/>
      <c r="L3" s="2658"/>
      <c r="M3" s="2658"/>
      <c r="N3" s="2660"/>
      <c r="O3" s="2658"/>
      <c r="P3" s="2658"/>
    </row>
    <row r="4" spans="1:16" ht="15">
      <c r="A4" s="3556"/>
      <c r="B4" s="3557"/>
      <c r="C4" s="3558"/>
      <c r="D4" s="1640" t="s">
        <v>1107</v>
      </c>
      <c r="E4" s="1641" t="s">
        <v>1108</v>
      </c>
      <c r="F4" s="2658"/>
      <c r="G4" s="2651" t="s">
        <v>1133</v>
      </c>
      <c r="H4" s="1026" t="s">
        <v>1113</v>
      </c>
      <c r="I4" s="855">
        <f>ROUND(SUMIF('数据-基础表'!I9:AS9,"地上",'数据-基础表'!I5:AS5)/'数据-基础表'!A3,2)</f>
        <v>2.31</v>
      </c>
      <c r="J4" s="2658"/>
      <c r="K4" s="2658"/>
      <c r="L4" s="2658"/>
      <c r="M4" s="2658"/>
      <c r="N4" s="2660"/>
      <c r="O4" s="2658"/>
      <c r="P4" s="2658"/>
    </row>
    <row r="5" spans="1:16">
      <c r="A5" s="44" t="s">
        <v>1109</v>
      </c>
      <c r="B5" s="3559" t="s">
        <v>1110</v>
      </c>
      <c r="C5" s="3559"/>
      <c r="D5" s="45">
        <f>ROUND($D$3*E5/$E$3,2)</f>
        <v>0</v>
      </c>
      <c r="E5" s="46">
        <f>SUMIF('数据-基础表'!$11:$11,"住宅",'数据-基础表'!$5:$5)</f>
        <v>0</v>
      </c>
      <c r="F5" s="2658"/>
      <c r="G5" s="1145"/>
      <c r="H5" s="1026" t="s">
        <v>1106</v>
      </c>
      <c r="I5" s="855">
        <f>ROUND(E31/D31,2)</f>
        <v>2.31</v>
      </c>
      <c r="J5" s="2658"/>
      <c r="K5" s="2658"/>
      <c r="L5" s="2658"/>
      <c r="M5" s="2658"/>
      <c r="N5" s="2658"/>
      <c r="O5" s="2658"/>
      <c r="P5" s="2658"/>
    </row>
    <row r="6" spans="1:16" ht="15" thickBot="1">
      <c r="A6" s="1643"/>
      <c r="B6" s="3559" t="s">
        <v>1111</v>
      </c>
      <c r="C6" s="3559"/>
      <c r="D6" s="45">
        <f>ROUND($D$3*E6/$E$3,2)</f>
        <v>527.48</v>
      </c>
      <c r="E6" s="46">
        <f>E3-E5</f>
        <v>1216.8699999999999</v>
      </c>
      <c r="F6" s="2658"/>
      <c r="G6" s="2652" t="s">
        <v>1112</v>
      </c>
      <c r="H6" s="1146" t="s">
        <v>1113</v>
      </c>
      <c r="I6" s="2653">
        <f>ROUND(F31/D31,2)</f>
        <v>2.31</v>
      </c>
      <c r="J6" s="2658"/>
      <c r="K6" s="2658"/>
      <c r="L6" s="2658"/>
      <c r="M6" s="2658"/>
      <c r="N6" s="2658"/>
      <c r="O6" s="2658"/>
      <c r="P6" s="2658"/>
    </row>
    <row r="7" spans="1:16" ht="15.75" thickBot="1">
      <c r="A7" s="3551"/>
      <c r="B7" s="3552"/>
      <c r="C7" s="355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527.48</v>
      </c>
      <c r="E8" s="48">
        <f>SUMIF('数据-基础表'!BB10:BK10,"地上",'数据-基础表'!BB5:BK5)</f>
        <v>1216.8699999999999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527.48</v>
      </c>
      <c r="E16" s="50">
        <f>SUM(E8:E15)</f>
        <v>1216.8699999999999</v>
      </c>
      <c r="F16" s="2658"/>
      <c r="G16" s="2659"/>
      <c r="H16" s="1647" t="s">
        <v>1135</v>
      </c>
      <c r="I16" s="1648"/>
      <c r="J16" s="1139"/>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9"/>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3385</v>
      </c>
      <c r="D19" s="45">
        <f>ROUND($D$3*E19/$E$3,2)</f>
        <v>527.48</v>
      </c>
      <c r="E19" s="53">
        <f t="shared" ref="E19:E26" si="1">SUM(F19:G19)</f>
        <v>1216.8699999999999</v>
      </c>
      <c r="F19" s="2794">
        <f>'数据-基础表'!I13</f>
        <v>1216.8699999999999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527.48</v>
      </c>
      <c r="S19" s="1027">
        <f t="shared" si="5"/>
        <v>1216.8699999999999</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527.48</v>
      </c>
      <c r="E27" s="1141">
        <f>IF(SUM(E19:E26)='数据-基础表'!BA5,SUM(E19:E26),IF(F27="地上面积有误","面积有误","地下面积有误"))</f>
        <v>1216.8699999999999</v>
      </c>
      <c r="F27" s="1140">
        <f>IF(SUM(F19:F26)=E8,SUM(F19:F26),"地上面积有误")</f>
        <v>1216.8699999999999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527.48</v>
      </c>
      <c r="S27" s="1026">
        <f>IF(SUM(S19:S26)=$E$3,SUM(S19:S26),SUM(S19:S26)&amp;"误差"&amp;ROUND(SUM(S19:S26)-E3,2))</f>
        <v>1216.8699999999999</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527.48</v>
      </c>
      <c r="E31" s="676">
        <f>E27+E30</f>
        <v>1216.8699999999999</v>
      </c>
      <c r="F31" s="677">
        <f>F27+F30</f>
        <v>1216.8699999999999</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19" sqref="A1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45124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54463</v>
      </c>
      <c r="F6" s="64">
        <f>SUMIF(项目基本情况!C$12:I$12,C6,项目基本情况!C$15:I$15)</f>
        <v>25.58</v>
      </c>
      <c r="G6" s="65">
        <f>IF(ISERROR(ROUND(POWER(1+H6,D6-F6)*(POWER(1+H6,F6)-1)/(POWER(1+H6,D6)-1),3)),0,ROUND(POWER(1+H6,D6-F6)*(POWER(1+H6,F6)-1)/(POWER(1+H6,D6)-1),3))</f>
        <v>0.78100000000000003</v>
      </c>
      <c r="H6" s="732">
        <v>0.05</v>
      </c>
      <c r="I6" s="732">
        <v>5.5E-2</v>
      </c>
      <c r="J6" s="66">
        <v>7.0000000000000007E-2</v>
      </c>
      <c r="K6" s="1030">
        <f>SUMIF('数据-汇总表'!C$19:C$33,A6,'数据-汇总表'!E$19:E$33)</f>
        <v>1216.8699999999999</v>
      </c>
      <c r="L6" s="733">
        <v>4000</v>
      </c>
      <c r="M6" s="67">
        <f t="shared" ref="M6:M14" si="0">ROUND(K6*L6/10000,0)</f>
        <v>487</v>
      </c>
      <c r="N6" s="731">
        <v>0.7</v>
      </c>
      <c r="O6" s="67" t="str">
        <f>IF($N$5="成新度","——",ROUND(M6*N6,0))</f>
        <v>——</v>
      </c>
      <c r="P6" s="68" t="str">
        <f>IF($N$5="成新度","——",M6-O6)</f>
        <v>——</v>
      </c>
      <c r="Q6" s="734">
        <v>0.15</v>
      </c>
      <c r="R6" s="69">
        <f ca="1">SUMIF('数据-汇总表'!C$19:C$33,A6,'数据-汇总表'!R$19:R$27)</f>
        <v>527.48</v>
      </c>
      <c r="S6" s="51">
        <f>IF('数据-汇总表'!$I$17="按面积比例",SUMIF('数据-汇总表'!C$19:C$33,A6,'数据-汇总表'!K$19:K$33),SUMIF('数据-汇总表'!C$19:C$33,A6,'数据-汇总表'!N$19:N$33))</f>
        <v>0</v>
      </c>
      <c r="T6" s="1172">
        <f>ROUND($L$14*S6/10000,0)</f>
        <v>0</v>
      </c>
      <c r="U6" s="3427">
        <v>3.6</v>
      </c>
      <c r="V6" s="70">
        <v>2.5000000000000001E-2</v>
      </c>
      <c r="W6" s="70">
        <v>0.1</v>
      </c>
      <c r="X6" s="1040"/>
      <c r="Y6" s="71">
        <f>N6</f>
        <v>0.7</v>
      </c>
      <c r="Z6" s="72"/>
      <c r="AA6" s="66"/>
      <c r="AB6" s="66"/>
      <c r="AC6" s="1040"/>
      <c r="AD6" s="73"/>
      <c r="AE6" s="1041">
        <f ca="1">IF(AN6="",0,SUMIF(INDIRECT("'"&amp;AN6&amp;"'"&amp;"!E:E"),$AE$5,INDIRECT("'"&amp;AN6&amp;"'"&amp;"!F:F")))</f>
        <v>25.58</v>
      </c>
      <c r="AF6" s="1347"/>
      <c r="AG6" s="138">
        <f>IF(AF6="",0,AE6-AF6)</f>
        <v>0</v>
      </c>
      <c r="AH6" s="74"/>
      <c r="AI6" s="76">
        <v>365</v>
      </c>
      <c r="AJ6" s="77"/>
      <c r="AK6" s="78">
        <v>0.01</v>
      </c>
      <c r="AL6" s="79">
        <v>1E-3</v>
      </c>
      <c r="AM6" s="80">
        <v>0.01</v>
      </c>
      <c r="AN6" s="1714" t="s">
        <v>3387</v>
      </c>
      <c r="AO6" s="52">
        <f ca="1">SUMIF(INDIRECT("'"&amp;AN6&amp;"'"&amp;"!A:A"),"总价",INDIRECT("'"&amp;AN6&amp;"'"&amp;"!B:B"))</f>
        <v>1975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0.78100000000000003</v>
      </c>
      <c r="H16" s="90">
        <f>ROUND(SUMPRODUCT(H6:H13,K6:K13)/SUMPRODUCT((H6:H13&gt;0)*(K6:K13)),3)</f>
        <v>0.05</v>
      </c>
      <c r="I16" s="91"/>
      <c r="J16" s="91"/>
      <c r="K16" s="92">
        <f>SUM(K6:K15)</f>
        <v>1216.8699999999999</v>
      </c>
      <c r="L16" s="93">
        <f>ROUND(M16*10000/SUM(K6:K14),0)</f>
        <v>4002</v>
      </c>
      <c r="M16" s="93">
        <f>SUM(M6:M14)</f>
        <v>487</v>
      </c>
      <c r="N16" s="94">
        <f>ROUND(SUMPRODUCT(M6:M14,N6:N14)/M16,3)</f>
        <v>0.7</v>
      </c>
      <c r="O16" s="93">
        <f>SUM(O6:O14)</f>
        <v>0</v>
      </c>
      <c r="P16" s="93">
        <f>SUM(P6:P14)</f>
        <v>0</v>
      </c>
      <c r="Q16" s="95">
        <f>ROUND(SUMPRODUCT(Q6:Q13,K6:K13)/SUMPRODUCT((Q6:Q13&gt;0)*(K6:K13)),2)</f>
        <v>0.15</v>
      </c>
      <c r="R16" s="1034">
        <f ca="1">SUM(R6:R13)</f>
        <v>527.48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f>ROUND(1-(1-2%)*(2023-N19)/50,2)</f>
        <v>0.69</v>
      </c>
      <c r="O20" s="2670"/>
      <c r="P20" s="2670"/>
      <c r="Q20" s="2670"/>
      <c r="R20" s="2670"/>
      <c r="S20" s="2670"/>
      <c r="T20" s="2670"/>
      <c r="U20" s="2670">
        <v>1</v>
      </c>
      <c r="V20" s="2670">
        <v>360.49</v>
      </c>
      <c r="W20" s="2670">
        <v>5</v>
      </c>
      <c r="X20" s="2670">
        <f>V20*W20</f>
        <v>1802.45</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v>2</v>
      </c>
      <c r="V21" s="2670">
        <v>210.66</v>
      </c>
      <c r="W21" s="2670">
        <v>3</v>
      </c>
      <c r="X21" s="2670">
        <f t="shared" ref="X21:X23" si="12">V21*W21</f>
        <v>631.98</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v>3</v>
      </c>
      <c r="V22" s="2670">
        <v>322.86</v>
      </c>
      <c r="W22" s="2670">
        <v>3</v>
      </c>
      <c r="X22" s="2670">
        <f t="shared" si="12"/>
        <v>968.58</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v>4</v>
      </c>
      <c r="V23" s="2670">
        <v>322.86</v>
      </c>
      <c r="W23" s="2670">
        <v>3</v>
      </c>
      <c r="X23" s="2670">
        <f t="shared" si="12"/>
        <v>968.58</v>
      </c>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f>V20+V21+V22+V23</f>
        <v>1216.8699999999999</v>
      </c>
      <c r="W24" s="2670">
        <f>X24/V24</f>
        <v>3.5924872829472339</v>
      </c>
      <c r="X24" s="2670">
        <f t="shared" ref="X24" si="13">X20+X21+X22+X23</f>
        <v>4371.59</v>
      </c>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0" t="s">
        <v>2286</v>
      </c>
      <c r="B1" s="3561"/>
      <c r="C1" s="3561"/>
      <c r="D1" s="3561"/>
      <c r="E1" s="3561"/>
      <c r="F1" s="3561"/>
      <c r="G1" s="356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1216.8699999999999</v>
      </c>
      <c r="C1" s="2685"/>
      <c r="D1" s="2685"/>
      <c r="E1" s="2685"/>
      <c r="F1" s="2685"/>
      <c r="G1" s="2686"/>
      <c r="H1" s="2687"/>
      <c r="I1" s="2687"/>
      <c r="J1" s="2687"/>
      <c r="K1" s="2687"/>
    </row>
    <row r="2" spans="1:11" ht="16.5">
      <c r="A2" s="2511" t="s">
        <v>653</v>
      </c>
      <c r="B2" s="2511">
        <f>SUM(C14:C23)</f>
        <v>527.48</v>
      </c>
      <c r="C2" s="2685"/>
      <c r="D2" s="2685"/>
      <c r="E2" s="2685"/>
      <c r="F2" s="2685"/>
      <c r="G2" s="2686"/>
      <c r="H2" s="2687"/>
      <c r="I2" s="2687"/>
      <c r="J2" s="2687"/>
      <c r="K2" s="2687"/>
    </row>
    <row r="3" spans="1:11" ht="16.5">
      <c r="A3" s="2511" t="s">
        <v>662</v>
      </c>
      <c r="B3" s="2513">
        <f>项目基本情况!D3</f>
        <v>45124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2124</v>
      </c>
      <c r="C5" s="2511">
        <f ca="1">IF(B5=D14,结果表!H102,ROUND(B5*10000/$B$1,0))</f>
        <v>17455</v>
      </c>
      <c r="D5" s="2511">
        <f ca="1">ROUND(B5*10000/$B$2,0)</f>
        <v>40267</v>
      </c>
      <c r="E5" s="2685"/>
      <c r="F5" s="2686"/>
      <c r="G5" s="2686"/>
      <c r="H5" s="2687"/>
      <c r="I5" s="2687"/>
      <c r="J5" s="2687"/>
      <c r="K5" s="2687"/>
    </row>
    <row r="6" spans="1:11" ht="16.5">
      <c r="A6" s="2511" t="s">
        <v>656</v>
      </c>
      <c r="B6" s="2511">
        <f>SUM(G14:G23)</f>
        <v>0</v>
      </c>
      <c r="C6" s="2511">
        <f ca="1">IF(B6=G14,结果表!H108,ROUND(B6*10000/$B$1,0))</f>
        <v>17455</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1216.8699999999999</v>
      </c>
      <c r="C14" s="2517">
        <f>结果表!C118</f>
        <v>527.48</v>
      </c>
      <c r="D14" s="2517">
        <f ca="1">结果表!H118</f>
        <v>2124</v>
      </c>
      <c r="E14" s="2517">
        <f ca="1">ROUND(D14*10000/B14,0)</f>
        <v>17455</v>
      </c>
      <c r="F14" s="2517">
        <f ca="1">ROUND(D14*10000/C14,0)</f>
        <v>40267</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4" sqref="P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9" t="str">
        <f>项目基本情况!S2</f>
        <v>北京市房地产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3" t="s">
        <v>1265</v>
      </c>
      <c r="B4" s="1754" t="s">
        <v>1266</v>
      </c>
      <c r="C4" s="1755" t="s">
        <v>3628</v>
      </c>
      <c r="D4" s="1755" t="s">
        <v>3410</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7" t="s">
        <v>1268</v>
      </c>
      <c r="B5" s="3632">
        <v>25</v>
      </c>
      <c r="C5" s="3635"/>
      <c r="D5" s="3623"/>
      <c r="E5" s="131" t="s">
        <v>1269</v>
      </c>
      <c r="F5" s="1756"/>
      <c r="G5" s="1756"/>
      <c r="H5" s="1756"/>
      <c r="I5" s="1372"/>
    </row>
    <row r="6" spans="1:12" ht="12.75">
      <c r="A6" s="3577"/>
      <c r="B6" s="3632"/>
      <c r="C6" s="3637"/>
      <c r="D6" s="3623"/>
      <c r="E6" s="131" t="s">
        <v>1270</v>
      </c>
      <c r="F6" s="1756"/>
      <c r="G6" s="1756"/>
      <c r="H6" s="1756"/>
      <c r="I6" s="1372"/>
    </row>
    <row r="7" spans="1:12" ht="12.75">
      <c r="A7" s="3577"/>
      <c r="B7" s="3632"/>
      <c r="C7" s="3636"/>
      <c r="D7" s="3623"/>
      <c r="E7" s="131" t="s">
        <v>1271</v>
      </c>
      <c r="F7" s="1756"/>
      <c r="G7" s="1756"/>
      <c r="H7" s="1756"/>
      <c r="I7" s="1372"/>
    </row>
    <row r="8" spans="1:12" ht="12.75">
      <c r="A8" s="3577" t="s">
        <v>1272</v>
      </c>
      <c r="B8" s="3632">
        <v>15</v>
      </c>
      <c r="C8" s="3635"/>
      <c r="D8" s="3623"/>
      <c r="E8" s="131" t="s">
        <v>1273</v>
      </c>
      <c r="F8" s="1756"/>
      <c r="G8" s="1756"/>
      <c r="H8" s="1756"/>
      <c r="I8" s="1372"/>
    </row>
    <row r="9" spans="1:12" ht="12.75">
      <c r="A9" s="3577"/>
      <c r="B9" s="3632"/>
      <c r="C9" s="3636"/>
      <c r="D9" s="3623"/>
      <c r="E9" s="131" t="s">
        <v>1274</v>
      </c>
      <c r="F9" s="1756"/>
      <c r="G9" s="1756"/>
      <c r="H9" s="1756"/>
      <c r="I9" s="1372"/>
    </row>
    <row r="10" spans="1:12" ht="12.75">
      <c r="A10" s="3577" t="s">
        <v>1275</v>
      </c>
      <c r="B10" s="3632">
        <v>15</v>
      </c>
      <c r="C10" s="3635"/>
      <c r="D10" s="3623"/>
      <c r="E10" s="131" t="s">
        <v>1276</v>
      </c>
      <c r="F10" s="1756"/>
      <c r="G10" s="1756"/>
      <c r="H10" s="1756"/>
      <c r="I10" s="1372"/>
    </row>
    <row r="11" spans="1:12" ht="12.75">
      <c r="A11" s="3577"/>
      <c r="B11" s="3632"/>
      <c r="C11" s="3636"/>
      <c r="D11" s="3623"/>
      <c r="E11" s="131" t="s">
        <v>1277</v>
      </c>
      <c r="F11" s="1756"/>
      <c r="G11" s="1756"/>
      <c r="H11" s="1756"/>
      <c r="I11" s="1372"/>
    </row>
    <row r="12" spans="1:12" ht="12.75">
      <c r="A12" s="3577" t="s">
        <v>1278</v>
      </c>
      <c r="B12" s="3632">
        <v>15</v>
      </c>
      <c r="C12" s="3635"/>
      <c r="D12" s="3623"/>
      <c r="E12" s="131" t="s">
        <v>1279</v>
      </c>
      <c r="F12" s="1756"/>
      <c r="G12" s="1756"/>
      <c r="H12" s="1756"/>
      <c r="I12" s="1372"/>
    </row>
    <row r="13" spans="1:12" ht="12.75">
      <c r="A13" s="3577"/>
      <c r="B13" s="3632"/>
      <c r="C13" s="3636"/>
      <c r="D13" s="3623"/>
      <c r="E13" s="131" t="s">
        <v>1280</v>
      </c>
      <c r="F13" s="1756"/>
      <c r="G13" s="1756"/>
      <c r="H13" s="1756"/>
      <c r="I13" s="1372"/>
    </row>
    <row r="14" spans="1:12" ht="12.75">
      <c r="A14" s="3577" t="s">
        <v>1281</v>
      </c>
      <c r="B14" s="3632">
        <v>30</v>
      </c>
      <c r="C14" s="3635">
        <v>7</v>
      </c>
      <c r="D14" s="3623">
        <v>3</v>
      </c>
      <c r="E14" s="131" t="s">
        <v>1282</v>
      </c>
      <c r="F14" s="1756"/>
      <c r="G14" s="1756"/>
      <c r="H14" s="1756"/>
      <c r="I14" s="1372"/>
    </row>
    <row r="15" spans="1:12" ht="12.75">
      <c r="A15" s="3577"/>
      <c r="B15" s="3632"/>
      <c r="C15" s="3637"/>
      <c r="D15" s="3623"/>
      <c r="E15" s="131" t="s">
        <v>1283</v>
      </c>
      <c r="F15" s="1756"/>
      <c r="G15" s="1756"/>
      <c r="H15" s="1756"/>
      <c r="I15" s="1372"/>
    </row>
    <row r="16" spans="1:12" ht="12.75">
      <c r="A16" s="3577"/>
      <c r="B16" s="3632"/>
      <c r="C16" s="3636"/>
      <c r="D16" s="362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4" t="s">
        <v>2131</v>
      </c>
      <c r="F18" s="3655"/>
      <c r="G18" s="3655"/>
      <c r="H18" s="3655"/>
      <c r="I18" s="3655"/>
      <c r="K18" s="302" t="s">
        <v>1289</v>
      </c>
      <c r="L18" s="302">
        <f>IF(C1="",'数据-汇总表'!E3,SUMIF(项目类型,C1,'数据-汇总表'!E17:E26)+SUMIF(项目类型,C1,'数据-汇总表'!I17:I26))</f>
        <v>1216.8699999999999</v>
      </c>
      <c r="M18" s="302">
        <f>IF(C1="",'数据-汇总表'!E3,SUMIF(项目类型,C1,'数据-汇总表'!E17:E26))</f>
        <v>1216.8699999999999</v>
      </c>
    </row>
    <row r="19" spans="1:36" ht="15">
      <c r="A19" s="1760" t="s">
        <v>1290</v>
      </c>
      <c r="B19" s="1761" t="s">
        <v>1291</v>
      </c>
      <c r="C19" s="134">
        <f ca="1">SUMIF(INDIRECT("'"&amp;C4&amp;"'"&amp;"!A:A"),结果表!B19,INDIRECT("'"&amp;C4&amp;"'"&amp;"!B:B"))</f>
        <v>2283</v>
      </c>
      <c r="D19" s="135">
        <f ca="1">SUMIF(INDIRECT("'"&amp;D4&amp;"'"&amp;"!A:A"),结果表!B19,INDIRECT("'"&amp;D4&amp;"'"&amp;"!B:B"))</f>
        <v>1753</v>
      </c>
      <c r="E19" s="1760" t="s">
        <v>1292</v>
      </c>
      <c r="F19" s="1761" t="s">
        <v>1291</v>
      </c>
      <c r="G19" s="136">
        <f ca="1">ROUND(C19*$C$18+D19*$D$18,0)</f>
        <v>2124</v>
      </c>
      <c r="H19" s="1762" t="s">
        <v>1293</v>
      </c>
      <c r="I19" s="129"/>
      <c r="K19" s="302" t="s">
        <v>1294</v>
      </c>
      <c r="L19" s="302">
        <f>IF(C1="",'数据-汇总表'!D3,SUMIF(项目类型,C1,'数据-汇总表'!D17:D26)+SUMIF(项目类型,C1,'数据-汇总表'!H17:H27))</f>
        <v>527.48</v>
      </c>
      <c r="M19" s="302">
        <f>IF(C1="",'数据-汇总表'!D3,SUMIF(项目类型,C1,'数据-汇总表'!D17:D26))</f>
        <v>527.48</v>
      </c>
    </row>
    <row r="20" spans="1:36" ht="15">
      <c r="A20" s="1763"/>
      <c r="B20" s="1026" t="s">
        <v>1295</v>
      </c>
      <c r="C20" s="137">
        <f ca="1">SUMIF(INDIRECT("'"&amp;C4&amp;"'"&amp;"!A:A"),结果表!B20,INDIRECT("'"&amp;C4&amp;"'"&amp;"!B:B"))</f>
        <v>18761</v>
      </c>
      <c r="D20" s="138">
        <f ca="1">SUMIF(INDIRECT("'"&amp;D4&amp;"'"&amp;"!A:A"),结果表!B20,INDIRECT("'"&amp;D4&amp;"'"&amp;"!B:B"))</f>
        <v>14406</v>
      </c>
      <c r="E20" s="1763"/>
      <c r="F20" s="1026" t="s">
        <v>1295</v>
      </c>
      <c r="G20" s="139">
        <f ca="1">ROUND(C20*$C$18+D20*$D$18,0)</f>
        <v>17455</v>
      </c>
      <c r="H20" s="808" t="s">
        <v>1296</v>
      </c>
      <c r="I20" s="129"/>
    </row>
    <row r="21" spans="1:36" ht="15" customHeight="1" thickBot="1">
      <c r="A21" s="828"/>
      <c r="B21" s="1764" t="s">
        <v>1297</v>
      </c>
      <c r="C21" s="719">
        <f ca="1">ROUND(C19*10000/L19,0)</f>
        <v>43281</v>
      </c>
      <c r="D21" s="720">
        <f ca="1">ROUND(D19*10000/L19,0)</f>
        <v>33233</v>
      </c>
      <c r="E21" s="828"/>
      <c r="F21" s="1764" t="s">
        <v>1297</v>
      </c>
      <c r="G21" s="140">
        <f ca="1">ROUND(G19*10000/L19,0)</f>
        <v>40267</v>
      </c>
      <c r="H21" s="1765" t="s">
        <v>1296</v>
      </c>
      <c r="I21" s="129"/>
    </row>
    <row r="22" spans="1:36" ht="15" thickBot="1">
      <c r="A22" s="1687" t="s">
        <v>1298</v>
      </c>
      <c r="B22" s="1766"/>
      <c r="C22" s="1767"/>
      <c r="D22" s="721">
        <f ca="1">IF(C19&lt;D19,D19/C19-1,C19/D19-1)</f>
        <v>0.30233884768967489</v>
      </c>
      <c r="E22" s="129"/>
      <c r="F22" s="129"/>
      <c r="G22" s="129"/>
      <c r="H22" s="129"/>
      <c r="I22" s="129"/>
      <c r="K22" s="725">
        <v>2415</v>
      </c>
    </row>
    <row r="23" spans="1:36" ht="13.5" thickBot="1">
      <c r="A23" s="1746"/>
      <c r="B23" s="1746"/>
      <c r="C23" s="1746"/>
      <c r="D23" s="1746"/>
      <c r="E23" s="129"/>
      <c r="F23" s="129"/>
      <c r="G23" s="129"/>
      <c r="H23" s="129"/>
      <c r="I23" s="129"/>
      <c r="K23" s="725">
        <f>K22/L18*10000</f>
        <v>19845.998340003451</v>
      </c>
    </row>
    <row r="24" spans="1:36" ht="14.25">
      <c r="A24" s="3647" t="s">
        <v>1299</v>
      </c>
      <c r="B24" s="1761" t="s">
        <v>1291</v>
      </c>
      <c r="C24" s="136">
        <f>IF(B30=0,0,D30)</f>
        <v>0</v>
      </c>
      <c r="D24" s="1768"/>
      <c r="E24" s="129"/>
      <c r="F24" s="129"/>
      <c r="G24" s="129"/>
      <c r="H24" s="129"/>
      <c r="I24" s="129"/>
    </row>
    <row r="25" spans="1:36" ht="14.25">
      <c r="A25" s="3648"/>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2124</v>
      </c>
      <c r="D32" s="1774" t="s">
        <v>3411</v>
      </c>
      <c r="E32" s="129"/>
      <c r="F32" s="129"/>
      <c r="G32" s="129"/>
      <c r="H32" s="129"/>
      <c r="I32" s="129"/>
    </row>
    <row r="33" spans="1:15" ht="15">
      <c r="A33" s="786" t="s">
        <v>1306</v>
      </c>
      <c r="B33" s="1775"/>
      <c r="C33" s="1776" t="s">
        <v>3412</v>
      </c>
      <c r="D33" s="1777" t="s">
        <v>3410</v>
      </c>
      <c r="E33" s="1778" t="s">
        <v>1307</v>
      </c>
      <c r="F33" s="1779" t="str">
        <f>IF(D32="楼面单价","取值（单价）","取值（总价）")</f>
        <v>取值（总价）</v>
      </c>
      <c r="G33" s="129"/>
      <c r="H33" s="129"/>
      <c r="I33" s="129"/>
    </row>
    <row r="34" spans="1:15" ht="15">
      <c r="A34" s="1780"/>
      <c r="B34" s="1781" t="s">
        <v>1308</v>
      </c>
      <c r="C34" s="148">
        <f ca="1">IF(C33="自定义",F34,C32-C35)</f>
        <v>1531</v>
      </c>
      <c r="D34" s="861">
        <f ca="1">IF(C33="自定义",ROUND(C34/C32,3),IF(C33="收益比率",SUMIF(INDIRECT("'"&amp;D33&amp;"'"&amp;"!b:b"),"土地收益比率",INDIRECT("'"&amp;D33&amp;"'"&amp;"!c:c")),SUMIF(INDIRECT("'"&amp;D33&amp;"'"&amp;"!b:b"),"土地成本比率",INDIRECT("'"&amp;D33&amp;"'"&amp;"!c:c"))))</f>
        <v>0.72099999999999997</v>
      </c>
      <c r="E34" s="1782" t="s">
        <v>1309</v>
      </c>
      <c r="F34" s="1329"/>
      <c r="G34" s="129"/>
      <c r="H34" s="129"/>
      <c r="I34" s="129"/>
    </row>
    <row r="35" spans="1:15" ht="15.75" thickBot="1">
      <c r="A35" s="1783"/>
      <c r="B35" s="1784" t="s">
        <v>1310</v>
      </c>
      <c r="C35" s="1170">
        <f ca="1">IF(C33="自定义",F35,ROUND(C32*D35,0))</f>
        <v>593</v>
      </c>
      <c r="D35" s="1171">
        <f ca="1">IF(C33="自定义",ROUND(C35/C32,3),IF(C33="收益比率",SUMIF(INDIRECT("'"&amp;D33&amp;"'"&amp;"!b:b"),"建筑物收益比率",INDIRECT("'"&amp;D33&amp;"'"&amp;"!c:c")),SUMIF(INDIRECT("'"&amp;D33&amp;"'"&amp;"!b:b"),"建筑物成本比率",INDIRECT("'"&amp;D33&amp;"'"&amp;"!c:c"))))</f>
        <v>0.27900000000000003</v>
      </c>
      <c r="E35" s="1785" t="s">
        <v>1311</v>
      </c>
      <c r="F35" s="154"/>
      <c r="G35" s="129"/>
      <c r="H35" s="129"/>
      <c r="I35" s="129"/>
    </row>
    <row r="36" spans="1:15" ht="15.75" thickBot="1">
      <c r="A36" s="3624" t="s">
        <v>1312</v>
      </c>
      <c r="B36" s="1786" t="s">
        <v>1313</v>
      </c>
      <c r="C36" s="145"/>
      <c r="D36" s="1787"/>
      <c r="E36" s="1788"/>
      <c r="F36" s="1789"/>
      <c r="G36" s="129"/>
      <c r="H36" s="129"/>
      <c r="I36" s="129"/>
    </row>
    <row r="37" spans="1:15" ht="15.75" thickBot="1">
      <c r="A37" s="3625"/>
      <c r="B37" s="1673" t="s">
        <v>1314</v>
      </c>
      <c r="C37" s="147"/>
      <c r="D37" s="1139"/>
      <c r="E37" s="1139"/>
      <c r="F37" s="1789"/>
      <c r="G37" s="129"/>
      <c r="H37" s="129"/>
      <c r="I37" s="129"/>
    </row>
    <row r="38" spans="1:15" ht="15.75" thickBot="1">
      <c r="A38" s="3626"/>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f ca="1">ROUND(H101*F45,0)</f>
        <v>2124</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5"/>
      <c r="I46" s="159"/>
      <c r="J46" s="2522">
        <v>1</v>
      </c>
      <c r="K46" s="3565" t="s">
        <v>1331</v>
      </c>
      <c r="L46" s="3565"/>
      <c r="M46" s="3566"/>
      <c r="N46" s="3566"/>
      <c r="O46" s="3566"/>
    </row>
    <row r="47" spans="1:15" ht="12" customHeight="1">
      <c r="A47" s="160" t="s">
        <v>1332</v>
      </c>
      <c r="B47" s="161"/>
      <c r="C47" s="162"/>
      <c r="D47" s="1087" t="s">
        <v>1333</v>
      </c>
      <c r="E47" s="302" t="s">
        <v>1334</v>
      </c>
      <c r="F47" s="163" t="s">
        <v>1335</v>
      </c>
      <c r="G47" s="2545" t="s">
        <v>1336</v>
      </c>
      <c r="H47" s="2546"/>
      <c r="I47" s="159"/>
      <c r="J47" s="2522">
        <v>2</v>
      </c>
      <c r="K47" s="3565" t="s">
        <v>1337</v>
      </c>
      <c r="L47" s="3565"/>
      <c r="M47" s="3567">
        <f>'数据-取费表'!B2</f>
        <v>45124</v>
      </c>
      <c r="N47" s="3567"/>
      <c r="O47" s="3567"/>
    </row>
    <row r="48" spans="1:15" ht="25.5">
      <c r="A48" s="3627" t="s">
        <v>1338</v>
      </c>
      <c r="B48" s="3628"/>
      <c r="C48" s="362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5" t="s">
        <v>1340</v>
      </c>
      <c r="L48" s="3565"/>
      <c r="M48" s="3568">
        <f ca="1">H101</f>
        <v>2124</v>
      </c>
      <c r="N48" s="3568"/>
      <c r="O48" s="3568"/>
    </row>
    <row r="49" spans="1:35" ht="25.5" customHeight="1">
      <c r="A49" s="2332" t="s">
        <v>1341</v>
      </c>
      <c r="B49" s="3613" t="s">
        <v>1342</v>
      </c>
      <c r="C49" s="3613"/>
      <c r="D49" s="1589">
        <v>0</v>
      </c>
      <c r="E49" s="324" t="s">
        <v>1343</v>
      </c>
      <c r="F49" s="2423" t="s">
        <v>28</v>
      </c>
      <c r="G49" s="3596"/>
      <c r="H49" s="2309" t="s">
        <v>2134</v>
      </c>
      <c r="I49" s="2310"/>
      <c r="J49" s="2522">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0"/>
      <c r="B50" s="3613" t="s">
        <v>1344</v>
      </c>
      <c r="C50" s="3613"/>
      <c r="D50" s="2551"/>
      <c r="E50" s="332"/>
      <c r="F50" s="2423"/>
      <c r="G50" s="3597"/>
      <c r="H50" s="2311" t="s">
        <v>2135</v>
      </c>
      <c r="I50" s="2310"/>
      <c r="J50" s="3564" t="s">
        <v>1345</v>
      </c>
      <c r="K50" s="3564"/>
      <c r="L50" s="3564"/>
      <c r="M50" s="3564"/>
      <c r="N50" s="3564"/>
      <c r="O50" s="3564"/>
    </row>
    <row r="51" spans="1:35" ht="20.45" customHeight="1">
      <c r="A51" s="2552"/>
      <c r="B51" s="3613" t="s">
        <v>1346</v>
      </c>
      <c r="C51" s="3613"/>
      <c r="D51" s="1087"/>
      <c r="E51" s="327"/>
      <c r="F51" s="2423"/>
      <c r="G51" s="3598"/>
      <c r="H51" s="2311" t="s">
        <v>2136</v>
      </c>
      <c r="I51" s="2310"/>
      <c r="J51" s="2523" t="s">
        <v>1347</v>
      </c>
      <c r="K51" s="3565" t="s">
        <v>1348</v>
      </c>
      <c r="L51" s="3565"/>
      <c r="M51" s="2523" t="s">
        <v>1349</v>
      </c>
      <c r="N51" s="2523" t="s">
        <v>1350</v>
      </c>
      <c r="O51" s="2523" t="s">
        <v>1351</v>
      </c>
    </row>
    <row r="52" spans="1:35" ht="24" customHeight="1">
      <c r="A52" s="2334" t="s">
        <v>1352</v>
      </c>
      <c r="B52" s="3613" t="s">
        <v>1353</v>
      </c>
      <c r="C52" s="3613"/>
      <c r="D52" s="1087">
        <f ca="1">ROUND(D45*'数据-取费表'!B41/(1+'数据-取费表'!C42),0)</f>
        <v>111</v>
      </c>
      <c r="E52" s="2333" t="s">
        <v>1354</v>
      </c>
      <c r="F52" s="2553">
        <f>'数据-取费表'!B41</f>
        <v>5.5000000000000007E-2</v>
      </c>
      <c r="G52" s="2554"/>
      <c r="H52" s="2543"/>
      <c r="I52" s="1806"/>
      <c r="J52" s="2522">
        <v>1</v>
      </c>
      <c r="K52" s="3590" t="s">
        <v>1355</v>
      </c>
      <c r="L52" s="3590"/>
      <c r="M52" s="2524" t="b">
        <f>D48</f>
        <v>0</v>
      </c>
      <c r="N52" s="2522" t="str">
        <f>E48</f>
        <v>销售额×税（费）率</v>
      </c>
      <c r="O52" s="2525">
        <f>F48</f>
        <v>5.5000000000000007E-2</v>
      </c>
    </row>
    <row r="53" spans="1:35" ht="12" customHeight="1">
      <c r="A53" s="2334" t="s">
        <v>1356</v>
      </c>
      <c r="B53" s="3614" t="s">
        <v>2291</v>
      </c>
      <c r="C53" s="3615"/>
      <c r="D53" s="1087">
        <f ca="1">ROUND(D45*'数据-取费表'!B41/(1+'数据-取费表'!C42),0)</f>
        <v>111</v>
      </c>
      <c r="E53" s="2333" t="s">
        <v>1354</v>
      </c>
      <c r="F53" s="2553">
        <f>'数据-取费表'!B41</f>
        <v>5.5000000000000007E-2</v>
      </c>
      <c r="G53" s="2554"/>
      <c r="H53" s="2543"/>
      <c r="I53" s="1806"/>
      <c r="J53" s="2522">
        <v>2</v>
      </c>
      <c r="K53" s="3590" t="s">
        <v>1357</v>
      </c>
      <c r="L53" s="3590"/>
      <c r="M53" s="2524">
        <f t="shared" ref="M53:O54" ca="1" si="0">D55</f>
        <v>1</v>
      </c>
      <c r="N53" s="2522" t="str">
        <f t="shared" si="0"/>
        <v>销售额×税（费）率</v>
      </c>
      <c r="O53" s="2525" t="str">
        <f t="shared" si="0"/>
        <v>免征</v>
      </c>
    </row>
    <row r="54" spans="1:35" ht="12" customHeight="1">
      <c r="A54" s="2334" t="s">
        <v>1358</v>
      </c>
      <c r="B54" s="3614" t="s">
        <v>2292</v>
      </c>
      <c r="C54" s="3615"/>
      <c r="D54" s="1087">
        <f ca="1">C68</f>
        <v>111</v>
      </c>
      <c r="E54" s="327" t="s">
        <v>1359</v>
      </c>
      <c r="F54" s="2553">
        <f>'数据-取费表'!B41</f>
        <v>5.5000000000000007E-2</v>
      </c>
      <c r="G54" s="2554"/>
      <c r="H54" s="2555"/>
      <c r="I54" s="1806"/>
      <c r="J54" s="2522">
        <v>3</v>
      </c>
      <c r="K54" s="3590" t="s">
        <v>1360</v>
      </c>
      <c r="L54" s="3590"/>
      <c r="M54" s="2524">
        <f t="shared" ca="1" si="0"/>
        <v>1204</v>
      </c>
      <c r="N54" s="2522" t="str">
        <f t="shared" si="0"/>
        <v>增值额×税（费）率</v>
      </c>
      <c r="O54" s="2526" t="str">
        <f t="shared" si="0"/>
        <v>免征</v>
      </c>
    </row>
    <row r="55" spans="1:35" ht="24" customHeight="1">
      <c r="A55" s="3650" t="s">
        <v>1361</v>
      </c>
      <c r="B55" s="3628"/>
      <c r="C55" s="3628"/>
      <c r="D55" s="2323">
        <f ca="1">IF(H55="个人住宅",0,ROUND(D45*I55,0))</f>
        <v>1</v>
      </c>
      <c r="E55" s="2333" t="s">
        <v>1362</v>
      </c>
      <c r="F55" s="2553" t="str">
        <f>IF(H55="正常",I55,"免征")</f>
        <v>免征</v>
      </c>
      <c r="G55" s="2554"/>
      <c r="H55" s="2549"/>
      <c r="I55" s="165">
        <f>'数据-取费表'!B49</f>
        <v>5.0000000000000001E-4</v>
      </c>
      <c r="J55" s="2522">
        <f>IF(H59="非个人房产","",4)</f>
        <v>4</v>
      </c>
      <c r="K55" s="3590" t="str">
        <f>IF(H59="非个人房产","——","个人所得税")</f>
        <v>个人所得税</v>
      </c>
      <c r="L55" s="3590"/>
      <c r="M55" s="2527">
        <f ca="1">D59</f>
        <v>20</v>
      </c>
      <c r="N55" s="2039" t="str">
        <f>E59</f>
        <v>差额计税</v>
      </c>
      <c r="O55" s="2528">
        <f>F59</f>
        <v>0.01</v>
      </c>
    </row>
    <row r="56" spans="1:35" ht="24.75">
      <c r="A56" s="3650" t="s">
        <v>1363</v>
      </c>
      <c r="B56" s="3628"/>
      <c r="C56" s="3628"/>
      <c r="D56" s="2323">
        <f ca="1">IF(H56="个人住宅",D57,D58)</f>
        <v>1204</v>
      </c>
      <c r="E56" s="2333" t="s">
        <v>1364</v>
      </c>
      <c r="F56" s="2553" t="str">
        <f>IF(H56="正常",F58,"免征")</f>
        <v>免征</v>
      </c>
      <c r="G56" s="2556" t="s">
        <v>1365</v>
      </c>
      <c r="H56" s="2557"/>
      <c r="I56" s="1807"/>
      <c r="J56" s="2522" t="str">
        <f>IF(项目基本情况!K6="上海银行",IF(J55="",4,J55+1),"")</f>
        <v/>
      </c>
      <c r="K56" s="3571" t="str">
        <f>IF(项目基本情况!K6="上海银行","其他处置费用","")</f>
        <v/>
      </c>
      <c r="L56" s="3572"/>
      <c r="M56" s="2524" t="str">
        <f>IF(项目基本情况!K6="上海银行",M69,"")</f>
        <v/>
      </c>
      <c r="N56" s="3571" t="str">
        <f>IF(项目基本情况!K6="上海银行","包含处置中涉及的律师、诉讼、拍卖、评估等费用","")</f>
        <v/>
      </c>
      <c r="O56" s="3574"/>
    </row>
    <row r="57" spans="1:35" ht="12.75">
      <c r="A57" s="2334" t="s">
        <v>1341</v>
      </c>
      <c r="B57" s="3614" t="s">
        <v>1366</v>
      </c>
      <c r="C57" s="3615"/>
      <c r="D57" s="1589">
        <v>0</v>
      </c>
      <c r="E57" s="324" t="s">
        <v>1343</v>
      </c>
      <c r="F57" s="302"/>
      <c r="G57" s="2554"/>
      <c r="H57" s="2558"/>
      <c r="I57" s="1807"/>
      <c r="J57" s="3590">
        <f>IF(AND(J55="",J56=""),4,IF(项目基本情况!K6="上海银行",结果表!J56+1,结果表!J55+1))</f>
        <v>5</v>
      </c>
      <c r="K57" s="3590" t="s">
        <v>1367</v>
      </c>
      <c r="L57" s="2529" t="s">
        <v>1368</v>
      </c>
      <c r="M57" s="2530"/>
      <c r="N57" s="2531">
        <f ca="1">SUMIF(M52:M56,"&lt;9e307")</f>
        <v>1225</v>
      </c>
      <c r="O57" s="2532"/>
      <c r="P57" s="2689" t="e">
        <f ca="1">N57/M49</f>
        <v>#VALUE!</v>
      </c>
    </row>
    <row r="58" spans="1:35" ht="24.75">
      <c r="A58" s="2334" t="s">
        <v>1352</v>
      </c>
      <c r="B58" s="3614" t="s">
        <v>1369</v>
      </c>
      <c r="C58" s="3613"/>
      <c r="D58" s="2323">
        <f ca="1">IF(H58="转让取得",C81,C97)</f>
        <v>1204</v>
      </c>
      <c r="E58" s="2333" t="s">
        <v>1364</v>
      </c>
      <c r="F58" s="302" t="s">
        <v>28</v>
      </c>
      <c r="G58" s="2554"/>
      <c r="H58" s="2557"/>
      <c r="I58" s="1807"/>
      <c r="J58" s="3590"/>
      <c r="K58" s="3590"/>
      <c r="L58" s="2529" t="s">
        <v>1370</v>
      </c>
      <c r="M58" s="2533"/>
      <c r="N58" s="2534" t="str">
        <f ca="1">NUMBERSTRING(INT(N57*10000),2)&amp;"元整"</f>
        <v>壹仟贰佰贰拾伍万元整</v>
      </c>
      <c r="O58" s="2535"/>
    </row>
    <row r="59" spans="1:35" ht="24.75" thickBot="1">
      <c r="A59" s="3594" t="s">
        <v>1371</v>
      </c>
      <c r="B59" s="3595"/>
      <c r="C59" s="3595"/>
      <c r="D59" s="2559">
        <f ca="1">IF(H59="非个人房产","——",IF(H59="个人住宅（满五唯一有凭证）",0,IF(H59="个人其他（无凭证）",ROUND(D45*F59,0),ROUND(C67*F59,0))))</f>
        <v>20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2">
        <f>J57+1</f>
        <v>6</v>
      </c>
      <c r="K59" s="3590" t="s">
        <v>1372</v>
      </c>
      <c r="L59" s="2522" t="s">
        <v>1368</v>
      </c>
      <c r="M59" s="2536"/>
      <c r="N59" s="2537" t="e">
        <f ca="1">M49-N57</f>
        <v>#VALUE!</v>
      </c>
      <c r="O59" s="2538"/>
    </row>
    <row r="60" spans="1:35" ht="12" customHeight="1">
      <c r="A60" s="1808"/>
      <c r="B60" s="1746"/>
      <c r="C60" s="1746"/>
      <c r="D60" s="1746"/>
      <c r="E60" s="1577"/>
      <c r="F60" s="1807"/>
      <c r="G60" s="1807"/>
      <c r="H60" s="1809"/>
      <c r="I60" s="129"/>
      <c r="J60" s="3593"/>
      <c r="K60" s="3590"/>
      <c r="L60" s="2529" t="s">
        <v>1370</v>
      </c>
      <c r="M60" s="2533"/>
      <c r="N60" s="2534" t="e">
        <f ca="1">NUMBERSTRING(INT(N59*10000),2)&amp;"元整"</f>
        <v>#VALUE!</v>
      </c>
      <c r="O60" s="2535"/>
    </row>
    <row r="61" spans="1:35" ht="13.5" thickBot="1">
      <c r="A61" s="3649" t="s">
        <v>1373</v>
      </c>
      <c r="B61" s="3649"/>
      <c r="C61" s="3649"/>
      <c r="D61" s="3649"/>
      <c r="E61" s="3649"/>
      <c r="F61" s="1807"/>
      <c r="G61" s="1807"/>
      <c r="H61" s="1809"/>
      <c r="I61" s="129"/>
      <c r="J61" s="2522">
        <f>J59+1</f>
        <v>7</v>
      </c>
      <c r="K61" s="3590" t="s">
        <v>1374</v>
      </c>
      <c r="L61" s="3590"/>
      <c r="M61" s="2539"/>
      <c r="N61" s="2540" t="e">
        <f ca="1">ROUND(N59*10000/'数据-汇总表'!E3,0)</f>
        <v>#VALUE!</v>
      </c>
      <c r="O61" s="2541"/>
    </row>
    <row r="62" spans="1:35" ht="12.75">
      <c r="A62" s="3609" t="s">
        <v>1375</v>
      </c>
      <c r="B62" s="3610"/>
      <c r="C62" s="2020"/>
      <c r="D62" s="2020" t="s">
        <v>1376</v>
      </c>
      <c r="E62" s="166" t="s">
        <v>1377</v>
      </c>
      <c r="F62" s="1807"/>
      <c r="G62" s="1807"/>
      <c r="H62" s="1809"/>
      <c r="I62" s="129"/>
    </row>
    <row r="63" spans="1:35" ht="12.75">
      <c r="A63" s="173" t="s">
        <v>330</v>
      </c>
      <c r="B63" s="167" t="s">
        <v>1378</v>
      </c>
      <c r="C63" s="2563">
        <f ca="1">ROUND((C64+C65)/(1+'数据-取费表'!C42),0)</f>
        <v>2023</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2124</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73"/>
      <c r="K66" s="1331" t="s">
        <v>1387</v>
      </c>
      <c r="L66" s="1331" t="e">
        <f>M49*0.5%</f>
        <v>#VALUE!</v>
      </c>
      <c r="M66" s="302" t="e">
        <f>IF(L66&gt;0.5,0.5,ROUND(L66,0))</f>
        <v>#VALUE!</v>
      </c>
      <c r="N66" s="2543" t="s">
        <v>1388</v>
      </c>
      <c r="Z66" s="1751"/>
      <c r="AI66" s="1752"/>
    </row>
    <row r="67" spans="1:35" ht="14.25" customHeight="1">
      <c r="A67" s="173" t="s">
        <v>328</v>
      </c>
      <c r="B67" s="174" t="s">
        <v>1389</v>
      </c>
      <c r="C67" s="2567">
        <f ca="1">C63-C66</f>
        <v>2023</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111</v>
      </c>
      <c r="D68" s="2569">
        <f>'数据-取费表'!B41</f>
        <v>5.5000000000000007E-2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2023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10</v>
      </c>
      <c r="D78" s="2576">
        <f>'数据-取费表'!B43</f>
        <v>5.000000000000001E-3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2013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201.3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1204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2023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5" t="s">
        <v>2129</v>
      </c>
      <c r="H90" s="357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6" t="s">
        <v>1422</v>
      </c>
      <c r="F92" s="3607"/>
      <c r="G92" s="3607"/>
      <c r="H92" s="360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10</v>
      </c>
      <c r="D93" s="2576">
        <f>'数据-取费表'!B43</f>
        <v>5.000000000000001E-3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1" t="s">
        <v>1426</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2013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201.3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1204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4" t="str">
        <f>C4</f>
        <v>比较法-办公</v>
      </c>
      <c r="D101" s="2585" t="str">
        <f>D4</f>
        <v>成本法</v>
      </c>
      <c r="E101" s="3569" t="s">
        <v>1431</v>
      </c>
      <c r="F101" s="3570"/>
      <c r="G101" s="1826" t="s">
        <v>1432</v>
      </c>
      <c r="H101" s="2594">
        <f ca="1">H118</f>
        <v>2124</v>
      </c>
      <c r="I101" s="129"/>
    </row>
    <row r="102" spans="1:35" ht="18.75" customHeight="1">
      <c r="A102" s="3601" t="s">
        <v>1433</v>
      </c>
      <c r="B102" s="2583" t="s">
        <v>1432</v>
      </c>
      <c r="C102" s="2584">
        <f ca="1">IF(D32="楼面单价",ROUND(C19,0),C19)</f>
        <v>2283</v>
      </c>
      <c r="D102" s="2585">
        <f ca="1">IF(D32="楼面单价",ROUND(D19,0),D19)</f>
        <v>1753</v>
      </c>
      <c r="E102" s="3569"/>
      <c r="F102" s="3570"/>
      <c r="G102" s="1826" t="s">
        <v>1434</v>
      </c>
      <c r="H102" s="2554">
        <f ca="1">I118</f>
        <v>17455</v>
      </c>
      <c r="I102" s="129"/>
    </row>
    <row r="103" spans="1:35" ht="42.75" customHeight="1">
      <c r="A103" s="3601"/>
      <c r="B103" s="2583" t="s">
        <v>1434</v>
      </c>
      <c r="C103" s="2586">
        <f ca="1">C20</f>
        <v>18761</v>
      </c>
      <c r="D103" s="2587">
        <f ca="1">D20</f>
        <v>14406</v>
      </c>
      <c r="E103" s="3562" t="s">
        <v>1435</v>
      </c>
      <c r="F103" s="3563"/>
      <c r="G103" s="1827" t="s">
        <v>1436</v>
      </c>
      <c r="H103" s="2594">
        <f>IF(D36="正常操作",H104+H105+H106,H105+H106)</f>
        <v>0</v>
      </c>
      <c r="I103" s="129"/>
    </row>
    <row r="104" spans="1:35" ht="18.75" customHeight="1">
      <c r="A104" s="3601" t="s">
        <v>1437</v>
      </c>
      <c r="B104" s="2588" t="s">
        <v>1432</v>
      </c>
      <c r="C104" s="2589">
        <f ca="1">H118</f>
        <v>2124</v>
      </c>
      <c r="D104" s="2590"/>
      <c r="E104" s="1673" t="s">
        <v>1438</v>
      </c>
      <c r="F104" s="1665"/>
      <c r="G104" s="1827" t="s">
        <v>1436</v>
      </c>
      <c r="H104" s="2595">
        <f>IF(D36="同一抵押权人同一抵押物续贷",C36&amp;"（续贷，未扣减，详见特别提示）",C36)</f>
        <v>0</v>
      </c>
      <c r="I104" s="129"/>
    </row>
    <row r="105" spans="1:35" ht="18.75" customHeight="1" thickBot="1">
      <c r="A105" s="3611"/>
      <c r="B105" s="2591" t="s">
        <v>1434</v>
      </c>
      <c r="C105" s="2592">
        <f ca="1">I118</f>
        <v>17455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2" t="str">
        <f>IF(项目基本情况!E8="已注销","——","3.房地产抵押价值")</f>
        <v>3.房地产抵押价值</v>
      </c>
      <c r="F107" s="3570"/>
      <c r="G107" s="1826" t="s">
        <v>1432</v>
      </c>
      <c r="H107" s="2594">
        <f ca="1">IF(E107="——","——",H101-H103)</f>
        <v>2124</v>
      </c>
      <c r="I107" s="129"/>
    </row>
    <row r="108" spans="1:35" ht="18.75" customHeight="1">
      <c r="A108" s="129"/>
      <c r="B108" s="129"/>
      <c r="C108" s="129"/>
      <c r="D108" s="129"/>
      <c r="E108" s="3602"/>
      <c r="F108" s="3570"/>
      <c r="G108" s="1826" t="s">
        <v>1434</v>
      </c>
      <c r="H108" s="2554">
        <f ca="1">IF(H107=H101,H102,ROUND(H107*10000/'数据-汇总表'!E3,0))</f>
        <v>17455</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7" t="str">
        <f>IF(E109="——","——",H101-H105-H106)</f>
        <v>——</v>
      </c>
      <c r="I109" s="129"/>
    </row>
    <row r="110" spans="1:35" ht="18.75" customHeight="1">
      <c r="A110" s="129"/>
      <c r="B110" s="129"/>
      <c r="C110" s="129"/>
      <c r="D110" s="129"/>
      <c r="E110" s="3602"/>
      <c r="F110" s="3570"/>
      <c r="G110" s="1826" t="s">
        <v>1434</v>
      </c>
      <c r="H110" s="2554"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4" t="str">
        <f>IF(E111="——","——",N59)</f>
        <v>——</v>
      </c>
      <c r="I111" s="129"/>
    </row>
    <row r="112" spans="1:35" ht="18.75" customHeight="1" thickBot="1">
      <c r="A112" s="129"/>
      <c r="B112" s="129"/>
      <c r="C112" s="129"/>
      <c r="D112" s="129"/>
      <c r="E112" s="3604"/>
      <c r="F112" s="3605"/>
      <c r="G112" s="1829" t="s">
        <v>1434</v>
      </c>
      <c r="H112" s="2598"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1216.8699999999999</v>
      </c>
      <c r="C118" s="2328">
        <f>M19</f>
        <v>527.48</v>
      </c>
      <c r="D118" s="2328">
        <f ca="1">ROUND(IF(D32="总价",C34,E118*B118/10000),0)</f>
        <v>1531</v>
      </c>
      <c r="E118" s="2328">
        <f ca="1">ROUND(IF(C33="自定义",IF(D32="楼面单价",C34,D118*10000/B118),I118-G118),0)</f>
        <v>12582</v>
      </c>
      <c r="F118" s="2328">
        <f ca="1">ROUND(IF(D32="总价",C35,G118*B118/10000),0)</f>
        <v>593</v>
      </c>
      <c r="G118" s="2328">
        <f ca="1">ROUND(IF(D32="楼面单价",C35,F118*10000/B118),0)</f>
        <v>4873</v>
      </c>
      <c r="H118" s="2328">
        <f ca="1">ROUND(IF(D32="总价",C32,I118*B118/10000),0)</f>
        <v>2124</v>
      </c>
      <c r="I118" s="2328">
        <f ca="1">ROUND(IF(D32="楼面单价",C32,H118*10000/B118),0)</f>
        <v>17455</v>
      </c>
    </row>
    <row r="119" spans="1:27" ht="18.75" customHeight="1">
      <c r="A119" s="3577" t="s">
        <v>1452</v>
      </c>
      <c r="B119" s="3577"/>
      <c r="C119" s="3577"/>
      <c r="D119" s="3583" t="str">
        <f ca="1">NUMBERSTRING(INT(D118*10000),2)&amp;"元整"</f>
        <v>壹仟伍佰叁拾壹万元整</v>
      </c>
      <c r="E119" s="3584"/>
      <c r="F119" s="3583" t="str">
        <f ca="1">NUMBERSTRING(INT(F118*10000),2)&amp;"元整"</f>
        <v>伍佰玖拾叁万元整</v>
      </c>
      <c r="G119" s="3584"/>
      <c r="H119" s="3583" t="str">
        <f ca="1">NUMBERSTRING(INT(H118*10000),2)&amp;"元整"</f>
        <v>贰仟壹佰贰拾肆万元整</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f ca="1">H107</f>
        <v>2124</v>
      </c>
      <c r="E122" s="3579"/>
      <c r="F122" s="3579"/>
      <c r="G122" s="3579"/>
      <c r="H122" s="3579"/>
      <c r="I122" s="3580"/>
      <c r="AA122" s="725"/>
    </row>
    <row r="123" spans="1:27" ht="18.75" customHeight="1">
      <c r="A123" s="3577" t="s">
        <v>1452</v>
      </c>
      <c r="B123" s="3577"/>
      <c r="C123" s="3577"/>
      <c r="D123" s="3583" t="str">
        <f ca="1">NUMBERSTRING(INT(D122*10000),2)&amp;"元整"</f>
        <v>贰仟壹佰贰拾肆万元整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2" zoomScale="60" zoomScaleNormal="70" workbookViewId="0">
      <selection activeCell="N49" sqref="N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3608</v>
      </c>
      <c r="F1" s="1878" t="s">
        <v>3609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2283</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18761</v>
      </c>
      <c r="C3" s="354" t="s">
        <v>1768</v>
      </c>
      <c r="D3" s="353">
        <f>IF(D1="",'数据-汇总表'!E3,SUMIF('数据-汇总表'!$C19:$C33,D1,'数据-汇总表'!$E19:$E33))</f>
        <v>1216.8699999999999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4" t="s">
        <v>1771</v>
      </c>
      <c r="S4" s="3665"/>
      <c r="T4" s="3664" t="s">
        <v>1772</v>
      </c>
      <c r="U4" s="3665"/>
      <c r="V4" s="3692" t="s">
        <v>1773</v>
      </c>
      <c r="W4" s="3692"/>
      <c r="X4" s="1957"/>
      <c r="Y4" s="3664" t="s">
        <v>1775</v>
      </c>
      <c r="Z4" s="3665"/>
      <c r="AA4" s="3659" t="s">
        <v>1771</v>
      </c>
      <c r="AB4" s="3659" t="s">
        <v>1772</v>
      </c>
      <c r="AC4" s="3677" t="s">
        <v>1773</v>
      </c>
    </row>
    <row r="5" spans="1:29" ht="15">
      <c r="A5" s="358"/>
      <c r="B5" s="359"/>
      <c r="C5" s="3670" t="s">
        <v>1673</v>
      </c>
      <c r="D5" s="3671"/>
      <c r="E5" s="3668" t="s">
        <v>3610</v>
      </c>
      <c r="F5" s="3669"/>
      <c r="G5" s="3694" t="s">
        <v>3611</v>
      </c>
      <c r="H5" s="3671"/>
      <c r="I5" s="3670" t="s">
        <v>1676</v>
      </c>
      <c r="J5" s="3671"/>
      <c r="K5" s="559"/>
      <c r="L5" s="2714"/>
      <c r="M5" s="2715"/>
      <c r="N5" s="2715"/>
      <c r="O5" s="2715"/>
      <c r="P5" s="3686"/>
      <c r="Q5" s="3687"/>
      <c r="R5" s="3666"/>
      <c r="S5" s="3667"/>
      <c r="T5" s="3666"/>
      <c r="U5" s="3667"/>
      <c r="V5" s="3693"/>
      <c r="W5" s="3693"/>
      <c r="X5" s="1354"/>
      <c r="Y5" s="3666"/>
      <c r="Z5" s="3667"/>
      <c r="AA5" s="3660"/>
      <c r="AB5" s="3660"/>
      <c r="AC5" s="3678"/>
    </row>
    <row r="6" spans="1:29" ht="15.75" thickBot="1">
      <c r="A6" s="360"/>
      <c r="B6" s="361"/>
      <c r="C6" s="3672" t="s">
        <v>1677</v>
      </c>
      <c r="D6" s="3673"/>
      <c r="E6" s="3674" t="s">
        <v>1677</v>
      </c>
      <c r="F6" s="3675"/>
      <c r="G6" s="3672" t="s">
        <v>1677</v>
      </c>
      <c r="H6" s="3673"/>
      <c r="I6" s="3672" t="s">
        <v>1677</v>
      </c>
      <c r="J6" s="3673"/>
      <c r="K6" s="559" t="s">
        <v>1678</v>
      </c>
      <c r="L6" s="2714"/>
      <c r="M6" s="2715"/>
      <c r="N6" s="2715"/>
      <c r="O6" s="2715"/>
      <c r="P6" s="3688"/>
      <c r="Q6" s="3689"/>
      <c r="R6" s="3666"/>
      <c r="S6" s="3667"/>
      <c r="T6" s="3690"/>
      <c r="U6" s="3691"/>
      <c r="V6" s="3693"/>
      <c r="W6" s="3693"/>
      <c r="X6" s="1354"/>
      <c r="Y6" s="3690"/>
      <c r="Z6" s="3691"/>
      <c r="AA6" s="3661"/>
      <c r="AB6" s="3661"/>
      <c r="AC6" s="3679"/>
    </row>
    <row r="7" spans="1:29" s="108" customFormat="1" ht="15.75" thickBot="1">
      <c r="A7" s="362" t="s">
        <v>1679</v>
      </c>
      <c r="B7" s="363"/>
      <c r="C7" s="364">
        <f>'数据-取费表'!B2</f>
        <v>45124</v>
      </c>
      <c r="D7" s="365">
        <v>100</v>
      </c>
      <c r="E7" s="366">
        <f>C7</f>
        <v>45124</v>
      </c>
      <c r="F7" s="367">
        <f>SUMIF(59:59,YEAR(E7)&amp;"-"&amp;MONTH(E7),60:60)</f>
        <v>100</v>
      </c>
      <c r="G7" s="366">
        <f>C7</f>
        <v>45124</v>
      </c>
      <c r="H7" s="365">
        <f>SUMIF(59:59,YEAR(G7)&amp;"-"&amp;MONTH(G7),60:60)</f>
        <v>100</v>
      </c>
      <c r="I7" s="366">
        <f>C7</f>
        <v>45124</v>
      </c>
      <c r="J7" s="365">
        <f>SUMIF(59:59,YEAR(I7)&amp;"-"&amp;MONTH(I7),60:60)</f>
        <v>100</v>
      </c>
      <c r="K7" s="560"/>
      <c r="L7" s="2716"/>
      <c r="M7" s="2717"/>
      <c r="N7" s="2717"/>
      <c r="O7" s="2717"/>
      <c r="P7" s="3695" t="s">
        <v>1680</v>
      </c>
      <c r="Q7" s="3696"/>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1958">
        <f>D7/J7</f>
        <v>1</v>
      </c>
    </row>
    <row r="8" spans="1:29" s="108" customFormat="1" ht="15.75" thickBot="1">
      <c r="A8" s="362" t="s">
        <v>1681</v>
      </c>
      <c r="B8" s="363"/>
      <c r="C8" s="368" t="s">
        <v>3587</v>
      </c>
      <c r="D8" s="365">
        <v>100</v>
      </c>
      <c r="E8" s="3455" t="s">
        <v>3629</v>
      </c>
      <c r="F8" s="367">
        <f>SUMIF(62:62,E8,63:63)-SUMIF(62:62,C8,63:63)+100</f>
        <v>102</v>
      </c>
      <c r="G8" s="3455" t="s">
        <v>3629</v>
      </c>
      <c r="H8" s="365">
        <f>SUMIF(62:62,G8,63:63)-SUMIF(62:62,C8,63:63)+100</f>
        <v>102</v>
      </c>
      <c r="I8" s="3455" t="s">
        <v>3629</v>
      </c>
      <c r="J8" s="365">
        <f>SUMIF(62:62,I8,63:63)-SUMIF(62:62,C8,63:63)+100</f>
        <v>102</v>
      </c>
      <c r="K8" s="560"/>
      <c r="L8" s="2716"/>
      <c r="M8" s="2717"/>
      <c r="N8" s="2717"/>
      <c r="O8" s="2717"/>
      <c r="P8" s="3695" t="s">
        <v>1683</v>
      </c>
      <c r="Q8" s="3663"/>
      <c r="R8" s="701" t="s">
        <v>14</v>
      </c>
      <c r="S8" s="702">
        <f t="shared" si="0"/>
        <v>102</v>
      </c>
      <c r="T8" s="701" t="s">
        <v>14</v>
      </c>
      <c r="U8" s="702">
        <f t="shared" si="1"/>
        <v>102</v>
      </c>
      <c r="V8" s="701" t="s">
        <v>14</v>
      </c>
      <c r="W8" s="702">
        <f t="shared" si="2"/>
        <v>102</v>
      </c>
      <c r="X8" s="703"/>
      <c r="Y8" s="3662" t="s">
        <v>1683</v>
      </c>
      <c r="Z8" s="3663"/>
      <c r="AA8" s="704">
        <f t="shared" ref="AA8:AA47" si="3">D8/F8</f>
        <v>0.98039215686274506</v>
      </c>
      <c r="AB8" s="704">
        <f t="shared" ref="AB8:AB47" si="4">D8/H8</f>
        <v>0.98039215686274506</v>
      </c>
      <c r="AC8" s="1958">
        <f t="shared" ref="AC8:AC47" si="5">D8/J8</f>
        <v>0.98039215686274506</v>
      </c>
    </row>
    <row r="9" spans="1:29" s="108" customFormat="1">
      <c r="A9" s="369" t="s">
        <v>1684</v>
      </c>
      <c r="B9" s="63" t="s">
        <v>1685</v>
      </c>
      <c r="C9" s="3466" t="s">
        <v>3612</v>
      </c>
      <c r="D9" s="126">
        <v>100</v>
      </c>
      <c r="E9" s="3467" t="s">
        <v>3612</v>
      </c>
      <c r="F9" s="126">
        <f>SUMIF(64:64,E9,65:65)-SUMIF(64:64,C9,65:65)+100</f>
        <v>100</v>
      </c>
      <c r="G9" s="3468" t="s">
        <v>3612</v>
      </c>
      <c r="H9" s="126">
        <f>SUMIF(64:64,G9,65:65)-SUMIF(64:64,C9,65:65)+100</f>
        <v>100</v>
      </c>
      <c r="I9" s="3468" t="s">
        <v>3612</v>
      </c>
      <c r="J9" s="126">
        <f>SUMIF(64:64,I9,65:65)-SUMIF(64:64,C9,65:65)+100</f>
        <v>100</v>
      </c>
      <c r="K9" s="56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8">
        <f t="shared" si="5"/>
        <v>1</v>
      </c>
    </row>
    <row r="10" spans="1:29" s="378" customFormat="1" ht="27">
      <c r="A10" s="374"/>
      <c r="B10" s="375" t="s">
        <v>1688</v>
      </c>
      <c r="C10" s="3433" t="s">
        <v>3613</v>
      </c>
      <c r="D10" s="127">
        <v>100</v>
      </c>
      <c r="E10" s="3433" t="s">
        <v>3614</v>
      </c>
      <c r="F10" s="127">
        <f>SUMIF(66:66,E10,67:67)-SUMIF(66:66,C10,67:67)+100</f>
        <v>100</v>
      </c>
      <c r="G10" s="3434" t="s">
        <v>3615</v>
      </c>
      <c r="H10" s="127">
        <f>SUMIF(66:66,G10,67:67)-SUMIF(66:66,C10,67:67)+100</f>
        <v>102</v>
      </c>
      <c r="I10" s="3433" t="s">
        <v>3615</v>
      </c>
      <c r="J10" s="127">
        <f>SUMIF(66:66,I10,67:67)-SUMIF(66:66,C10,67:67)+100</f>
        <v>102</v>
      </c>
      <c r="K10" s="560"/>
      <c r="L10" s="2718"/>
      <c r="M10" s="2719"/>
      <c r="N10" s="2719"/>
      <c r="O10" s="2719"/>
      <c r="P10" s="3676"/>
      <c r="Q10" s="1342" t="str">
        <f t="shared" si="6"/>
        <v>土地使用年限（年）</v>
      </c>
      <c r="R10" s="701" t="s">
        <v>14</v>
      </c>
      <c r="S10" s="702">
        <f t="shared" si="0"/>
        <v>100</v>
      </c>
      <c r="T10" s="701" t="s">
        <v>14</v>
      </c>
      <c r="U10" s="702">
        <f t="shared" si="1"/>
        <v>102</v>
      </c>
      <c r="V10" s="701" t="s">
        <v>14</v>
      </c>
      <c r="W10" s="702">
        <f t="shared" si="2"/>
        <v>102</v>
      </c>
      <c r="X10" s="703"/>
      <c r="Y10" s="3632"/>
      <c r="Z10" s="52" t="str">
        <f t="shared" si="7"/>
        <v>土地使用年限（年）</v>
      </c>
      <c r="AA10" s="704">
        <f t="shared" si="3"/>
        <v>1</v>
      </c>
      <c r="AB10" s="704">
        <f t="shared" si="4"/>
        <v>0.98039215686274506</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6"/>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21"/>
      <c r="M15" s="2715"/>
      <c r="N15" s="2715"/>
      <c r="O15" s="2715"/>
      <c r="P15" s="3697" t="s">
        <v>1691</v>
      </c>
      <c r="Q15" s="1351" t="str">
        <f t="shared" si="6"/>
        <v>办公集聚程度</v>
      </c>
      <c r="R15" s="705" t="s">
        <v>14</v>
      </c>
      <c r="S15" s="706">
        <f t="shared" si="0"/>
        <v>102</v>
      </c>
      <c r="T15" s="705" t="s">
        <v>14</v>
      </c>
      <c r="U15" s="706">
        <f t="shared" si="1"/>
        <v>102</v>
      </c>
      <c r="V15" s="705" t="s">
        <v>14</v>
      </c>
      <c r="W15" s="706">
        <f t="shared" si="2"/>
        <v>102</v>
      </c>
      <c r="X15" s="1354"/>
      <c r="Y15" s="3699" t="s">
        <v>1691</v>
      </c>
      <c r="Z15" s="1355" t="str">
        <f t="shared" si="7"/>
        <v>办公集聚程度</v>
      </c>
      <c r="AA15" s="1352">
        <f t="shared" si="3"/>
        <v>0.98039215686274506</v>
      </c>
      <c r="AB15" s="1352">
        <f t="shared" si="4"/>
        <v>0.98039215686274506</v>
      </c>
      <c r="AC15" s="1961">
        <f t="shared" si="5"/>
        <v>0.98039215686274506</v>
      </c>
    </row>
    <row r="16" spans="1:29" ht="15">
      <c r="A16" s="379"/>
      <c r="B16" s="578"/>
      <c r="C16" s="1903" t="s">
        <v>3400</v>
      </c>
      <c r="D16" s="399"/>
      <c r="E16" s="3458" t="s">
        <v>3617</v>
      </c>
      <c r="F16" s="399"/>
      <c r="G16" s="3460" t="s">
        <v>3617</v>
      </c>
      <c r="H16" s="401"/>
      <c r="I16" s="3458" t="s">
        <v>3617</v>
      </c>
      <c r="J16" s="399"/>
      <c r="K16" s="564"/>
      <c r="L16" s="2721"/>
      <c r="M16" s="2715"/>
      <c r="N16" s="2715"/>
      <c r="O16" s="2715"/>
      <c r="P16" s="3698"/>
      <c r="Q16" s="1351"/>
      <c r="R16" s="705"/>
      <c r="S16" s="706"/>
      <c r="T16" s="705"/>
      <c r="U16" s="706"/>
      <c r="V16" s="705"/>
      <c r="W16" s="706"/>
      <c r="X16" s="1354"/>
      <c r="Y16" s="370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8"/>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8"/>
      <c r="Q18" s="1351"/>
      <c r="R18" s="705"/>
      <c r="S18" s="706"/>
      <c r="T18" s="705"/>
      <c r="U18" s="706"/>
      <c r="V18" s="705"/>
      <c r="W18" s="706"/>
      <c r="X18" s="1354"/>
      <c r="Y18" s="370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8"/>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961">
        <f t="shared" si="5"/>
        <v>1</v>
      </c>
    </row>
    <row r="20" spans="1:29" ht="15">
      <c r="A20" s="379"/>
      <c r="B20" s="580"/>
      <c r="C20" s="3460" t="s">
        <v>3618</v>
      </c>
      <c r="D20" s="399"/>
      <c r="E20" s="3457" t="s">
        <v>3617</v>
      </c>
      <c r="F20" s="399"/>
      <c r="G20" s="3456" t="s">
        <v>3617</v>
      </c>
      <c r="H20" s="399"/>
      <c r="I20" s="3456" t="s">
        <v>3617</v>
      </c>
      <c r="J20" s="399"/>
      <c r="K20" s="564"/>
      <c r="L20" s="2721"/>
      <c r="M20" s="2715"/>
      <c r="N20" s="2715"/>
      <c r="O20" s="2715"/>
      <c r="P20" s="3698"/>
      <c r="Q20" s="1351"/>
      <c r="R20" s="705"/>
      <c r="S20" s="706"/>
      <c r="T20" s="705"/>
      <c r="U20" s="706"/>
      <c r="V20" s="705"/>
      <c r="W20" s="706"/>
      <c r="X20" s="1354"/>
      <c r="Y20" s="370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8"/>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961">
        <f t="shared" ref="AC21" si="10">D21/J21</f>
        <v>1</v>
      </c>
    </row>
    <row r="22" spans="1:29" ht="15">
      <c r="A22" s="379"/>
      <c r="B22" s="581"/>
      <c r="C22" s="3469" t="s">
        <v>3619</v>
      </c>
      <c r="D22" s="399"/>
      <c r="E22" s="3458" t="s">
        <v>3620</v>
      </c>
      <c r="F22" s="399"/>
      <c r="G22" s="3460" t="s">
        <v>3620</v>
      </c>
      <c r="H22" s="399"/>
      <c r="I22" s="3460" t="s">
        <v>3620</v>
      </c>
      <c r="J22" s="399"/>
      <c r="K22" s="1130"/>
      <c r="L22" s="2721"/>
      <c r="M22" s="2715"/>
      <c r="N22" s="2715"/>
      <c r="O22" s="2715"/>
      <c r="P22" s="3698"/>
      <c r="Q22" s="1351"/>
      <c r="R22" s="705"/>
      <c r="S22" s="706"/>
      <c r="T22" s="705"/>
      <c r="U22" s="706"/>
      <c r="V22" s="705"/>
      <c r="W22" s="706"/>
      <c r="X22" s="1354"/>
      <c r="Y22" s="370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8"/>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961">
        <f t="shared" si="5"/>
        <v>1</v>
      </c>
    </row>
    <row r="24" spans="1:29" ht="15">
      <c r="A24" s="379"/>
      <c r="B24" s="581"/>
      <c r="C24" s="3460" t="s">
        <v>3618</v>
      </c>
      <c r="D24" s="399"/>
      <c r="E24" s="3457" t="s">
        <v>3618</v>
      </c>
      <c r="F24" s="399"/>
      <c r="G24" s="3456" t="s">
        <v>3618</v>
      </c>
      <c r="H24" s="399"/>
      <c r="I24" s="3456" t="s">
        <v>3618</v>
      </c>
      <c r="J24" s="399"/>
      <c r="K24" s="564"/>
      <c r="L24" s="2721"/>
      <c r="M24" s="2715"/>
      <c r="N24" s="2715"/>
      <c r="O24" s="2715"/>
      <c r="P24" s="3698"/>
      <c r="Q24" s="1351"/>
      <c r="R24" s="705"/>
      <c r="S24" s="706"/>
      <c r="T24" s="705"/>
      <c r="U24" s="706"/>
      <c r="V24" s="705"/>
      <c r="W24" s="706"/>
      <c r="X24" s="1354"/>
      <c r="Y24" s="370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8"/>
      <c r="Q25" s="1351" t="str">
        <f>B25</f>
        <v>毗邻道路的类型与等级</v>
      </c>
      <c r="R25" s="705" t="s">
        <v>14</v>
      </c>
      <c r="S25" s="706">
        <f>F25</f>
        <v>100</v>
      </c>
      <c r="T25" s="705" t="s">
        <v>14</v>
      </c>
      <c r="U25" s="706">
        <f>H25</f>
        <v>100</v>
      </c>
      <c r="V25" s="705" t="s">
        <v>14</v>
      </c>
      <c r="W25" s="706">
        <f>J25</f>
        <v>100</v>
      </c>
      <c r="X25" s="1354"/>
      <c r="Y25" s="370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8"/>
      <c r="Q26" s="1351"/>
      <c r="R26" s="705"/>
      <c r="S26" s="706"/>
      <c r="T26" s="705"/>
      <c r="U26" s="706"/>
      <c r="V26" s="705"/>
      <c r="W26" s="706"/>
      <c r="X26" s="1354"/>
      <c r="Y26" s="370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8"/>
      <c r="Q27" s="1351" t="str">
        <f t="shared" ref="Q27:Q47" si="11">B27</f>
        <v>楼层</v>
      </c>
      <c r="R27" s="705" t="s">
        <v>14</v>
      </c>
      <c r="S27" s="706">
        <f>F27</f>
        <v>100</v>
      </c>
      <c r="T27" s="705" t="s">
        <v>14</v>
      </c>
      <c r="U27" s="706">
        <f>H27</f>
        <v>100</v>
      </c>
      <c r="V27" s="705" t="s">
        <v>14</v>
      </c>
      <c r="W27" s="706">
        <f>J27</f>
        <v>100</v>
      </c>
      <c r="X27" s="1354"/>
      <c r="Y27" s="370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8"/>
      <c r="Q28" s="1342" t="str">
        <f t="shared" si="11"/>
        <v>朝向</v>
      </c>
      <c r="R28" s="701" t="s">
        <v>14</v>
      </c>
      <c r="S28" s="702">
        <f>F28</f>
        <v>100</v>
      </c>
      <c r="T28" s="701" t="s">
        <v>14</v>
      </c>
      <c r="U28" s="702">
        <f>H28</f>
        <v>100</v>
      </c>
      <c r="V28" s="701" t="s">
        <v>14</v>
      </c>
      <c r="W28" s="702">
        <f>J28</f>
        <v>100</v>
      </c>
      <c r="X28" s="703"/>
      <c r="Y28" s="370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8"/>
      <c r="Q29" s="1351">
        <f t="shared" si="11"/>
        <v>111</v>
      </c>
      <c r="R29" s="705" t="s">
        <v>14</v>
      </c>
      <c r="S29" s="706">
        <f t="shared" ref="S29:S47" si="12">F29</f>
        <v>100</v>
      </c>
      <c r="T29" s="705" t="s">
        <v>14</v>
      </c>
      <c r="U29" s="706">
        <f t="shared" ref="U29:U47" si="13">H29</f>
        <v>100</v>
      </c>
      <c r="V29" s="705" t="s">
        <v>14</v>
      </c>
      <c r="W29" s="706">
        <f t="shared" ref="W29:W47" si="14">J29</f>
        <v>100</v>
      </c>
      <c r="X29" s="1354"/>
      <c r="Y29" s="370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8"/>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8"/>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8"/>
      <c r="Q32" s="1351">
        <f t="shared" si="11"/>
        <v>111</v>
      </c>
      <c r="R32" s="705" t="s">
        <v>14</v>
      </c>
      <c r="S32" s="706">
        <f t="shared" si="12"/>
        <v>100</v>
      </c>
      <c r="T32" s="705" t="s">
        <v>14</v>
      </c>
      <c r="U32" s="706">
        <f t="shared" si="13"/>
        <v>100</v>
      </c>
      <c r="V32" s="705" t="s">
        <v>14</v>
      </c>
      <c r="W32" s="706">
        <f t="shared" si="14"/>
        <v>100</v>
      </c>
      <c r="X32" s="1354"/>
      <c r="Y32" s="3700"/>
      <c r="Z32" s="1355">
        <f t="shared" si="15"/>
        <v>111</v>
      </c>
      <c r="AA32" s="1352">
        <f t="shared" si="3"/>
        <v>1</v>
      </c>
      <c r="AB32" s="1352">
        <f t="shared" si="4"/>
        <v>1</v>
      </c>
      <c r="AC32" s="1961">
        <f t="shared" si="5"/>
        <v>1</v>
      </c>
    </row>
    <row r="33" spans="1:29" ht="15">
      <c r="A33" s="391" t="s">
        <v>1694</v>
      </c>
      <c r="B33" s="63" t="s">
        <v>1817</v>
      </c>
      <c r="C33" s="3470" t="s">
        <v>3621</v>
      </c>
      <c r="D33" s="418">
        <v>100</v>
      </c>
      <c r="E33" s="3470" t="s">
        <v>3621</v>
      </c>
      <c r="F33" s="412">
        <f>SUMIF(101:101,E33,102:102)-SUMIF(101:101,C33,102:102)+100</f>
        <v>100</v>
      </c>
      <c r="G33" s="3470" t="s">
        <v>3621</v>
      </c>
      <c r="H33" s="386">
        <f>SUMIF(101:101,G33,102:102)-SUMIF(101:101,C33,102:102)+100</f>
        <v>100</v>
      </c>
      <c r="I33" s="3470" t="s">
        <v>3621</v>
      </c>
      <c r="J33" s="418">
        <f>SUMIF(101:101,I33,102:102)-SUMIF(101:101,C33,102:102)+100</f>
        <v>100</v>
      </c>
      <c r="K33" s="561"/>
      <c r="L33" s="2721"/>
      <c r="M33" s="2715"/>
      <c r="N33" s="2715"/>
      <c r="O33" s="2715"/>
      <c r="P33" s="3701" t="s">
        <v>1696</v>
      </c>
      <c r="Q33" s="1351" t="str">
        <f t="shared" si="11"/>
        <v>建筑类型</v>
      </c>
      <c r="R33" s="705" t="s">
        <v>14</v>
      </c>
      <c r="S33" s="706">
        <f t="shared" si="12"/>
        <v>100</v>
      </c>
      <c r="T33" s="705" t="s">
        <v>14</v>
      </c>
      <c r="U33" s="706">
        <f t="shared" si="13"/>
        <v>100</v>
      </c>
      <c r="V33" s="705" t="s">
        <v>14</v>
      </c>
      <c r="W33" s="706">
        <f t="shared" si="14"/>
        <v>100</v>
      </c>
      <c r="X33" s="1354"/>
      <c r="Y33" s="3704" t="s">
        <v>1696</v>
      </c>
      <c r="Z33" s="1355" t="str">
        <f t="shared" si="15"/>
        <v>建筑类型</v>
      </c>
      <c r="AA33" s="1352">
        <f t="shared" si="3"/>
        <v>1</v>
      </c>
      <c r="AB33" s="1352">
        <f t="shared" si="4"/>
        <v>1</v>
      </c>
      <c r="AC33" s="1961">
        <f t="shared" si="5"/>
        <v>1</v>
      </c>
    </row>
    <row r="34" spans="1:29" s="422" customFormat="1" ht="15">
      <c r="A34" s="419"/>
      <c r="B34" s="375" t="s">
        <v>1697</v>
      </c>
      <c r="C34" s="420">
        <f>D3</f>
        <v>1216.8699999999999</v>
      </c>
      <c r="D34" s="127">
        <v>100</v>
      </c>
      <c r="E34" s="381">
        <v>1349.71</v>
      </c>
      <c r="F34" s="376">
        <f>LOOKUP(E34,104:104,105:105)-LOOKUP(C34,104:104,105:105)+100</f>
        <v>100</v>
      </c>
      <c r="G34" s="380">
        <v>1072.94</v>
      </c>
      <c r="H34" s="127">
        <f>LOOKUP(G34,104:104,105:105)-LOOKUP(C34,104:104,105:105)+100</f>
        <v>100</v>
      </c>
      <c r="I34" s="380">
        <v>1863</v>
      </c>
      <c r="J34" s="127">
        <f>LOOKUP(I34,104:104,105:105)-LOOKUP(C34,104:104,105:105)+100</f>
        <v>100</v>
      </c>
      <c r="K34" s="562"/>
      <c r="L34" s="2720"/>
      <c r="M34" s="2722"/>
      <c r="N34" s="2722"/>
      <c r="O34" s="2722"/>
      <c r="P34" s="3702"/>
      <c r="Q34" s="707" t="str">
        <f t="shared" si="11"/>
        <v>项目建筑规模</v>
      </c>
      <c r="R34" s="708" t="s">
        <v>14</v>
      </c>
      <c r="S34" s="709">
        <f t="shared" si="12"/>
        <v>100</v>
      </c>
      <c r="T34" s="708" t="s">
        <v>14</v>
      </c>
      <c r="U34" s="709">
        <f t="shared" si="13"/>
        <v>100</v>
      </c>
      <c r="V34" s="708" t="s">
        <v>14</v>
      </c>
      <c r="W34" s="709">
        <f t="shared" si="14"/>
        <v>100</v>
      </c>
      <c r="X34" s="710"/>
      <c r="Y34" s="3704"/>
      <c r="Z34" s="711" t="str">
        <f t="shared" si="15"/>
        <v>项目建筑规模</v>
      </c>
      <c r="AA34" s="1352">
        <f t="shared" si="3"/>
        <v>1</v>
      </c>
      <c r="AB34" s="1352">
        <f t="shared" si="4"/>
        <v>1</v>
      </c>
      <c r="AC34" s="1961">
        <f t="shared" si="5"/>
        <v>1</v>
      </c>
    </row>
    <row r="35" spans="1:29" ht="15">
      <c r="A35" s="423"/>
      <c r="B35" s="375" t="s">
        <v>1698</v>
      </c>
      <c r="C35" s="3471" t="s">
        <v>3622</v>
      </c>
      <c r="D35" s="386">
        <v>100</v>
      </c>
      <c r="E35" s="3471" t="s">
        <v>3623</v>
      </c>
      <c r="F35" s="412">
        <f>SUMIF(106:106,E35,107:107)-SUMIF(106:106,C35,107:107)+100</f>
        <v>102</v>
      </c>
      <c r="G35" s="3471" t="s">
        <v>3623</v>
      </c>
      <c r="H35" s="386">
        <f>SUMIF(106:106,G35,107:107)-SUMIF(106:106,C35,107:107)+100</f>
        <v>102</v>
      </c>
      <c r="I35" s="3471" t="s">
        <v>3623</v>
      </c>
      <c r="J35" s="386">
        <f>SUMIF(106:106,I35,107:107)-SUMIF(106:106,C35,107:107)+100</f>
        <v>102</v>
      </c>
      <c r="K35" s="561">
        <v>2</v>
      </c>
      <c r="L35" s="2721"/>
      <c r="M35" s="2715"/>
      <c r="N35" s="2715"/>
      <c r="O35" s="2715"/>
      <c r="P35" s="3702"/>
      <c r="Q35" s="1351" t="str">
        <f t="shared" si="11"/>
        <v>建筑结构</v>
      </c>
      <c r="R35" s="705" t="s">
        <v>14</v>
      </c>
      <c r="S35" s="706">
        <f t="shared" si="12"/>
        <v>102</v>
      </c>
      <c r="T35" s="705" t="s">
        <v>14</v>
      </c>
      <c r="U35" s="706">
        <f t="shared" si="13"/>
        <v>102</v>
      </c>
      <c r="V35" s="705" t="s">
        <v>14</v>
      </c>
      <c r="W35" s="706">
        <f t="shared" si="14"/>
        <v>102</v>
      </c>
      <c r="X35" s="1354"/>
      <c r="Y35" s="3704"/>
      <c r="Z35" s="1355" t="str">
        <f t="shared" si="15"/>
        <v>建筑结构</v>
      </c>
      <c r="AA35" s="1352">
        <f t="shared" si="3"/>
        <v>0.98039215686274506</v>
      </c>
      <c r="AB35" s="1352">
        <f t="shared" si="4"/>
        <v>0.98039215686274506</v>
      </c>
      <c r="AC35" s="1961">
        <f t="shared" si="5"/>
        <v>0.98039215686274506</v>
      </c>
    </row>
    <row r="36" spans="1:29" ht="15">
      <c r="A36" s="423"/>
      <c r="B36" s="375" t="s">
        <v>1785</v>
      </c>
      <c r="C36" s="3471" t="s">
        <v>3624</v>
      </c>
      <c r="D36" s="386">
        <v>100</v>
      </c>
      <c r="E36" s="3471" t="s">
        <v>3625</v>
      </c>
      <c r="F36" s="412">
        <f>SUMIF(108:108,E36,109:109)-SUMIF(108:108,C36,109:109)+100</f>
        <v>102</v>
      </c>
      <c r="G36" s="3471" t="s">
        <v>3625</v>
      </c>
      <c r="H36" s="386">
        <f>SUMIF(108:108,G36,109:109)-SUMIF(108:108,C36,109:109)+100</f>
        <v>102</v>
      </c>
      <c r="I36" s="3471" t="s">
        <v>3625</v>
      </c>
      <c r="J36" s="386">
        <f>SUMIF(108:108,I36,109:109)-SUMIF(108:108,C36,109:109)+100</f>
        <v>102</v>
      </c>
      <c r="K36" s="561">
        <v>2</v>
      </c>
      <c r="L36" s="2721"/>
      <c r="M36" s="2715"/>
      <c r="N36" s="2715"/>
      <c r="O36" s="2715"/>
      <c r="P36" s="3702"/>
      <c r="Q36" s="1351" t="str">
        <f t="shared" si="11"/>
        <v>公共部分装修</v>
      </c>
      <c r="R36" s="705" t="s">
        <v>14</v>
      </c>
      <c r="S36" s="706">
        <f t="shared" si="12"/>
        <v>102</v>
      </c>
      <c r="T36" s="705" t="s">
        <v>14</v>
      </c>
      <c r="U36" s="706">
        <f t="shared" si="13"/>
        <v>102</v>
      </c>
      <c r="V36" s="705" t="s">
        <v>14</v>
      </c>
      <c r="W36" s="706">
        <f t="shared" si="14"/>
        <v>102</v>
      </c>
      <c r="X36" s="1354"/>
      <c r="Y36" s="3704"/>
      <c r="Z36" s="1355" t="str">
        <f t="shared" si="15"/>
        <v>公共部分装修</v>
      </c>
      <c r="AA36" s="1352">
        <f t="shared" si="3"/>
        <v>0.98039215686274506</v>
      </c>
      <c r="AB36" s="1352">
        <f t="shared" si="4"/>
        <v>0.98039215686274506</v>
      </c>
      <c r="AC36" s="1961">
        <f t="shared" si="5"/>
        <v>0.98039215686274506</v>
      </c>
    </row>
    <row r="37" spans="1:29" ht="15">
      <c r="A37" s="423"/>
      <c r="B37" s="375" t="s">
        <v>1786</v>
      </c>
      <c r="C37" s="425">
        <v>0.7</v>
      </c>
      <c r="D37" s="386">
        <v>100</v>
      </c>
      <c r="E37" s="425">
        <v>0.7</v>
      </c>
      <c r="F37" s="412">
        <f>LOOKUP(E37,111:111,112:112)-LOOKUP(C37,111:111,112:112)+100</f>
        <v>100</v>
      </c>
      <c r="G37" s="425">
        <v>0.8</v>
      </c>
      <c r="H37" s="412">
        <f>LOOKUP(G37,111:111,112:112)-LOOKUP(C37,111:111,112:112)+100</f>
        <v>102</v>
      </c>
      <c r="I37" s="425">
        <v>0.8</v>
      </c>
      <c r="J37" s="386">
        <f>LOOKUP(I37,111:111,112:112)-LOOKUP(C37,111:111,112:112)+100</f>
        <v>102</v>
      </c>
      <c r="K37" s="561">
        <v>2</v>
      </c>
      <c r="L37" s="2721"/>
      <c r="M37" s="2715"/>
      <c r="N37" s="2715"/>
      <c r="O37" s="2715"/>
      <c r="P37" s="3702"/>
      <c r="Q37" s="1351" t="str">
        <f t="shared" si="11"/>
        <v>成新度</v>
      </c>
      <c r="R37" s="705" t="s">
        <v>14</v>
      </c>
      <c r="S37" s="706">
        <f t="shared" si="12"/>
        <v>100</v>
      </c>
      <c r="T37" s="705" t="s">
        <v>14</v>
      </c>
      <c r="U37" s="706">
        <f t="shared" si="13"/>
        <v>102</v>
      </c>
      <c r="V37" s="705" t="s">
        <v>14</v>
      </c>
      <c r="W37" s="706">
        <f t="shared" si="14"/>
        <v>102</v>
      </c>
      <c r="X37" s="1354"/>
      <c r="Y37" s="3704"/>
      <c r="Z37" s="1355" t="str">
        <f t="shared" si="15"/>
        <v>成新度</v>
      </c>
      <c r="AA37" s="1352">
        <f t="shared" si="3"/>
        <v>1</v>
      </c>
      <c r="AB37" s="135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2"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1" t="str">
        <f t="shared" si="11"/>
        <v>物业管理</v>
      </c>
      <c r="R39" s="705" t="s">
        <v>14</v>
      </c>
      <c r="S39" s="706">
        <f t="shared" si="12"/>
        <v>100</v>
      </c>
      <c r="T39" s="705" t="s">
        <v>14</v>
      </c>
      <c r="U39" s="706">
        <f t="shared" si="13"/>
        <v>100</v>
      </c>
      <c r="V39" s="705" t="s">
        <v>14</v>
      </c>
      <c r="W39" s="706">
        <f t="shared" si="14"/>
        <v>100</v>
      </c>
      <c r="X39" s="1354"/>
      <c r="Y39" s="3704" t="s">
        <v>1696</v>
      </c>
      <c r="Z39" s="1355" t="str">
        <f t="shared" si="15"/>
        <v>物业管理</v>
      </c>
      <c r="AA39" s="1352">
        <f t="shared" si="3"/>
        <v>1</v>
      </c>
      <c r="AB39" s="1352">
        <f t="shared" si="4"/>
        <v>1</v>
      </c>
      <c r="AC39" s="1961">
        <f t="shared" si="5"/>
        <v>1</v>
      </c>
    </row>
    <row r="40" spans="1:29" ht="15">
      <c r="A40" s="423"/>
      <c r="B40" s="375" t="s">
        <v>1787</v>
      </c>
      <c r="C40" s="3471" t="s">
        <v>3626</v>
      </c>
      <c r="D40" s="386">
        <v>100</v>
      </c>
      <c r="E40" s="3471" t="s">
        <v>3627</v>
      </c>
      <c r="F40" s="412">
        <f>SUMIF(117:117,E40,118:118)-SUMIF(117:117,C40,118:118)+100</f>
        <v>100</v>
      </c>
      <c r="G40" s="3471" t="s">
        <v>3627</v>
      </c>
      <c r="H40" s="386">
        <f>SUMIF(117:117,G40,118:118)-SUMIF(117:117,C40,118:118)+100</f>
        <v>100</v>
      </c>
      <c r="I40" s="3471" t="s">
        <v>3626</v>
      </c>
      <c r="J40" s="386">
        <f>SUMIF(117:117,I40,118:118)-SUMIF(117:117,C40,118:118)+100</f>
        <v>100</v>
      </c>
      <c r="K40" s="561"/>
      <c r="L40" s="2721"/>
      <c r="M40" s="2715"/>
      <c r="N40" s="2715"/>
      <c r="O40" s="2715"/>
      <c r="P40" s="3702"/>
      <c r="Q40" s="1351" t="str">
        <f t="shared" si="11"/>
        <v>市政基础设施</v>
      </c>
      <c r="R40" s="705" t="s">
        <v>14</v>
      </c>
      <c r="S40" s="706">
        <f t="shared" si="12"/>
        <v>100</v>
      </c>
      <c r="T40" s="705" t="s">
        <v>14</v>
      </c>
      <c r="U40" s="706">
        <f t="shared" si="13"/>
        <v>100</v>
      </c>
      <c r="V40" s="705" t="s">
        <v>14</v>
      </c>
      <c r="W40" s="706">
        <f t="shared" si="14"/>
        <v>100</v>
      </c>
      <c r="X40" s="1354"/>
      <c r="Y40" s="370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1" t="str">
        <f t="shared" si="11"/>
        <v>层高</v>
      </c>
      <c r="R41" s="705" t="s">
        <v>14</v>
      </c>
      <c r="S41" s="706">
        <f t="shared" si="12"/>
        <v>100</v>
      </c>
      <c r="T41" s="705" t="s">
        <v>14</v>
      </c>
      <c r="U41" s="706">
        <f t="shared" si="13"/>
        <v>100</v>
      </c>
      <c r="V41" s="705" t="s">
        <v>14</v>
      </c>
      <c r="W41" s="706">
        <f t="shared" si="14"/>
        <v>100</v>
      </c>
      <c r="X41" s="1354"/>
      <c r="Y41" s="370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2">
        <f t="shared" si="3"/>
        <v>1</v>
      </c>
      <c r="AB42" s="1352">
        <f t="shared" si="4"/>
        <v>1</v>
      </c>
      <c r="AC42" s="1961">
        <f t="shared" si="5"/>
        <v>1</v>
      </c>
    </row>
    <row r="43" spans="1:29" ht="15">
      <c r="A43" s="423"/>
      <c r="B43" s="375" t="s">
        <v>1792</v>
      </c>
      <c r="C43" s="3471" t="s">
        <v>3624</v>
      </c>
      <c r="D43" s="386">
        <v>100</v>
      </c>
      <c r="E43" s="3471" t="s">
        <v>3625</v>
      </c>
      <c r="F43" s="412">
        <f>SUMIF(123:123,E43,124:124)-SUMIF(123:123,C43,124:124)+100</f>
        <v>102</v>
      </c>
      <c r="G43" s="3471" t="s">
        <v>3625</v>
      </c>
      <c r="H43" s="386">
        <f>SUMIF(123:123,G43,124:124)-SUMIF(123:123,C43,124:124)+100</f>
        <v>102</v>
      </c>
      <c r="I43" s="3471" t="s">
        <v>3625</v>
      </c>
      <c r="J43" s="386">
        <f>SUMIF(123:123,I43,124:124)-SUMIF(123:123,C43,124:124)+100</f>
        <v>102</v>
      </c>
      <c r="K43" s="561">
        <v>2</v>
      </c>
      <c r="L43" s="2721"/>
      <c r="M43" s="2715"/>
      <c r="N43" s="2715"/>
      <c r="O43" s="2715"/>
      <c r="P43" s="3702"/>
      <c r="Q43" s="1351" t="str">
        <f t="shared" si="11"/>
        <v>内部装修</v>
      </c>
      <c r="R43" s="705" t="s">
        <v>14</v>
      </c>
      <c r="S43" s="706">
        <f t="shared" si="12"/>
        <v>102</v>
      </c>
      <c r="T43" s="705" t="s">
        <v>14</v>
      </c>
      <c r="U43" s="706">
        <f t="shared" si="13"/>
        <v>102</v>
      </c>
      <c r="V43" s="705" t="s">
        <v>14</v>
      </c>
      <c r="W43" s="706">
        <f t="shared" si="14"/>
        <v>102</v>
      </c>
      <c r="X43" s="1354"/>
      <c r="Y43" s="3704"/>
      <c r="Z43" s="1355" t="str">
        <f t="shared" si="15"/>
        <v>内部装修</v>
      </c>
      <c r="AA43" s="1352">
        <f t="shared" si="3"/>
        <v>0.98039215686274506</v>
      </c>
      <c r="AB43" s="1352">
        <f t="shared" si="4"/>
        <v>0.98039215686274506</v>
      </c>
      <c r="AC43" s="1961">
        <f t="shared" si="5"/>
        <v>0.98039215686274506</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2"/>
      <c r="Q44" s="1351" t="str">
        <f t="shared" si="11"/>
        <v>内部装修维护情况</v>
      </c>
      <c r="R44" s="705" t="s">
        <v>14</v>
      </c>
      <c r="S44" s="706">
        <f t="shared" si="12"/>
        <v>100</v>
      </c>
      <c r="T44" s="705" t="s">
        <v>14</v>
      </c>
      <c r="U44" s="706">
        <f t="shared" si="13"/>
        <v>100</v>
      </c>
      <c r="V44" s="705" t="s">
        <v>14</v>
      </c>
      <c r="W44" s="706">
        <f t="shared" si="14"/>
        <v>100</v>
      </c>
      <c r="X44" s="1354"/>
      <c r="Y44" s="370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2">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1">
        <f t="shared" si="11"/>
        <v>111</v>
      </c>
      <c r="R46" s="705" t="s">
        <v>14</v>
      </c>
      <c r="S46" s="706">
        <f t="shared" si="12"/>
        <v>100</v>
      </c>
      <c r="T46" s="705" t="s">
        <v>14</v>
      </c>
      <c r="U46" s="706">
        <f t="shared" si="13"/>
        <v>100</v>
      </c>
      <c r="V46" s="705" t="s">
        <v>14</v>
      </c>
      <c r="W46" s="706">
        <f t="shared" si="14"/>
        <v>100</v>
      </c>
      <c r="X46" s="1354"/>
      <c r="Y46" s="370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1">
        <f t="shared" si="11"/>
        <v>111</v>
      </c>
      <c r="R47" s="705" t="s">
        <v>14</v>
      </c>
      <c r="S47" s="706">
        <f t="shared" si="12"/>
        <v>100</v>
      </c>
      <c r="T47" s="705" t="s">
        <v>14</v>
      </c>
      <c r="U47" s="706">
        <f t="shared" si="13"/>
        <v>100</v>
      </c>
      <c r="V47" s="705" t="s">
        <v>14</v>
      </c>
      <c r="W47" s="706">
        <f t="shared" si="14"/>
        <v>100</v>
      </c>
      <c r="X47" s="1354"/>
      <c r="Y47" s="3705"/>
      <c r="Z47" s="1355">
        <f t="shared" si="15"/>
        <v>111</v>
      </c>
      <c r="AA47" s="1352">
        <f t="shared" si="3"/>
        <v>1</v>
      </c>
      <c r="AB47" s="1352">
        <f t="shared" si="4"/>
        <v>1</v>
      </c>
      <c r="AC47" s="1961">
        <f t="shared" si="5"/>
        <v>1</v>
      </c>
    </row>
    <row r="48" spans="1:29" ht="15">
      <c r="A48" s="430" t="s">
        <v>1708</v>
      </c>
      <c r="B48" s="431"/>
      <c r="C48" s="1154" t="s">
        <v>0</v>
      </c>
      <c r="D48" s="1155"/>
      <c r="E48" s="1156">
        <v>20005</v>
      </c>
      <c r="F48" s="1157"/>
      <c r="G48" s="1158">
        <v>22835</v>
      </c>
      <c r="H48" s="1159"/>
      <c r="I48" s="1156">
        <v>21004</v>
      </c>
      <c r="J48" s="436"/>
      <c r="K48" s="714"/>
      <c r="L48" s="2723"/>
      <c r="M48" s="2715"/>
      <c r="N48" s="2715"/>
      <c r="O48" s="2715"/>
      <c r="P48" s="3676" t="str">
        <f>A48</f>
        <v>成交单价（元/平方米）</v>
      </c>
      <c r="Q48" s="3706"/>
      <c r="R48" s="3707">
        <f>E48</f>
        <v>20005</v>
      </c>
      <c r="S48" s="3707"/>
      <c r="T48" s="3707">
        <f>G48</f>
        <v>22835</v>
      </c>
      <c r="U48" s="3707"/>
      <c r="V48" s="3707">
        <f>I48</f>
        <v>21004</v>
      </c>
      <c r="W48" s="3707"/>
      <c r="X48" s="397"/>
      <c r="Y48" s="712"/>
      <c r="Z48" s="397"/>
      <c r="AA48" s="397"/>
      <c r="AB48" s="397"/>
      <c r="AC48" s="578"/>
    </row>
    <row r="49" spans="1:29" ht="15.75" thickBot="1">
      <c r="A49" s="437" t="s">
        <v>1793</v>
      </c>
      <c r="B49" s="438"/>
      <c r="C49" s="1160">
        <f>R50</f>
        <v>18761</v>
      </c>
      <c r="D49" s="2316" t="s">
        <v>2138</v>
      </c>
      <c r="E49" s="1161">
        <f>R49</f>
        <v>18119</v>
      </c>
      <c r="F49" s="2317"/>
      <c r="G49" s="1160">
        <f>T49</f>
        <v>19879</v>
      </c>
      <c r="H49" s="2317"/>
      <c r="I49" s="1161">
        <f>V49</f>
        <v>18285</v>
      </c>
      <c r="J49" s="2317"/>
      <c r="K49" s="2319">
        <f>F49+H49+J49</f>
        <v>0</v>
      </c>
      <c r="L49" s="2723"/>
      <c r="M49" s="2715"/>
      <c r="N49" s="2715"/>
      <c r="O49" s="2715"/>
      <c r="P49" s="3676" t="str">
        <f>A49</f>
        <v>比较价值（元/平方米）</v>
      </c>
      <c r="Q49" s="3706"/>
      <c r="R49" s="3707">
        <f>IF(F1="售价",ROUND(PRODUCT(R48,AA7:AA47),0),ROUND(PRODUCT(R48,AA7:AA47),1))</f>
        <v>18119</v>
      </c>
      <c r="S49" s="3707"/>
      <c r="T49" s="3707">
        <f>IF(F1="售价",ROUND(PRODUCT(T48,AB7:AB47),0),ROUND(PRODUCT(T48,AB7:AB47),1))</f>
        <v>19879</v>
      </c>
      <c r="U49" s="3707"/>
      <c r="V49" s="3707">
        <f>IF(F1="售价",ROUND(PRODUCT(V48,AC7:AC47),0),ROUND(PRODUCT(V48,AC7:AC47),1))</f>
        <v>18285</v>
      </c>
      <c r="W49" s="3707"/>
      <c r="X49" s="397"/>
      <c r="Y49" s="397"/>
      <c r="Z49" s="397"/>
      <c r="AA49" s="397"/>
      <c r="AB49" s="397"/>
      <c r="AC49" s="578"/>
    </row>
    <row r="50" spans="1:29" ht="15.75" thickBot="1">
      <c r="A50" s="441" t="s">
        <v>1794</v>
      </c>
      <c r="B50" s="442"/>
      <c r="C50" s="1163">
        <f>R50</f>
        <v>18761</v>
      </c>
      <c r="D50" s="1163"/>
      <c r="E50" s="1163"/>
      <c r="F50" s="1163"/>
      <c r="G50" s="1163"/>
      <c r="H50" s="1163"/>
      <c r="I50" s="1163"/>
      <c r="J50" s="443"/>
      <c r="K50" s="715"/>
      <c r="L50" s="2723"/>
      <c r="M50" s="2715"/>
      <c r="N50" s="2715"/>
      <c r="O50" s="2715"/>
      <c r="P50" s="3708" t="str">
        <f>A50</f>
        <v>估价对象XX用房的比较价值（楼面单价，元/平方米）</v>
      </c>
      <c r="Q50" s="3709"/>
      <c r="R50" s="3710">
        <f>IF(F1="售价",ROUND(IF(D49="简单平均",AVERAGE(R49:V49),R49*F49+T49*H49+V49*J49),0),ROUND(IF(D49="简单平均",AVERAGE(R49:V49),R49*F49+T49*H49+V49*J49),1))</f>
        <v>18761</v>
      </c>
      <c r="S50" s="3710"/>
      <c r="T50" s="3710"/>
      <c r="U50" s="3710"/>
      <c r="V50" s="3710"/>
      <c r="W50" s="371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0.10408962967051161</v>
      </c>
      <c r="F53" s="449" t="str">
        <f>IF(OR(E53&gt;=0.3,E53&lt;=-0.3),"超过30%","")</f>
        <v/>
      </c>
      <c r="G53" s="448">
        <f>IF(G48&lt;G49,G49/G48-1,G48/G49-1)</f>
        <v>0.14869963277830878</v>
      </c>
      <c r="H53" s="449" t="str">
        <f>IF(OR(G53&gt;=0.3,G53&lt;=-0.3),"超过30%","")</f>
        <v/>
      </c>
      <c r="I53" s="448">
        <f>IF(I48&lt;I49,I49/I48-1,I48/I49-1)</f>
        <v>0.14870112113754441</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9.71356035101274E-2</v>
      </c>
      <c r="F54" s="449" t="str">
        <f>IF(OR(E54&gt;=0.2,E54&lt;=-0.2),"超过20%","")</f>
        <v/>
      </c>
      <c r="G54" s="448">
        <f>IF(G49&lt;I49,I49/G49-1,G49/I49-1)</f>
        <v>8.7175280284386147E-2</v>
      </c>
      <c r="H54" s="449" t="str">
        <f>IF(OR(G54&gt;=0.2,G54&lt;=-0.2),"超过20%","")</f>
        <v/>
      </c>
      <c r="I54" s="448">
        <f>IF(I49&lt;E49,E49/I49-1,I49/E49-1)</f>
        <v>9.1616535128871135E-3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0.14146463384153951</v>
      </c>
      <c r="F55" s="449" t="str">
        <f>IF(OR(E55&gt;=0.3,E55&lt;=-0.3),"超过30%","")</f>
        <v/>
      </c>
      <c r="G55" s="448">
        <f>IF(G48&lt;I48,I48/G48-1,G48/I48-1)</f>
        <v>8.7173871643496437E-2</v>
      </c>
      <c r="H55" s="449" t="str">
        <f>IF(OR(G55&gt;=0.3,G55&lt;=-0.3),"超过30%","")</f>
        <v/>
      </c>
      <c r="I55" s="448">
        <f>IF(I48&lt;E48,E48/I48-1,I48/E48-1)</f>
        <v>4.993751562109483E-2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72" t="s">
        <v>3629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3616</v>
      </c>
      <c r="D66" s="532" t="s">
        <v>3615</v>
      </c>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102</v>
      </c>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1000</v>
      </c>
      <c r="E104" s="544">
        <v>2000</v>
      </c>
      <c r="F104" s="544">
        <v>3000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4" t="s">
        <v>3623</v>
      </c>
      <c r="D106" s="3464" t="s">
        <v>3622</v>
      </c>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4" t="s">
        <v>3625</v>
      </c>
      <c r="D108" s="3464" t="s">
        <v>3624</v>
      </c>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4" t="s">
        <v>3625</v>
      </c>
      <c r="D123" s="3464" t="s">
        <v>3624</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1753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14406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937</v>
      </c>
      <c r="D5" s="211" t="s">
        <v>1469</v>
      </c>
      <c r="E5" s="212" t="s">
        <v>1470</v>
      </c>
      <c r="F5" s="212" t="s">
        <v>1471</v>
      </c>
      <c r="G5" s="213"/>
    </row>
    <row r="6" spans="1:9" s="214" customFormat="1" ht="13.5" customHeight="1">
      <c r="A6" s="778" t="s">
        <v>1472</v>
      </c>
      <c r="B6" s="215" t="s">
        <v>1473</v>
      </c>
      <c r="C6" s="216">
        <f>基准地价修正!B2</f>
        <v>909</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3404</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1216.8699999999999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1216.8699999999999</v>
      </c>
      <c r="E19" s="211">
        <f>'数据-取费表'!B31</f>
        <v>200</v>
      </c>
      <c r="F19" s="231"/>
      <c r="G19" s="1855" t="s">
        <v>3405</v>
      </c>
    </row>
    <row r="20" spans="1:7" s="214" customFormat="1" ht="13.5" customHeight="1">
      <c r="A20" s="255" t="s">
        <v>1493</v>
      </c>
      <c r="B20" s="210" t="s">
        <v>1494</v>
      </c>
      <c r="C20" s="232">
        <f>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69</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143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v>
      </c>
      <c r="D37" s="217">
        <f ca="1">D19</f>
        <v>1216.8699999999999</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82</v>
      </c>
      <c r="D45" s="235">
        <f ca="1">C47</f>
        <v>3.0000000000000001E-3</v>
      </c>
      <c r="E45" s="236" t="s">
        <v>1539</v>
      </c>
      <c r="F45" s="246">
        <f ca="1">F27</f>
        <v>0.15</v>
      </c>
      <c r="G45" s="247" t="s">
        <v>1548</v>
      </c>
    </row>
    <row r="46" spans="1:7" s="214" customFormat="1" ht="13.5" customHeight="1">
      <c r="A46" s="780" t="s">
        <v>346</v>
      </c>
      <c r="B46" s="248" t="s">
        <v>1549</v>
      </c>
      <c r="C46" s="249">
        <f ca="1">ROUND((C33+C39)*F27,0)</f>
        <v>82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489</v>
      </c>
      <c r="D51" s="232"/>
      <c r="E51" s="232"/>
      <c r="F51" s="264"/>
      <c r="G51" s="234" t="s">
        <v>1560</v>
      </c>
    </row>
    <row r="52" spans="1:7" s="208" customFormat="1" ht="16.5" thickBot="1">
      <c r="A52" s="265" t="s">
        <v>1561</v>
      </c>
      <c r="B52" s="266"/>
      <c r="C52" s="267">
        <f ca="1">C31+C51</f>
        <v>1753</v>
      </c>
      <c r="D52" s="266"/>
      <c r="E52" s="266"/>
      <c r="F52" s="266"/>
      <c r="G52" s="268"/>
    </row>
    <row r="55" spans="1:7" ht="15">
      <c r="B55" s="270" t="s">
        <v>1562</v>
      </c>
      <c r="C55" s="271"/>
    </row>
    <row r="56" spans="1:7">
      <c r="B56" s="273" t="s">
        <v>802</v>
      </c>
      <c r="C56" s="275">
        <f ca="1">1-C57</f>
        <v>0.72099999999999997</v>
      </c>
    </row>
    <row r="57" spans="1:7">
      <c r="B57" s="273" t="s">
        <v>803</v>
      </c>
      <c r="C57" s="274">
        <f ca="1">ROUND(C51/C52,3)</f>
        <v>0.27900000000000003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521.12840000000006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4283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1216.8699999999999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243374</v>
      </c>
      <c r="D19" s="849">
        <f ca="1">D9+D10</f>
        <v>1216.8699999999999</v>
      </c>
      <c r="E19" s="211">
        <f>'数据-取费表'!B31</f>
        <v>200</v>
      </c>
      <c r="F19" s="231"/>
      <c r="G19" s="1855"/>
    </row>
    <row r="20" spans="1:7" s="214" customFormat="1" ht="13.5" customHeight="1">
      <c r="A20" s="255" t="s">
        <v>1574</v>
      </c>
      <c r="B20" s="210" t="s">
        <v>1575</v>
      </c>
      <c r="C20" s="232">
        <f ca="1">ROUND((C5+C19)*F20,0)</f>
        <v>4867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17759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17586</v>
      </c>
      <c r="D24" s="238"/>
      <c r="E24" s="238"/>
      <c r="F24" s="239"/>
      <c r="G24" s="240" t="s">
        <v>1586</v>
      </c>
    </row>
    <row r="25" spans="1:7" s="214" customFormat="1" ht="24">
      <c r="A25" s="780" t="s">
        <v>1476</v>
      </c>
      <c r="B25" s="215" t="s">
        <v>1587</v>
      </c>
      <c r="C25" s="1128">
        <f ca="1">ROUND(IF('数据-取费表'!B22&lt;=1,C20*F22*'数据-取费表'!B22/2,C20*(POWER((1+F22),'数据-取费表'!B22/2)-1)),0)</f>
        <v>173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37236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37236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328213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5329890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4867480</v>
      </c>
      <c r="D34" s="217"/>
      <c r="E34" s="220"/>
      <c r="F34" s="257"/>
      <c r="G34" s="219"/>
    </row>
    <row r="35" spans="1:7" ht="13.5" customHeight="1">
      <c r="A35" s="780" t="s">
        <v>351</v>
      </c>
      <c r="B35" s="215" t="s">
        <v>1527</v>
      </c>
      <c r="C35" s="220">
        <f ca="1">ROUND(C34*F35,0)</f>
        <v>146024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243374</v>
      </c>
      <c r="D37" s="217">
        <f ca="1">D19</f>
        <v>1216.8699999999999</v>
      </c>
      <c r="E37" s="249">
        <f>'数据-取费表'!B35</f>
        <v>200</v>
      </c>
      <c r="F37" s="259"/>
      <c r="G37" s="261"/>
    </row>
    <row r="38" spans="1:7" ht="13.5" customHeight="1">
      <c r="A38" s="780" t="s">
        <v>354</v>
      </c>
      <c r="B38" s="215" t="s">
        <v>1533</v>
      </c>
      <c r="C38" s="220">
        <f ca="1">ROUND(C34*F38,0)</f>
        <v>73012</v>
      </c>
      <c r="D38" s="220"/>
      <c r="E38" s="220"/>
      <c r="F38" s="259">
        <f>'数据-取费表'!B36</f>
        <v>1.4999999999999999E-2</v>
      </c>
      <c r="G38" s="219" t="s">
        <v>1528</v>
      </c>
    </row>
    <row r="39" spans="1:7" s="214" customFormat="1" ht="13.5" customHeight="1">
      <c r="A39" s="255" t="s">
        <v>1534</v>
      </c>
      <c r="B39" s="210" t="s">
        <v>1535</v>
      </c>
      <c r="C39" s="232">
        <f ca="1">ROUND(C33*F20,0)</f>
        <v>106598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192995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189211</v>
      </c>
      <c r="D42" s="238"/>
      <c r="E42" s="238"/>
      <c r="F42" s="239"/>
      <c r="G42" s="3656" t="s">
        <v>1591</v>
      </c>
    </row>
    <row r="43" spans="1:7" ht="13.5" customHeight="1">
      <c r="A43" s="780" t="s">
        <v>347</v>
      </c>
      <c r="B43" s="215" t="s">
        <v>1545</v>
      </c>
      <c r="C43" s="238">
        <f ca="1">ROUND(IF('数据-取费表'!B22&lt;=1,C39*F22*'数据-取费表'!B20/2,C39*(POWER((1+F22),'数据-取费表'!B20/2)-1)),0)</f>
        <v>3784</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f ca="1">C46</f>
        <v>815473</v>
      </c>
      <c r="D45" s="235">
        <f ca="1">C47</f>
        <v>3.0000000000000001E-3</v>
      </c>
      <c r="E45" s="236" t="s">
        <v>1539</v>
      </c>
      <c r="F45" s="246">
        <f ca="1">F27</f>
        <v>0.15</v>
      </c>
      <c r="G45" s="247" t="s">
        <v>1548</v>
      </c>
    </row>
    <row r="46" spans="1:7" s="214" customFormat="1" ht="13.5" customHeight="1">
      <c r="A46" s="780" t="s">
        <v>346</v>
      </c>
      <c r="B46" s="248" t="s">
        <v>1549</v>
      </c>
      <c r="C46" s="249">
        <f ca="1">ROUND((C33+C39)*F27,0)</f>
        <v>815473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6975816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4883071</v>
      </c>
      <c r="D51" s="232"/>
      <c r="E51" s="232"/>
      <c r="F51" s="264"/>
      <c r="G51" s="234" t="s">
        <v>1560</v>
      </c>
    </row>
    <row r="52" spans="1:7" s="208" customFormat="1" ht="16.5" thickBot="1">
      <c r="A52" s="265" t="s">
        <v>1561</v>
      </c>
      <c r="B52" s="266"/>
      <c r="C52" s="267">
        <f ca="1">C31+C51</f>
        <v>5211284</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1216.8699999999999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1216.8699999999999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1216.8699999999999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5" sqref="K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25.58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1975</v>
      </c>
      <c r="C2" s="1386" t="s">
        <v>805</v>
      </c>
      <c r="D2" s="1386"/>
      <c r="E2" s="1387"/>
      <c r="F2" s="1388"/>
      <c r="G2" s="2705"/>
      <c r="H2" s="2694"/>
      <c r="I2" s="2694"/>
      <c r="J2" s="2694"/>
      <c r="K2" s="2695"/>
      <c r="L2" s="2694"/>
      <c r="M2" s="2694"/>
    </row>
    <row r="3" spans="1:37" ht="18" customHeight="1" thickBot="1">
      <c r="A3" s="1389" t="s">
        <v>806</v>
      </c>
      <c r="B3" s="1390">
        <f ca="1">IF(ISERROR(B2*10000/F43),0,ROUND(B2*10000/F43,0))</f>
        <v>16230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144</v>
      </c>
      <c r="D5" s="1363" t="s">
        <v>693</v>
      </c>
      <c r="E5" s="1071"/>
      <c r="F5" s="1072"/>
      <c r="G5" s="1383"/>
      <c r="H5" s="299">
        <v>1</v>
      </c>
      <c r="I5" s="300" t="s">
        <v>692</v>
      </c>
      <c r="J5" s="1070">
        <f ca="1">J6+J10+J12</f>
        <v>0</v>
      </c>
      <c r="K5" s="1363" t="s">
        <v>693</v>
      </c>
      <c r="L5" s="1071"/>
      <c r="M5" s="1072"/>
    </row>
    <row r="6" spans="1:37" ht="18" customHeight="1">
      <c r="A6" s="1069" t="s">
        <v>398</v>
      </c>
      <c r="B6" s="3713" t="s">
        <v>694</v>
      </c>
      <c r="C6" s="1074">
        <f ca="1">ROUND(F6*F8*F7*(1-F9)/10000,0)</f>
        <v>144</v>
      </c>
      <c r="D6" s="155" t="s">
        <v>2109</v>
      </c>
      <c r="E6" s="302" t="s">
        <v>696</v>
      </c>
      <c r="F6" s="303">
        <f ca="1">INDIRECT("'数据-取费表'!u"&amp;$G$1)</f>
        <v>3.6</v>
      </c>
      <c r="G6" s="1383"/>
      <c r="H6" s="1069" t="s">
        <v>398</v>
      </c>
      <c r="I6" s="3713" t="s">
        <v>694</v>
      </c>
      <c r="J6" s="301">
        <f ca="1">ROUND(M6*M8*M7*(1-M9)/10000,0)</f>
        <v>0</v>
      </c>
      <c r="K6" s="155" t="s">
        <v>2108</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1216.8699999999999</v>
      </c>
      <c r="G7" s="1383"/>
      <c r="H7" s="304"/>
      <c r="I7" s="3714"/>
      <c r="J7" s="306"/>
      <c r="K7" s="307"/>
      <c r="L7" s="302" t="s">
        <v>697</v>
      </c>
      <c r="M7" s="303">
        <f ca="1">F7</f>
        <v>1216.8699999999999</v>
      </c>
    </row>
    <row r="8" spans="1:37" ht="18" customHeight="1">
      <c r="A8" s="304"/>
      <c r="B8" s="3714"/>
      <c r="C8" s="306"/>
      <c r="D8" s="307"/>
      <c r="E8" s="302" t="s">
        <v>698</v>
      </c>
      <c r="F8" s="303">
        <f ca="1">INDIRECT("'数据-取费表'!ai"&amp;$G$1)</f>
        <v>365</v>
      </c>
      <c r="G8" s="1383"/>
      <c r="H8" s="304"/>
      <c r="I8" s="3714"/>
      <c r="J8" s="306"/>
      <c r="K8" s="307"/>
      <c r="L8" s="302" t="s">
        <v>698</v>
      </c>
      <c r="M8" s="303">
        <f ca="1">INDIRECT("'数据-取费表'!ai"&amp;$G$1)</f>
        <v>365</v>
      </c>
    </row>
    <row r="9" spans="1:37" ht="18" customHeight="1">
      <c r="A9" s="304"/>
      <c r="B9" s="3715"/>
      <c r="C9" s="306"/>
      <c r="D9" s="307"/>
      <c r="E9" s="302" t="s">
        <v>699</v>
      </c>
      <c r="F9" s="312">
        <f ca="1">INDIRECT("'数据-取费表'!w"&amp;$G$1)</f>
        <v>0.1</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3406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489</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487</v>
      </c>
      <c r="D14" s="1344" t="s">
        <v>708</v>
      </c>
      <c r="E14" s="1341"/>
      <c r="F14" s="319"/>
      <c r="G14" s="1383"/>
      <c r="H14" s="982" t="s">
        <v>398</v>
      </c>
      <c r="I14" s="302" t="s">
        <v>709</v>
      </c>
      <c r="J14" s="21">
        <f ca="1">C29</f>
        <v>698</v>
      </c>
      <c r="K14" s="12"/>
      <c r="L14" s="807"/>
      <c r="M14" s="808"/>
    </row>
    <row r="15" spans="1:37" s="1396" customFormat="1" ht="18" customHeight="1" thickBot="1">
      <c r="A15" s="982" t="s">
        <v>399</v>
      </c>
      <c r="B15" s="302" t="s">
        <v>710</v>
      </c>
      <c r="C15" s="21">
        <f ca="1">ROUND(C14*F15,0)</f>
        <v>15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1088"/>
      <c r="M16" s="1072"/>
    </row>
    <row r="17" spans="1:37" s="1396" customFormat="1" ht="18" customHeight="1">
      <c r="A17" s="982" t="s">
        <v>681</v>
      </c>
      <c r="B17" s="302" t="s">
        <v>716</v>
      </c>
      <c r="C17" s="21">
        <f ca="1">ROUND(F17*(F43+INDIRECT("'数据-取费表'!S"&amp;$G$1))/10000,0)</f>
        <v>24</v>
      </c>
      <c r="D17" s="302" t="s">
        <v>717</v>
      </c>
      <c r="E17" s="302" t="s">
        <v>718</v>
      </c>
      <c r="F17" s="23">
        <f>'数据-取费表'!B35</f>
        <v>200</v>
      </c>
      <c r="G17" s="1395"/>
      <c r="H17" s="982" t="s">
        <v>398</v>
      </c>
      <c r="I17" s="302" t="s">
        <v>719</v>
      </c>
      <c r="J17" s="2315">
        <f ca="1">ROUND(IF(AND(项目基本情况!B11="自然人",项目基本情况!B10="北京市"),J6*M17/(1+'数据-取费表'!C42),J18+J19+J20),2)</f>
        <v>0.08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533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11</v>
      </c>
      <c r="D20" s="323" t="s">
        <v>729</v>
      </c>
      <c r="E20" s="302" t="s">
        <v>712</v>
      </c>
      <c r="F20" s="322">
        <f>'数据-取费表'!B37</f>
        <v>0.02</v>
      </c>
      <c r="G20" s="1395"/>
      <c r="H20" s="982" t="s">
        <v>680</v>
      </c>
      <c r="I20" s="155" t="s">
        <v>730</v>
      </c>
      <c r="J20" s="22">
        <f ca="1">ROUND(M20*M21/10000,2)</f>
        <v>0.08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527.48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6.98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-7</v>
      </c>
      <c r="K25" s="1095" t="s">
        <v>753</v>
      </c>
      <c r="L25" s="1096"/>
      <c r="M25" s="1097"/>
    </row>
    <row r="26" spans="1:37">
      <c r="A26" s="982" t="s">
        <v>397</v>
      </c>
      <c r="B26" s="302" t="s">
        <v>754</v>
      </c>
      <c r="C26" s="21">
        <f ca="1">ROUND((C19+C20)*F26,0)</f>
        <v>82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698</v>
      </c>
      <c r="D29" s="1092"/>
      <c r="E29" s="1090"/>
      <c r="F29" s="1093"/>
      <c r="G29" s="1395"/>
      <c r="H29" s="334" t="s">
        <v>396</v>
      </c>
      <c r="I29" s="335" t="s">
        <v>768</v>
      </c>
      <c r="J29" s="336">
        <f ca="1">ROUND(J26/(1+F40)^F41,0)</f>
        <v>0</v>
      </c>
      <c r="K29" s="337" t="s">
        <v>769</v>
      </c>
      <c r="L29" s="338"/>
      <c r="M29" s="339">
        <f ca="1">INDIRECT("'数据-取费表'!k"&amp;$G$1)</f>
        <v>1216.8699999999999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24.08</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7.54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16.46</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0.08</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527.48</v>
      </c>
      <c r="G35" s="1383"/>
      <c r="H35" s="2696"/>
      <c r="I35" s="1397"/>
      <c r="J35" s="1398"/>
      <c r="K35" s="2700"/>
      <c r="L35" s="2699"/>
      <c r="M35" s="2699"/>
    </row>
    <row r="36" spans="1:18" ht="18" customHeight="1">
      <c r="A36" s="1102" t="s">
        <v>402</v>
      </c>
      <c r="B36" s="302" t="s">
        <v>738</v>
      </c>
      <c r="C36" s="21">
        <f ca="1">ROUND(C29*F36,2)</f>
        <v>6.98</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0.49</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1.44</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111</v>
      </c>
      <c r="D39" s="1095" t="s">
        <v>773</v>
      </c>
      <c r="E39" s="1096"/>
      <c r="F39" s="1097"/>
      <c r="G39" s="1383"/>
      <c r="H39" s="2699"/>
      <c r="I39" s="1397"/>
      <c r="J39" s="1398"/>
      <c r="K39" s="2703"/>
      <c r="L39" s="2699"/>
      <c r="M39" s="2699"/>
    </row>
    <row r="40" spans="1:18" ht="18" customHeight="1">
      <c r="A40" s="299" t="s">
        <v>395</v>
      </c>
      <c r="B40" s="300" t="s">
        <v>774</v>
      </c>
      <c r="C40" s="301">
        <f ca="1">ROUND(C39*(1-((1+F42)/(1+F40))^F41)/(F40-F42),0)</f>
        <v>1931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25.58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15869</v>
      </c>
      <c r="D43" s="337" t="s">
        <v>777</v>
      </c>
      <c r="E43" s="338" t="s">
        <v>778</v>
      </c>
      <c r="F43" s="339">
        <f ca="1">INDIRECT("'数据-取费表'!k"&amp;$G$1)</f>
        <v>1216.8699999999999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-2026</v>
      </c>
      <c r="D46" s="1405" t="str">
        <f>C2</f>
        <v>万元</v>
      </c>
      <c r="E46" s="1399"/>
      <c r="F46" s="1399"/>
      <c r="I46" s="1406" t="s">
        <v>810</v>
      </c>
      <c r="J46" s="1407"/>
      <c r="K46" s="1408"/>
      <c r="L46" s="1409">
        <f ca="1">IF(M47="住宅",0,IF(L48&gt;J51,L60,J60))</f>
        <v>44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3407</v>
      </c>
      <c r="K47" s="1415" t="s">
        <v>816</v>
      </c>
      <c r="L47" s="1416">
        <f ca="1">INDIRECT("'数据-取费表'!d"&amp;$G$1)</f>
        <v>50</v>
      </c>
      <c r="M47" s="1379" t="str">
        <f>IF(ISNUMBER(FIND("住宅",C1)),"住宅","非住宅")</f>
        <v>非住宅</v>
      </c>
      <c r="O47" s="1417" t="s">
        <v>403</v>
      </c>
      <c r="P47" s="1418" t="s">
        <v>817</v>
      </c>
      <c r="Q47" s="1419">
        <f ca="1">C40+J29</f>
        <v>1931</v>
      </c>
      <c r="R47" s="1419" t="s">
        <v>818</v>
      </c>
    </row>
    <row r="48" spans="1:18" s="1383" customFormat="1" ht="28.5" thickBot="1">
      <c r="A48" s="1110" t="s">
        <v>438</v>
      </c>
      <c r="B48" s="300" t="s">
        <v>692</v>
      </c>
      <c r="C48" s="1358">
        <f ca="1">C49+C53+C55</f>
        <v>0</v>
      </c>
      <c r="D48" s="1112"/>
      <c r="E48" s="1113"/>
      <c r="F48" s="962"/>
      <c r="G48" s="722"/>
      <c r="H48" s="723"/>
      <c r="I48" s="1420" t="s">
        <v>819</v>
      </c>
      <c r="J48" s="1421" t="s">
        <v>3408</v>
      </c>
      <c r="K48" s="1422" t="s">
        <v>820</v>
      </c>
      <c r="L48" s="1423">
        <f ca="1">INDIRECT("'数据-取费表'!f"&amp;$G$1)</f>
        <v>25.58</v>
      </c>
      <c r="O48" s="1417" t="s">
        <v>404</v>
      </c>
      <c r="P48" s="1418" t="s">
        <v>821</v>
      </c>
      <c r="Q48" s="1419">
        <f ca="1">J60</f>
        <v>44</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2007</v>
      </c>
      <c r="K49" s="1422" t="s">
        <v>824</v>
      </c>
      <c r="L49" s="1426"/>
      <c r="O49" s="1427" t="s">
        <v>405</v>
      </c>
      <c r="P49" s="1418" t="s">
        <v>825</v>
      </c>
      <c r="Q49" s="1419">
        <f ca="1">C29</f>
        <v>698</v>
      </c>
      <c r="R49" s="1419" t="s">
        <v>818</v>
      </c>
    </row>
    <row r="50" spans="1:18" s="1383" customFormat="1" ht="13.5" thickBot="1">
      <c r="A50" s="976"/>
      <c r="B50" s="979"/>
      <c r="C50" s="1118"/>
      <c r="D50" s="953"/>
      <c r="E50" s="1056" t="s">
        <v>697</v>
      </c>
      <c r="F50" s="1057">
        <f ca="1">F7</f>
        <v>1216.8699999999999</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1243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25.58</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25.58</v>
      </c>
      <c r="K53" s="3711" t="s">
        <v>837</v>
      </c>
      <c r="L53" s="3712"/>
      <c r="O53" s="1417" t="s">
        <v>409</v>
      </c>
      <c r="P53" s="1418" t="s">
        <v>838</v>
      </c>
      <c r="Q53" s="1419">
        <f ca="1">Q47+Q48</f>
        <v>1975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0.185</v>
      </c>
      <c r="K55" s="1444" t="s">
        <v>841</v>
      </c>
      <c r="L55" s="1445"/>
      <c r="O55" s="1410" t="s">
        <v>811</v>
      </c>
      <c r="P55" s="1411" t="s">
        <v>812</v>
      </c>
      <c r="Q55" s="1412" t="s">
        <v>813</v>
      </c>
      <c r="R55" s="1412" t="s">
        <v>814</v>
      </c>
    </row>
    <row r="56" spans="1:18" s="1383" customFormat="1" ht="25.5" thickTop="1" thickBot="1">
      <c r="A56" s="957">
        <v>2</v>
      </c>
      <c r="B56" s="958" t="s">
        <v>704</v>
      </c>
      <c r="C56" s="232">
        <f ca="1">C13</f>
        <v>489</v>
      </c>
      <c r="D56" s="1446"/>
      <c r="E56" s="1447"/>
      <c r="F56" s="1439"/>
      <c r="I56" s="1448" t="s">
        <v>842</v>
      </c>
      <c r="J56" s="1449" t="s">
        <v>3409</v>
      </c>
      <c r="K56" s="1420" t="s">
        <v>843</v>
      </c>
      <c r="L56" s="1423" t="str">
        <f ca="1">IF(L48&lt;J51,"——",L48-J53)</f>
        <v>——</v>
      </c>
      <c r="O56" s="1417" t="s">
        <v>403</v>
      </c>
      <c r="P56" s="1418" t="s">
        <v>817</v>
      </c>
      <c r="Q56" s="1419">
        <f ca="1">C40+J29</f>
        <v>1931</v>
      </c>
      <c r="R56" s="1419" t="s">
        <v>818</v>
      </c>
    </row>
    <row r="57" spans="1:18" s="1383" customFormat="1" ht="24.75" thickBot="1">
      <c r="A57" s="1450"/>
      <c r="B57" s="950" t="s">
        <v>767</v>
      </c>
      <c r="C57" s="238">
        <f ca="1">C29</f>
        <v>698</v>
      </c>
      <c r="D57" s="1451"/>
      <c r="E57" s="1452"/>
      <c r="F57" s="1453"/>
      <c r="I57" s="1454" t="s">
        <v>844</v>
      </c>
      <c r="J57" s="1455">
        <f ca="1">IF(OR(M47="住宅",J51&lt;L48,J56="是"),"——",J51-L48)</f>
        <v>8.4200000000000017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1931</v>
      </c>
      <c r="R62" s="1419" t="s">
        <v>410</v>
      </c>
    </row>
    <row r="63" spans="1:18" s="1383" customFormat="1" ht="13.5" thickBot="1">
      <c r="A63" s="326"/>
      <c r="B63" s="956"/>
      <c r="C63" s="26"/>
      <c r="D63" s="966"/>
      <c r="E63" s="950" t="s">
        <v>788</v>
      </c>
      <c r="F63" s="303">
        <f t="shared" ca="1" si="0"/>
        <v>527.48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6.98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0.49</v>
      </c>
      <c r="D65" s="964" t="s">
        <v>743</v>
      </c>
      <c r="E65" s="950" t="s">
        <v>744</v>
      </c>
      <c r="F65" s="330">
        <f t="shared" ca="1" si="0"/>
        <v>1E-3</v>
      </c>
      <c r="I65" s="1461" t="s">
        <v>867</v>
      </c>
      <c r="J65" s="1462">
        <v>40</v>
      </c>
      <c r="K65" s="1462">
        <v>30</v>
      </c>
      <c r="L65" s="1462">
        <v>50</v>
      </c>
      <c r="M65" s="1464">
        <v>0.02</v>
      </c>
      <c r="O65" s="1417" t="s">
        <v>403</v>
      </c>
      <c r="P65" s="1418" t="s">
        <v>868</v>
      </c>
      <c r="Q65" s="1419">
        <f ca="1">C40+J29</f>
        <v>1931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v>
      </c>
      <c r="D67" s="963" t="s">
        <v>753</v>
      </c>
      <c r="E67" s="968"/>
      <c r="F67" s="969"/>
      <c r="O67" s="1427" t="s">
        <v>405</v>
      </c>
      <c r="P67" s="1418" t="s">
        <v>850</v>
      </c>
      <c r="Q67" s="1465">
        <f ca="1">L51</f>
        <v>1243</v>
      </c>
      <c r="R67" s="1419" t="s">
        <v>870</v>
      </c>
    </row>
    <row r="68" spans="1:18" s="1383" customFormat="1" ht="16.5" thickBot="1">
      <c r="A68" s="947" t="s">
        <v>395</v>
      </c>
      <c r="B68" s="948" t="s">
        <v>774</v>
      </c>
      <c r="C68" s="301">
        <f ca="1">ROUND(C67*(1-((1+F70)/(1+F68))^F69)/(F68-F70),0)</f>
        <v>-95</v>
      </c>
      <c r="D68" s="965" t="s">
        <v>758</v>
      </c>
      <c r="E68" s="950" t="s">
        <v>759</v>
      </c>
      <c r="F68" s="312">
        <f ca="1">F40</f>
        <v>5.5E-2</v>
      </c>
      <c r="O68" s="1427" t="s">
        <v>406</v>
      </c>
      <c r="P68" s="1466" t="s">
        <v>871</v>
      </c>
      <c r="Q68" s="1419">
        <f ca="1">ROUND(Q69-Q70*Q71,0)</f>
        <v>77</v>
      </c>
      <c r="R68" s="1419" t="s">
        <v>414</v>
      </c>
    </row>
    <row r="69" spans="1:18" s="1383" customFormat="1" ht="13.5" thickBot="1">
      <c r="A69" s="951"/>
      <c r="B69" s="952"/>
      <c r="C69" s="306"/>
      <c r="D69" s="970" t="s">
        <v>762</v>
      </c>
      <c r="E69" s="950" t="s">
        <v>763</v>
      </c>
      <c r="F69" s="333">
        <f ca="1">F41</f>
        <v>25.58</v>
      </c>
      <c r="O69" s="1427" t="s">
        <v>411</v>
      </c>
      <c r="P69" s="1466" t="s">
        <v>872</v>
      </c>
      <c r="Q69" s="1419">
        <f ca="1">C39</f>
        <v>111</v>
      </c>
      <c r="R69" s="1419" t="s">
        <v>818</v>
      </c>
    </row>
    <row r="70" spans="1:18" s="1383" customFormat="1" ht="13.5" thickBot="1">
      <c r="A70" s="954"/>
      <c r="B70" s="955"/>
      <c r="C70" s="310"/>
      <c r="D70" s="966"/>
      <c r="E70" s="950" t="s">
        <v>766</v>
      </c>
      <c r="F70" s="1054"/>
      <c r="O70" s="1427" t="s">
        <v>412</v>
      </c>
      <c r="P70" s="1466" t="s">
        <v>873</v>
      </c>
      <c r="Q70" s="1419">
        <f ca="1">C13</f>
        <v>489</v>
      </c>
      <c r="R70" s="1419" t="s">
        <v>818</v>
      </c>
    </row>
    <row r="71" spans="1:18" s="1383" customFormat="1" ht="13.5" thickBot="1">
      <c r="A71" s="971" t="s">
        <v>396</v>
      </c>
      <c r="B71" s="972" t="s">
        <v>776</v>
      </c>
      <c r="C71" s="336">
        <f ca="1">ROUND(C68*10000/F71,0)</f>
        <v>-781</v>
      </c>
      <c r="D71" s="973" t="s">
        <v>777</v>
      </c>
      <c r="E71" s="974" t="s">
        <v>778</v>
      </c>
      <c r="F71" s="339">
        <f ca="1">F43</f>
        <v>1216.8699999999999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v>
      </c>
      <c r="D75" s="1383"/>
      <c r="E75" s="1383"/>
      <c r="F75" s="1383"/>
      <c r="K75" s="1401"/>
      <c r="L75" s="1383"/>
      <c r="O75" s="1417" t="s">
        <v>409</v>
      </c>
      <c r="P75" s="1418" t="s">
        <v>838</v>
      </c>
      <c r="Q75" s="1419">
        <f ca="1">Q65+Q66</f>
        <v>1931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0.747</v>
      </c>
    </row>
    <row r="83" spans="2:3">
      <c r="B83" s="273" t="s">
        <v>803</v>
      </c>
      <c r="C83" s="274">
        <f ca="1">ROUND(C13/C40,3)</f>
        <v>0.253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3" t="s">
        <v>694</v>
      </c>
      <c r="C6" s="1074">
        <f ca="1">ROUND(F6*F8*F7*(1-F9),0)</f>
        <v>0</v>
      </c>
      <c r="D6" s="155" t="s">
        <v>2106</v>
      </c>
      <c r="E6" s="302" t="s">
        <v>696</v>
      </c>
      <c r="F6" s="303">
        <f ca="1">INDIRECT("'数据-取费表'!u"&amp;$G$1)</f>
        <v>0</v>
      </c>
      <c r="G6" s="1383"/>
      <c r="H6" s="1069" t="s">
        <v>398</v>
      </c>
      <c r="I6" s="3713" t="s">
        <v>694</v>
      </c>
      <c r="J6" s="301">
        <f ca="1">ROUND(M6*M8*M7*(1-M9),0)</f>
        <v>0</v>
      </c>
      <c r="K6" s="1375" t="s">
        <v>2107</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3"/>
      <c r="H7" s="304"/>
      <c r="I7" s="3714"/>
      <c r="J7" s="306"/>
      <c r="K7" s="307"/>
      <c r="L7" s="302" t="s">
        <v>697</v>
      </c>
      <c r="M7" s="303">
        <f ca="1">F7</f>
        <v>0</v>
      </c>
    </row>
    <row r="8" spans="1:37" ht="18" customHeight="1">
      <c r="A8" s="304"/>
      <c r="B8" s="3714"/>
      <c r="C8" s="306"/>
      <c r="D8" s="307"/>
      <c r="E8" s="302" t="s">
        <v>698</v>
      </c>
      <c r="F8" s="303">
        <f ca="1">INDIRECT("'数据-取费表'!ai"&amp;$G$1)</f>
        <v>0</v>
      </c>
      <c r="G8" s="1383"/>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#DIV/0!</v>
      </c>
      <c r="D45" s="3431"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1" t="s">
        <v>837</v>
      </c>
      <c r="L53" s="371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3364</v>
      </c>
      <c r="E2" s="3443"/>
      <c r="F2" s="2845"/>
      <c r="G2" s="2846"/>
      <c r="H2" s="2847"/>
      <c r="I2" s="2848"/>
      <c r="J2" s="3716" t="s">
        <v>2321</v>
      </c>
      <c r="K2" s="3717"/>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18" t="s">
        <v>2331</v>
      </c>
      <c r="K3" s="3719"/>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18" t="s">
        <v>2333</v>
      </c>
      <c r="K4" s="3719"/>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20" t="s">
        <v>2337</v>
      </c>
      <c r="B6" s="3721"/>
      <c r="C6" s="3722"/>
      <c r="D6" s="2869"/>
      <c r="E6" s="2870"/>
      <c r="F6" s="2871"/>
      <c r="G6" s="2872"/>
      <c r="H6" s="2847"/>
      <c r="I6" s="2848"/>
      <c r="J6" s="3723">
        <v>1</v>
      </c>
      <c r="K6" s="3724"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23"/>
      <c r="K7" s="3725"/>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27" t="s">
        <v>2351</v>
      </c>
      <c r="C8" s="3728"/>
      <c r="D8" s="2888" t="s">
        <v>2352</v>
      </c>
      <c r="E8" s="2889" t="s">
        <v>2353</v>
      </c>
      <c r="F8" s="2890" t="s">
        <v>2354</v>
      </c>
      <c r="G8" s="2891"/>
      <c r="H8" s="2847"/>
      <c r="I8" s="2848"/>
      <c r="J8" s="3723"/>
      <c r="K8" s="3725"/>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27" t="s">
        <v>2357</v>
      </c>
      <c r="C9" s="3728"/>
      <c r="D9" s="2888">
        <f>ROUND(D6*E9,0)</f>
        <v>0</v>
      </c>
      <c r="E9" s="2892"/>
      <c r="F9" s="2893" t="s">
        <v>2358</v>
      </c>
      <c r="G9" s="2872"/>
      <c r="H9" s="2847"/>
      <c r="I9" s="2848"/>
      <c r="J9" s="3723"/>
      <c r="K9" s="3725"/>
      <c r="L9" s="2882" t="s">
        <v>2359</v>
      </c>
      <c r="M9" s="2883"/>
      <c r="N9" s="2859"/>
      <c r="O9" s="2884"/>
      <c r="P9" s="2884"/>
      <c r="Q9" s="2885">
        <v>365</v>
      </c>
      <c r="R9" s="2886">
        <f t="shared" si="0"/>
        <v>0</v>
      </c>
      <c r="S9" s="2840"/>
      <c r="T9" s="2840"/>
      <c r="U9" s="2840"/>
      <c r="V9" s="2848"/>
    </row>
    <row r="10" spans="1:22" s="2852" customFormat="1" ht="13.15" customHeight="1">
      <c r="A10" s="2887">
        <v>2</v>
      </c>
      <c r="B10" s="3727" t="s">
        <v>2360</v>
      </c>
      <c r="C10" s="3728"/>
      <c r="D10" s="2888">
        <f>ROUND(D6*E10,0)</f>
        <v>0</v>
      </c>
      <c r="E10" s="2892"/>
      <c r="F10" s="2893" t="s">
        <v>2361</v>
      </c>
      <c r="G10" s="2872"/>
      <c r="H10" s="2847"/>
      <c r="I10" s="2848"/>
      <c r="J10" s="3723"/>
      <c r="K10" s="3725"/>
      <c r="L10" s="2882" t="s">
        <v>2362</v>
      </c>
      <c r="M10" s="2883"/>
      <c r="N10" s="2859"/>
      <c r="O10" s="2884"/>
      <c r="P10" s="2884"/>
      <c r="Q10" s="2885">
        <v>365</v>
      </c>
      <c r="R10" s="2886">
        <f t="shared" si="0"/>
        <v>0</v>
      </c>
      <c r="S10" s="2840"/>
      <c r="T10" s="2840"/>
      <c r="U10" s="2840"/>
      <c r="V10" s="2848"/>
    </row>
    <row r="11" spans="1:22" s="2852" customFormat="1" ht="13.15" customHeight="1">
      <c r="A11" s="2887">
        <v>3</v>
      </c>
      <c r="B11" s="3727" t="s">
        <v>2363</v>
      </c>
      <c r="C11" s="3728"/>
      <c r="D11" s="2888">
        <f>D12+D14+D15+D16</f>
        <v>0</v>
      </c>
      <c r="E11" s="2894" t="e">
        <f>D11/D6</f>
        <v>#DIV/0!</v>
      </c>
      <c r="F11" s="2890"/>
      <c r="G11" s="2891"/>
      <c r="H11" s="2847"/>
      <c r="I11" s="2848"/>
      <c r="J11" s="3723"/>
      <c r="K11" s="3725"/>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29" t="s">
        <v>2366</v>
      </c>
      <c r="C12" s="3730"/>
      <c r="D12" s="2896">
        <f>ROUND(D13*1.2%*(1-30%),0)</f>
        <v>0</v>
      </c>
      <c r="E12" s="2897">
        <v>1.2E-2</v>
      </c>
      <c r="F12" s="2890" t="s">
        <v>2367</v>
      </c>
      <c r="G12" s="2891"/>
      <c r="H12" s="2847"/>
      <c r="I12" s="2848"/>
      <c r="J12" s="3723"/>
      <c r="K12" s="3725"/>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23"/>
      <c r="K13" s="3725"/>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29" t="s">
        <v>2372</v>
      </c>
      <c r="C14" s="3730"/>
      <c r="D14" s="2896">
        <f>ROUND(E14*B5/10000,0)</f>
        <v>0</v>
      </c>
      <c r="E14" s="2885"/>
      <c r="F14" s="2890" t="s">
        <v>2373</v>
      </c>
      <c r="G14" s="2891"/>
      <c r="H14" s="2847"/>
      <c r="I14" s="2848"/>
      <c r="J14" s="3723"/>
      <c r="K14" s="3726"/>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29" t="s">
        <v>2376</v>
      </c>
      <c r="C15" s="3730"/>
      <c r="D15" s="2896">
        <f>ROUND(D6*E15,0)</f>
        <v>0</v>
      </c>
      <c r="E15" s="2897">
        <v>5.5E-2</v>
      </c>
      <c r="F15" s="2890" t="s">
        <v>2377</v>
      </c>
      <c r="G15" s="2872"/>
      <c r="H15" s="2847"/>
      <c r="I15" s="2848"/>
      <c r="J15" s="3723">
        <v>2</v>
      </c>
      <c r="K15" s="3724"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29" t="s">
        <v>2385</v>
      </c>
      <c r="C16" s="3730"/>
      <c r="D16" s="2907">
        <f>D6*E16</f>
        <v>0</v>
      </c>
      <c r="E16" s="2908"/>
      <c r="F16" s="2893" t="s">
        <v>2386</v>
      </c>
      <c r="G16" s="2872"/>
      <c r="H16" s="2847"/>
      <c r="I16" s="2848"/>
      <c r="J16" s="3723"/>
      <c r="K16" s="3725"/>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31" t="s">
        <v>2388</v>
      </c>
      <c r="C17" s="3732"/>
      <c r="D17" s="2910">
        <f>ROUND(D6*E17,0)</f>
        <v>0</v>
      </c>
      <c r="E17" s="2911"/>
      <c r="F17" s="2912" t="s">
        <v>2389</v>
      </c>
      <c r="G17" s="2872"/>
      <c r="H17" s="2847"/>
      <c r="I17" s="2848"/>
      <c r="J17" s="3723"/>
      <c r="K17" s="3725"/>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23"/>
      <c r="K18" s="3725"/>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23"/>
      <c r="K19" s="3726"/>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3">
        <v>3</v>
      </c>
      <c r="K20" s="3724"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23"/>
      <c r="K21" s="3725"/>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23"/>
      <c r="K22" s="3725"/>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23"/>
      <c r="K23" s="3725"/>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23"/>
      <c r="K24" s="3726"/>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3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16" t="s">
        <v>2321</v>
      </c>
      <c r="K32" s="3717"/>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18" t="s">
        <v>2331</v>
      </c>
      <c r="K33" s="3719"/>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18" t="s">
        <v>2333</v>
      </c>
      <c r="K34" s="371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23">
        <v>1</v>
      </c>
      <c r="K36" s="3724"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23"/>
      <c r="K37" s="3725"/>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3"/>
      <c r="K38" s="3725"/>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23"/>
      <c r="K39" s="3725"/>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23"/>
      <c r="K40" s="3726"/>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1975</v>
      </c>
      <c r="C2" s="1871" t="s">
        <v>1651</v>
      </c>
      <c r="D2" s="1872" t="s">
        <v>1652</v>
      </c>
      <c r="E2" s="2606">
        <f>SUM(E6:E13)</f>
        <v>1216.8699999999999</v>
      </c>
      <c r="F2" s="2706"/>
      <c r="G2" s="1488"/>
      <c r="H2" s="1488"/>
      <c r="I2" s="1488"/>
      <c r="J2" s="1488"/>
      <c r="K2" s="1488"/>
      <c r="L2" s="1488"/>
      <c r="M2" s="1488"/>
      <c r="N2" s="1488"/>
      <c r="O2" s="1488"/>
      <c r="P2" s="1488"/>
      <c r="Q2" s="1488"/>
      <c r="R2" s="1488"/>
      <c r="S2" s="1488"/>
    </row>
    <row r="3" spans="1:22" ht="15.75">
      <c r="A3" s="1869" t="s">
        <v>686</v>
      </c>
      <c r="B3" s="2600">
        <f ca="1">ROUND(B2*10000/E2,0)</f>
        <v>16230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1975</v>
      </c>
      <c r="C6" s="1871" t="s">
        <v>1651</v>
      </c>
      <c r="D6" s="2708"/>
      <c r="E6" s="2605">
        <f>IF(OR(A6=0,F6="否"),0,'数据-取费表'!K6+'数据-取费表'!S6)</f>
        <v>1216.8699999999999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1216.8699999999999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0" t="s">
        <v>1667</v>
      </c>
      <c r="D4" s="3681"/>
      <c r="E4" s="3682" t="s">
        <v>1668</v>
      </c>
      <c r="F4" s="3683"/>
      <c r="G4" s="3680" t="s">
        <v>1669</v>
      </c>
      <c r="H4" s="3681"/>
      <c r="I4" s="3680" t="s">
        <v>1670</v>
      </c>
      <c r="J4" s="3681"/>
      <c r="K4" s="1888" t="s">
        <v>1671</v>
      </c>
      <c r="L4" s="2714"/>
      <c r="M4" s="2715"/>
      <c r="N4" s="2715"/>
      <c r="O4" s="2715"/>
      <c r="P4" s="3741" t="s">
        <v>1672</v>
      </c>
      <c r="Q4" s="3742"/>
      <c r="R4" s="3738" t="s">
        <v>1668</v>
      </c>
      <c r="S4" s="3739"/>
      <c r="T4" s="3738" t="s">
        <v>1669</v>
      </c>
      <c r="U4" s="3739"/>
      <c r="V4" s="3693" t="s">
        <v>1670</v>
      </c>
      <c r="W4" s="3693"/>
      <c r="X4" s="1354"/>
      <c r="Y4" s="3738" t="s">
        <v>1672</v>
      </c>
      <c r="Z4" s="3739"/>
      <c r="AA4" s="3737" t="s">
        <v>1668</v>
      </c>
      <c r="AB4" s="3737" t="s">
        <v>1669</v>
      </c>
      <c r="AC4" s="3737" t="s">
        <v>1670</v>
      </c>
    </row>
    <row r="5" spans="1:29" ht="15">
      <c r="A5" s="358"/>
      <c r="B5" s="359"/>
      <c r="C5" s="3670" t="s">
        <v>1673</v>
      </c>
      <c r="D5" s="3671"/>
      <c r="E5" s="3740" t="s">
        <v>1674</v>
      </c>
      <c r="F5" s="3669"/>
      <c r="G5" s="3670" t="s">
        <v>1675</v>
      </c>
      <c r="H5" s="3671"/>
      <c r="I5" s="3670" t="s">
        <v>1676</v>
      </c>
      <c r="J5" s="3671"/>
      <c r="K5" s="1889"/>
      <c r="L5" s="2714"/>
      <c r="M5" s="2715"/>
      <c r="N5" s="2715"/>
      <c r="O5" s="2715"/>
      <c r="P5" s="3743"/>
      <c r="Q5" s="3687"/>
      <c r="R5" s="3666"/>
      <c r="S5" s="3667"/>
      <c r="T5" s="3666"/>
      <c r="U5" s="3667"/>
      <c r="V5" s="3693"/>
      <c r="W5" s="3693"/>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1889" t="s">
        <v>1678</v>
      </c>
      <c r="L6" s="2714"/>
      <c r="M6" s="2715"/>
      <c r="N6" s="2715"/>
      <c r="O6" s="2715"/>
      <c r="P6" s="3744"/>
      <c r="Q6" s="3689"/>
      <c r="R6" s="3666"/>
      <c r="S6" s="3667"/>
      <c r="T6" s="3690"/>
      <c r="U6" s="3691"/>
      <c r="V6" s="3693"/>
      <c r="W6" s="3693"/>
      <c r="X6" s="1354"/>
      <c r="Y6" s="3690"/>
      <c r="Z6" s="3691"/>
      <c r="AA6" s="3661"/>
      <c r="AB6" s="3661"/>
      <c r="AC6" s="3661"/>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2" t="s">
        <v>1680</v>
      </c>
      <c r="Q7" s="3696"/>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2"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6"/>
      <c r="Q12" s="1342">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6"/>
      <c r="Q13" s="1342">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6"/>
      <c r="Q14" s="1342">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7" t="s">
        <v>1691</v>
      </c>
      <c r="Q15" s="1351" t="str">
        <f t="shared" si="6"/>
        <v>居住社区成熟度</v>
      </c>
      <c r="R15" s="705" t="s">
        <v>18</v>
      </c>
      <c r="S15" s="706">
        <f t="shared" si="0"/>
        <v>100</v>
      </c>
      <c r="T15" s="705" t="s">
        <v>18</v>
      </c>
      <c r="U15" s="706">
        <f t="shared" si="1"/>
        <v>100</v>
      </c>
      <c r="V15" s="705" t="s">
        <v>18</v>
      </c>
      <c r="W15" s="706">
        <f t="shared" si="2"/>
        <v>100</v>
      </c>
      <c r="X15" s="1354"/>
      <c r="Y15" s="369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8"/>
      <c r="Q16" s="1351"/>
      <c r="R16" s="705"/>
      <c r="S16" s="706"/>
      <c r="T16" s="705"/>
      <c r="U16" s="706"/>
      <c r="V16" s="705"/>
      <c r="W16" s="706"/>
      <c r="X16" s="1354"/>
      <c r="Y16" s="370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8"/>
      <c r="Q17" s="1351" t="str">
        <f>B17</f>
        <v>交通便捷度</v>
      </c>
      <c r="R17" s="705" t="s">
        <v>18</v>
      </c>
      <c r="S17" s="706">
        <f>F17</f>
        <v>100</v>
      </c>
      <c r="T17" s="705" t="s">
        <v>18</v>
      </c>
      <c r="U17" s="706">
        <f>H17</f>
        <v>100</v>
      </c>
      <c r="V17" s="705" t="s">
        <v>18</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8"/>
      <c r="Q18" s="1351"/>
      <c r="R18" s="705"/>
      <c r="S18" s="706"/>
      <c r="T18" s="705"/>
      <c r="U18" s="706"/>
      <c r="V18" s="705"/>
      <c r="W18" s="706"/>
      <c r="X18" s="1354"/>
      <c r="Y18" s="370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8"/>
      <c r="Q19" s="1351" t="str">
        <f>B19</f>
        <v>公共配套设施</v>
      </c>
      <c r="R19" s="705" t="s">
        <v>18</v>
      </c>
      <c r="S19" s="706">
        <f>F19</f>
        <v>100</v>
      </c>
      <c r="T19" s="705" t="s">
        <v>18</v>
      </c>
      <c r="U19" s="706">
        <f>H19</f>
        <v>100</v>
      </c>
      <c r="V19" s="705" t="s">
        <v>18</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8"/>
      <c r="Q20" s="1351"/>
      <c r="R20" s="705"/>
      <c r="S20" s="706"/>
      <c r="T20" s="705"/>
      <c r="U20" s="706"/>
      <c r="V20" s="705"/>
      <c r="W20" s="706"/>
      <c r="X20" s="1354"/>
      <c r="Y20" s="370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8"/>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98"/>
      <c r="Q22" s="1351"/>
      <c r="R22" s="705"/>
      <c r="S22" s="706"/>
      <c r="T22" s="705"/>
      <c r="U22" s="706"/>
      <c r="V22" s="705"/>
      <c r="W22" s="706"/>
      <c r="X22" s="1354"/>
      <c r="Y22" s="370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8"/>
      <c r="Q23" s="1351" t="str">
        <f>B23</f>
        <v>自然及人文环境</v>
      </c>
      <c r="R23" s="705" t="s">
        <v>18</v>
      </c>
      <c r="S23" s="706">
        <f>F23</f>
        <v>100</v>
      </c>
      <c r="T23" s="705" t="s">
        <v>18</v>
      </c>
      <c r="U23" s="706">
        <f>H23</f>
        <v>100</v>
      </c>
      <c r="V23" s="705" t="s">
        <v>18</v>
      </c>
      <c r="W23" s="706">
        <f>J23</f>
        <v>100</v>
      </c>
      <c r="X23" s="1354"/>
      <c r="Y23" s="370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8"/>
      <c r="Q24" s="1351"/>
      <c r="R24" s="705"/>
      <c r="S24" s="706"/>
      <c r="T24" s="705"/>
      <c r="U24" s="706"/>
      <c r="V24" s="705"/>
      <c r="W24" s="706"/>
      <c r="X24" s="1354"/>
      <c r="Y24" s="370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8"/>
      <c r="Q26" s="1351" t="str">
        <f t="shared" si="11"/>
        <v>朝向</v>
      </c>
      <c r="R26" s="705" t="s">
        <v>18</v>
      </c>
      <c r="S26" s="706">
        <f t="shared" si="12"/>
        <v>100</v>
      </c>
      <c r="T26" s="705" t="s">
        <v>18</v>
      </c>
      <c r="U26" s="706">
        <f t="shared" si="13"/>
        <v>100</v>
      </c>
      <c r="V26" s="705" t="s">
        <v>18</v>
      </c>
      <c r="W26" s="706">
        <f t="shared" si="14"/>
        <v>100</v>
      </c>
      <c r="X26" s="1354"/>
      <c r="Y26" s="370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8"/>
      <c r="Q27" s="1342">
        <f t="shared" si="11"/>
        <v>111</v>
      </c>
      <c r="R27" s="701" t="s">
        <v>18</v>
      </c>
      <c r="S27" s="702">
        <f t="shared" si="12"/>
        <v>100</v>
      </c>
      <c r="T27" s="701" t="s">
        <v>18</v>
      </c>
      <c r="U27" s="702">
        <f t="shared" si="13"/>
        <v>100</v>
      </c>
      <c r="V27" s="701" t="s">
        <v>18</v>
      </c>
      <c r="W27" s="702">
        <f t="shared" si="14"/>
        <v>100</v>
      </c>
      <c r="X27" s="703"/>
      <c r="Y27" s="370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8"/>
      <c r="Q28" s="1351">
        <f t="shared" si="11"/>
        <v>111</v>
      </c>
      <c r="R28" s="705" t="s">
        <v>18</v>
      </c>
      <c r="S28" s="706">
        <f t="shared" si="12"/>
        <v>100</v>
      </c>
      <c r="T28" s="705" t="s">
        <v>18</v>
      </c>
      <c r="U28" s="706">
        <f t="shared" si="13"/>
        <v>100</v>
      </c>
      <c r="V28" s="705" t="s">
        <v>18</v>
      </c>
      <c r="W28" s="706">
        <f t="shared" si="14"/>
        <v>100</v>
      </c>
      <c r="X28" s="1354"/>
      <c r="Y28" s="370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8"/>
      <c r="Q29" s="1351">
        <f t="shared" si="11"/>
        <v>111</v>
      </c>
      <c r="R29" s="705" t="s">
        <v>18</v>
      </c>
      <c r="S29" s="706">
        <f t="shared" si="12"/>
        <v>100</v>
      </c>
      <c r="T29" s="705" t="s">
        <v>18</v>
      </c>
      <c r="U29" s="706">
        <f t="shared" si="13"/>
        <v>100</v>
      </c>
      <c r="V29" s="705" t="s">
        <v>18</v>
      </c>
      <c r="W29" s="706">
        <f t="shared" si="14"/>
        <v>100</v>
      </c>
      <c r="X29" s="1354"/>
      <c r="Y29" s="370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8"/>
      <c r="Q30" s="1351">
        <f t="shared" si="11"/>
        <v>111</v>
      </c>
      <c r="R30" s="705" t="s">
        <v>18</v>
      </c>
      <c r="S30" s="706">
        <f t="shared" si="12"/>
        <v>100</v>
      </c>
      <c r="T30" s="705" t="s">
        <v>18</v>
      </c>
      <c r="U30" s="706">
        <f t="shared" si="13"/>
        <v>100</v>
      </c>
      <c r="V30" s="705" t="s">
        <v>18</v>
      </c>
      <c r="W30" s="706">
        <f t="shared" si="14"/>
        <v>100</v>
      </c>
      <c r="X30" s="1354"/>
      <c r="Y30" s="370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8"/>
      <c r="Q31" s="1351">
        <f t="shared" si="11"/>
        <v>111</v>
      </c>
      <c r="R31" s="705" t="s">
        <v>18</v>
      </c>
      <c r="S31" s="706">
        <f t="shared" si="12"/>
        <v>100</v>
      </c>
      <c r="T31" s="705" t="s">
        <v>18</v>
      </c>
      <c r="U31" s="706">
        <f t="shared" si="13"/>
        <v>100</v>
      </c>
      <c r="V31" s="705" t="s">
        <v>18</v>
      </c>
      <c r="W31" s="706">
        <f t="shared" si="14"/>
        <v>100</v>
      </c>
      <c r="X31" s="1354"/>
      <c r="Y31" s="370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1" t="s">
        <v>1696</v>
      </c>
      <c r="Q32" s="1351" t="str">
        <f t="shared" si="11"/>
        <v>建筑类型</v>
      </c>
      <c r="R32" s="705" t="s">
        <v>18</v>
      </c>
      <c r="S32" s="706">
        <f t="shared" si="12"/>
        <v>100</v>
      </c>
      <c r="T32" s="705" t="s">
        <v>18</v>
      </c>
      <c r="U32" s="706">
        <f t="shared" si="13"/>
        <v>100</v>
      </c>
      <c r="V32" s="705" t="s">
        <v>18</v>
      </c>
      <c r="W32" s="706">
        <f t="shared" si="14"/>
        <v>100</v>
      </c>
      <c r="X32" s="1354"/>
      <c r="Y32" s="370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2"/>
      <c r="Q34" s="1351" t="str">
        <f t="shared" si="11"/>
        <v>建筑结构</v>
      </c>
      <c r="R34" s="705" t="s">
        <v>18</v>
      </c>
      <c r="S34" s="706">
        <f t="shared" si="12"/>
        <v>100</v>
      </c>
      <c r="T34" s="705" t="s">
        <v>18</v>
      </c>
      <c r="U34" s="706">
        <f t="shared" si="13"/>
        <v>100</v>
      </c>
      <c r="V34" s="705" t="s">
        <v>18</v>
      </c>
      <c r="W34" s="706">
        <f t="shared" si="14"/>
        <v>100</v>
      </c>
      <c r="X34" s="1354"/>
      <c r="Y34" s="370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2"/>
      <c r="Q35" s="1351" t="str">
        <f t="shared" si="11"/>
        <v>建筑品质</v>
      </c>
      <c r="R35" s="705" t="s">
        <v>18</v>
      </c>
      <c r="S35" s="706">
        <f t="shared" si="12"/>
        <v>100</v>
      </c>
      <c r="T35" s="705" t="s">
        <v>18</v>
      </c>
      <c r="U35" s="706">
        <f t="shared" si="13"/>
        <v>100</v>
      </c>
      <c r="V35" s="705" t="s">
        <v>18</v>
      </c>
      <c r="W35" s="706">
        <f t="shared" si="14"/>
        <v>100</v>
      </c>
      <c r="X35" s="1354"/>
      <c r="Y35" s="370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2"/>
      <c r="Q36" s="1351" t="str">
        <f t="shared" si="11"/>
        <v>公共部分装修</v>
      </c>
      <c r="R36" s="705" t="s">
        <v>18</v>
      </c>
      <c r="S36" s="706">
        <f t="shared" si="12"/>
        <v>100</v>
      </c>
      <c r="T36" s="705" t="s">
        <v>18</v>
      </c>
      <c r="U36" s="706">
        <f t="shared" si="13"/>
        <v>100</v>
      </c>
      <c r="V36" s="705" t="s">
        <v>18</v>
      </c>
      <c r="W36" s="706">
        <f t="shared" si="14"/>
        <v>100</v>
      </c>
      <c r="X36" s="1354"/>
      <c r="Y36" s="370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2"/>
      <c r="Q37" s="1342"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2" t="s">
        <v>1696</v>
      </c>
      <c r="Q38" s="1351" t="str">
        <f t="shared" si="11"/>
        <v>物业管理</v>
      </c>
      <c r="R38" s="705" t="s">
        <v>18</v>
      </c>
      <c r="S38" s="706">
        <f t="shared" si="12"/>
        <v>100</v>
      </c>
      <c r="T38" s="705" t="s">
        <v>18</v>
      </c>
      <c r="U38" s="706">
        <f t="shared" si="13"/>
        <v>100</v>
      </c>
      <c r="V38" s="705" t="s">
        <v>18</v>
      </c>
      <c r="W38" s="706">
        <f t="shared" si="14"/>
        <v>100</v>
      </c>
      <c r="X38" s="1354"/>
      <c r="Y38" s="370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2"/>
      <c r="Q39" s="1351" t="str">
        <f t="shared" si="11"/>
        <v>市政基础设施</v>
      </c>
      <c r="R39" s="705" t="s">
        <v>18</v>
      </c>
      <c r="S39" s="706">
        <f t="shared" si="12"/>
        <v>100</v>
      </c>
      <c r="T39" s="705" t="s">
        <v>18</v>
      </c>
      <c r="U39" s="706">
        <f t="shared" si="13"/>
        <v>100</v>
      </c>
      <c r="V39" s="705" t="s">
        <v>18</v>
      </c>
      <c r="W39" s="706">
        <f t="shared" si="14"/>
        <v>100</v>
      </c>
      <c r="X39" s="1354"/>
      <c r="Y39" s="370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2"/>
      <c r="Q40" s="1351" t="str">
        <f t="shared" si="11"/>
        <v>房型</v>
      </c>
      <c r="R40" s="705" t="s">
        <v>18</v>
      </c>
      <c r="S40" s="706">
        <f t="shared" si="12"/>
        <v>100</v>
      </c>
      <c r="T40" s="705" t="s">
        <v>18</v>
      </c>
      <c r="U40" s="706">
        <f t="shared" si="13"/>
        <v>100</v>
      </c>
      <c r="V40" s="705" t="s">
        <v>18</v>
      </c>
      <c r="W40" s="706">
        <f t="shared" si="14"/>
        <v>100</v>
      </c>
      <c r="X40" s="1354"/>
      <c r="Y40" s="370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2"/>
      <c r="Q42" s="1351" t="str">
        <f t="shared" si="11"/>
        <v>内部装修</v>
      </c>
      <c r="R42" s="705" t="s">
        <v>18</v>
      </c>
      <c r="S42" s="706">
        <f t="shared" si="12"/>
        <v>100</v>
      </c>
      <c r="T42" s="705" t="s">
        <v>18</v>
      </c>
      <c r="U42" s="706">
        <f t="shared" si="13"/>
        <v>100</v>
      </c>
      <c r="V42" s="705" t="s">
        <v>18</v>
      </c>
      <c r="W42" s="706">
        <f t="shared" si="14"/>
        <v>100</v>
      </c>
      <c r="X42" s="1354"/>
      <c r="Y42" s="370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2"/>
      <c r="Q43" s="1351" t="str">
        <f t="shared" si="11"/>
        <v>内部装修维护情况</v>
      </c>
      <c r="R43" s="705" t="s">
        <v>18</v>
      </c>
      <c r="S43" s="706">
        <f t="shared" si="12"/>
        <v>100</v>
      </c>
      <c r="T43" s="705" t="s">
        <v>18</v>
      </c>
      <c r="U43" s="706">
        <f t="shared" si="13"/>
        <v>100</v>
      </c>
      <c r="V43" s="705" t="s">
        <v>18</v>
      </c>
      <c r="W43" s="706">
        <f t="shared" si="14"/>
        <v>100</v>
      </c>
      <c r="X43" s="1354"/>
      <c r="Y43" s="370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2"/>
      <c r="Q44" s="1342">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2"/>
      <c r="Q45" s="1351">
        <f t="shared" si="11"/>
        <v>111</v>
      </c>
      <c r="R45" s="705" t="s">
        <v>18</v>
      </c>
      <c r="S45" s="706">
        <f t="shared" si="12"/>
        <v>100</v>
      </c>
      <c r="T45" s="705" t="s">
        <v>18</v>
      </c>
      <c r="U45" s="706">
        <f t="shared" si="13"/>
        <v>100</v>
      </c>
      <c r="V45" s="705" t="s">
        <v>18</v>
      </c>
      <c r="W45" s="706">
        <f t="shared" si="14"/>
        <v>100</v>
      </c>
      <c r="X45" s="1354"/>
      <c r="Y45" s="370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3"/>
      <c r="Q46" s="1351">
        <f t="shared" si="11"/>
        <v>111</v>
      </c>
      <c r="R46" s="705" t="s">
        <v>17</v>
      </c>
      <c r="S46" s="706">
        <f t="shared" si="12"/>
        <v>100</v>
      </c>
      <c r="T46" s="705" t="s">
        <v>17</v>
      </c>
      <c r="U46" s="706">
        <f t="shared" si="13"/>
        <v>100</v>
      </c>
      <c r="V46" s="705" t="s">
        <v>17</v>
      </c>
      <c r="W46" s="706">
        <f t="shared" si="14"/>
        <v>100</v>
      </c>
      <c r="X46" s="1354"/>
      <c r="Y46" s="3705"/>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1216.8699999999999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41" t="s">
        <v>1775</v>
      </c>
      <c r="Q4" s="3742"/>
      <c r="R4" s="3738" t="s">
        <v>1771</v>
      </c>
      <c r="S4" s="3739"/>
      <c r="T4" s="3738" t="s">
        <v>1772</v>
      </c>
      <c r="U4" s="3739"/>
      <c r="V4" s="3693" t="s">
        <v>1773</v>
      </c>
      <c r="W4" s="3693"/>
      <c r="X4" s="1354"/>
      <c r="Y4" s="3738" t="s">
        <v>1775</v>
      </c>
      <c r="Z4" s="3739"/>
      <c r="AA4" s="3737" t="s">
        <v>1771</v>
      </c>
      <c r="AB4" s="3693" t="s">
        <v>1772</v>
      </c>
      <c r="AC4" s="3737" t="s">
        <v>1773</v>
      </c>
    </row>
    <row r="5" spans="1:29" ht="15">
      <c r="A5" s="358"/>
      <c r="B5" s="359"/>
      <c r="C5" s="3670" t="s">
        <v>1673</v>
      </c>
      <c r="D5" s="3671"/>
      <c r="E5" s="3740" t="s">
        <v>1674</v>
      </c>
      <c r="F5" s="3669"/>
      <c r="G5" s="3670" t="s">
        <v>1675</v>
      </c>
      <c r="H5" s="3671"/>
      <c r="I5" s="3670" t="s">
        <v>1676</v>
      </c>
      <c r="J5" s="3671"/>
      <c r="K5" s="559"/>
      <c r="L5" s="2714"/>
      <c r="M5" s="2715"/>
      <c r="N5" s="2715"/>
      <c r="O5" s="2715"/>
      <c r="P5" s="3743"/>
      <c r="Q5" s="3687"/>
      <c r="R5" s="3666"/>
      <c r="S5" s="3667"/>
      <c r="T5" s="3666"/>
      <c r="U5" s="3667"/>
      <c r="V5" s="3693"/>
      <c r="W5" s="3693"/>
      <c r="X5" s="1354"/>
      <c r="Y5" s="3666"/>
      <c r="Z5" s="3667"/>
      <c r="AA5" s="3660"/>
      <c r="AB5" s="3693"/>
      <c r="AC5" s="3660"/>
    </row>
    <row r="6" spans="1:29" ht="15.75" thickBot="1">
      <c r="A6" s="360"/>
      <c r="B6" s="361"/>
      <c r="C6" s="3672" t="s">
        <v>1677</v>
      </c>
      <c r="D6" s="3673"/>
      <c r="E6" s="3674" t="s">
        <v>1677</v>
      </c>
      <c r="F6" s="3675"/>
      <c r="G6" s="3672" t="s">
        <v>1677</v>
      </c>
      <c r="H6" s="3673"/>
      <c r="I6" s="3672" t="s">
        <v>1677</v>
      </c>
      <c r="J6" s="3673"/>
      <c r="K6" s="559" t="s">
        <v>1678</v>
      </c>
      <c r="L6" s="2714"/>
      <c r="M6" s="2715"/>
      <c r="N6" s="2715"/>
      <c r="O6" s="2715"/>
      <c r="P6" s="3744"/>
      <c r="Q6" s="3689"/>
      <c r="R6" s="3666"/>
      <c r="S6" s="3667"/>
      <c r="T6" s="3690"/>
      <c r="U6" s="3691"/>
      <c r="V6" s="3693"/>
      <c r="W6" s="3693"/>
      <c r="X6" s="1354"/>
      <c r="Y6" s="3690"/>
      <c r="Z6" s="3691"/>
      <c r="AA6" s="3661"/>
      <c r="AB6" s="3693"/>
      <c r="AC6" s="3661"/>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2" t="s">
        <v>1680</v>
      </c>
      <c r="Q7" s="3696"/>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7" t="s">
        <v>1691</v>
      </c>
      <c r="Q15" s="1351" t="str">
        <f t="shared" si="6"/>
        <v>商业繁华度</v>
      </c>
      <c r="R15" s="705" t="s">
        <v>14</v>
      </c>
      <c r="S15" s="706">
        <f t="shared" si="0"/>
        <v>100</v>
      </c>
      <c r="T15" s="705" t="s">
        <v>14</v>
      </c>
      <c r="U15" s="706">
        <f t="shared" si="1"/>
        <v>100</v>
      </c>
      <c r="V15" s="705" t="s">
        <v>14</v>
      </c>
      <c r="W15" s="706">
        <f t="shared" si="2"/>
        <v>100</v>
      </c>
      <c r="X15" s="1354"/>
      <c r="Y15" s="369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8"/>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8"/>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8"/>
      <c r="Q18" s="1351"/>
      <c r="R18" s="705"/>
      <c r="S18" s="706"/>
      <c r="T18" s="705"/>
      <c r="U18" s="706"/>
      <c r="V18" s="705"/>
      <c r="W18" s="706"/>
      <c r="X18" s="1354"/>
      <c r="Y18" s="370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8"/>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8"/>
      <c r="Q20" s="1351"/>
      <c r="R20" s="705"/>
      <c r="S20" s="706"/>
      <c r="T20" s="705"/>
      <c r="U20" s="706"/>
      <c r="V20" s="705"/>
      <c r="W20" s="706"/>
      <c r="X20" s="1354"/>
      <c r="Y20" s="370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8"/>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98"/>
      <c r="Q22" s="1351"/>
      <c r="R22" s="705"/>
      <c r="S22" s="706"/>
      <c r="T22" s="705"/>
      <c r="U22" s="706"/>
      <c r="V22" s="705"/>
      <c r="W22" s="706"/>
      <c r="X22" s="1354"/>
      <c r="Y22" s="370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8"/>
      <c r="Q23" s="1351" t="str">
        <f>B23</f>
        <v>自然及人文环境</v>
      </c>
      <c r="R23" s="705" t="s">
        <v>14</v>
      </c>
      <c r="S23" s="706">
        <f>F23</f>
        <v>100</v>
      </c>
      <c r="T23" s="705" t="s">
        <v>14</v>
      </c>
      <c r="U23" s="706">
        <f>H23</f>
        <v>100</v>
      </c>
      <c r="V23" s="705" t="s">
        <v>14</v>
      </c>
      <c r="W23" s="706">
        <f>J23</f>
        <v>100</v>
      </c>
      <c r="X23" s="1354"/>
      <c r="Y23" s="370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8"/>
      <c r="Q24" s="1351"/>
      <c r="R24" s="705"/>
      <c r="S24" s="706"/>
      <c r="T24" s="705"/>
      <c r="U24" s="706"/>
      <c r="V24" s="705"/>
      <c r="W24" s="706"/>
      <c r="X24" s="1354"/>
      <c r="Y24" s="370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8"/>
      <c r="Q25" s="1351" t="str">
        <f t="shared" ref="Q25:Q46" si="11">B25</f>
        <v>临街状况</v>
      </c>
      <c r="R25" s="705" t="s">
        <v>14</v>
      </c>
      <c r="S25" s="706">
        <f>F25</f>
        <v>100</v>
      </c>
      <c r="T25" s="705" t="s">
        <v>14</v>
      </c>
      <c r="U25" s="706">
        <f>H25</f>
        <v>100</v>
      </c>
      <c r="V25" s="705" t="s">
        <v>14</v>
      </c>
      <c r="W25" s="706">
        <f>J25</f>
        <v>100</v>
      </c>
      <c r="X25" s="1354"/>
      <c r="Y25" s="370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8"/>
      <c r="Q26" s="1351" t="str">
        <f t="shared" si="11"/>
        <v>平面位置/可视性</v>
      </c>
      <c r="R26" s="705" t="s">
        <v>14</v>
      </c>
      <c r="S26" s="706">
        <f>F26</f>
        <v>100</v>
      </c>
      <c r="T26" s="705" t="s">
        <v>14</v>
      </c>
      <c r="U26" s="706">
        <f>H26</f>
        <v>100</v>
      </c>
      <c r="V26" s="705" t="s">
        <v>14</v>
      </c>
      <c r="W26" s="706">
        <f>J26</f>
        <v>100</v>
      </c>
      <c r="X26" s="1354"/>
      <c r="Y26" s="370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8"/>
      <c r="Q27" s="1342" t="str">
        <f t="shared" si="11"/>
        <v>人流量</v>
      </c>
      <c r="R27" s="701" t="s">
        <v>14</v>
      </c>
      <c r="S27" s="702">
        <f>F27</f>
        <v>100</v>
      </c>
      <c r="T27" s="701" t="s">
        <v>14</v>
      </c>
      <c r="U27" s="702">
        <f>H27</f>
        <v>100</v>
      </c>
      <c r="V27" s="701" t="s">
        <v>14</v>
      </c>
      <c r="W27" s="702">
        <f>J27</f>
        <v>100</v>
      </c>
      <c r="X27" s="703"/>
      <c r="Y27" s="370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8"/>
      <c r="Q29" s="1351">
        <f t="shared" si="11"/>
        <v>111</v>
      </c>
      <c r="R29" s="705" t="s">
        <v>14</v>
      </c>
      <c r="S29" s="706">
        <f t="shared" si="12"/>
        <v>100</v>
      </c>
      <c r="T29" s="705" t="s">
        <v>14</v>
      </c>
      <c r="U29" s="706">
        <f t="shared" si="13"/>
        <v>100</v>
      </c>
      <c r="V29" s="705" t="s">
        <v>14</v>
      </c>
      <c r="W29" s="706">
        <f t="shared" si="14"/>
        <v>100</v>
      </c>
      <c r="X29" s="1354"/>
      <c r="Y29" s="370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8"/>
      <c r="Q30" s="1351">
        <f t="shared" si="11"/>
        <v>111</v>
      </c>
      <c r="R30" s="705" t="s">
        <v>14</v>
      </c>
      <c r="S30" s="706">
        <f t="shared" si="12"/>
        <v>100</v>
      </c>
      <c r="T30" s="705" t="s">
        <v>14</v>
      </c>
      <c r="U30" s="706">
        <f t="shared" si="13"/>
        <v>100</v>
      </c>
      <c r="V30" s="705" t="s">
        <v>14</v>
      </c>
      <c r="W30" s="706">
        <f t="shared" si="14"/>
        <v>100</v>
      </c>
      <c r="X30" s="1354"/>
      <c r="Y30" s="370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8"/>
      <c r="Q31" s="1351">
        <f t="shared" si="11"/>
        <v>111</v>
      </c>
      <c r="R31" s="705" t="s">
        <v>14</v>
      </c>
      <c r="S31" s="706">
        <f t="shared" si="12"/>
        <v>100</v>
      </c>
      <c r="T31" s="705" t="s">
        <v>14</v>
      </c>
      <c r="U31" s="706">
        <f t="shared" si="13"/>
        <v>100</v>
      </c>
      <c r="V31" s="705" t="s">
        <v>14</v>
      </c>
      <c r="W31" s="706">
        <f t="shared" si="14"/>
        <v>100</v>
      </c>
      <c r="X31" s="1354"/>
      <c r="Y31" s="370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1" t="s">
        <v>1696</v>
      </c>
      <c r="Q32" s="1351" t="str">
        <f t="shared" si="11"/>
        <v>商业类型</v>
      </c>
      <c r="R32" s="705" t="s">
        <v>14</v>
      </c>
      <c r="S32" s="706">
        <f t="shared" si="12"/>
        <v>100</v>
      </c>
      <c r="T32" s="705" t="s">
        <v>14</v>
      </c>
      <c r="U32" s="706">
        <f t="shared" si="13"/>
        <v>100</v>
      </c>
      <c r="V32" s="705" t="s">
        <v>14</v>
      </c>
      <c r="W32" s="706">
        <f t="shared" si="14"/>
        <v>100</v>
      </c>
      <c r="X32" s="1354"/>
      <c r="Y32" s="370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2"/>
      <c r="Q34" s="1351" t="str">
        <f t="shared" si="11"/>
        <v>建筑结构</v>
      </c>
      <c r="R34" s="705" t="s">
        <v>14</v>
      </c>
      <c r="S34" s="706">
        <f t="shared" si="12"/>
        <v>100</v>
      </c>
      <c r="T34" s="705" t="s">
        <v>14</v>
      </c>
      <c r="U34" s="706">
        <f t="shared" si="13"/>
        <v>100</v>
      </c>
      <c r="V34" s="705" t="s">
        <v>14</v>
      </c>
      <c r="W34" s="706">
        <f t="shared" si="14"/>
        <v>100</v>
      </c>
      <c r="X34" s="1354"/>
      <c r="Y34" s="370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2"/>
      <c r="Q35" s="1351" t="str">
        <f t="shared" si="11"/>
        <v>公共部分装修</v>
      </c>
      <c r="R35" s="705" t="s">
        <v>14</v>
      </c>
      <c r="S35" s="706">
        <f t="shared" si="12"/>
        <v>100</v>
      </c>
      <c r="T35" s="705" t="s">
        <v>14</v>
      </c>
      <c r="U35" s="706">
        <f t="shared" si="13"/>
        <v>100</v>
      </c>
      <c r="V35" s="705" t="s">
        <v>14</v>
      </c>
      <c r="W35" s="706">
        <f t="shared" si="14"/>
        <v>100</v>
      </c>
      <c r="X35" s="1354"/>
      <c r="Y35" s="370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2"/>
      <c r="Q36" s="1351" t="str">
        <f t="shared" si="11"/>
        <v>成新度</v>
      </c>
      <c r="R36" s="705" t="s">
        <v>14</v>
      </c>
      <c r="S36" s="706" t="e">
        <f t="shared" si="12"/>
        <v>#N/A</v>
      </c>
      <c r="T36" s="705" t="s">
        <v>14</v>
      </c>
      <c r="U36" s="706" t="e">
        <f t="shared" si="13"/>
        <v>#N/A</v>
      </c>
      <c r="V36" s="705" t="s">
        <v>14</v>
      </c>
      <c r="W36" s="706" t="e">
        <f t="shared" si="14"/>
        <v>#N/A</v>
      </c>
      <c r="X36" s="1354"/>
      <c r="Y36" s="370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2"/>
      <c r="Q37" s="1342"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2" t="s">
        <v>1696</v>
      </c>
      <c r="Q38" s="1351" t="str">
        <f t="shared" si="11"/>
        <v>业态</v>
      </c>
      <c r="R38" s="705" t="s">
        <v>14</v>
      </c>
      <c r="S38" s="706">
        <f t="shared" si="12"/>
        <v>100</v>
      </c>
      <c r="T38" s="705" t="s">
        <v>14</v>
      </c>
      <c r="U38" s="706">
        <f t="shared" si="13"/>
        <v>100</v>
      </c>
      <c r="V38" s="705" t="s">
        <v>14</v>
      </c>
      <c r="W38" s="706">
        <f t="shared" si="14"/>
        <v>100</v>
      </c>
      <c r="X38" s="1354"/>
      <c r="Y38" s="370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2"/>
      <c r="Q39" s="1351" t="str">
        <f t="shared" si="11"/>
        <v>层高</v>
      </c>
      <c r="R39" s="705" t="s">
        <v>14</v>
      </c>
      <c r="S39" s="706">
        <f t="shared" si="12"/>
        <v>100</v>
      </c>
      <c r="T39" s="705" t="s">
        <v>14</v>
      </c>
      <c r="U39" s="706">
        <f t="shared" si="13"/>
        <v>100</v>
      </c>
      <c r="V39" s="705" t="s">
        <v>14</v>
      </c>
      <c r="W39" s="706">
        <f t="shared" si="14"/>
        <v>100</v>
      </c>
      <c r="X39" s="1354"/>
      <c r="Y39" s="370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2"/>
      <c r="Q40" s="1351" t="str">
        <f t="shared" si="11"/>
        <v>单套建筑面积</v>
      </c>
      <c r="R40" s="705" t="s">
        <v>14</v>
      </c>
      <c r="S40" s="706">
        <f t="shared" si="12"/>
        <v>100</v>
      </c>
      <c r="T40" s="705" t="s">
        <v>14</v>
      </c>
      <c r="U40" s="706">
        <f t="shared" si="13"/>
        <v>100</v>
      </c>
      <c r="V40" s="705" t="s">
        <v>14</v>
      </c>
      <c r="W40" s="706">
        <f t="shared" si="14"/>
        <v>100</v>
      </c>
      <c r="X40" s="1354"/>
      <c r="Y40" s="370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2"/>
      <c r="Q42" s="1351" t="str">
        <f t="shared" si="11"/>
        <v>内部装修</v>
      </c>
      <c r="R42" s="705" t="s">
        <v>14</v>
      </c>
      <c r="S42" s="706">
        <f t="shared" si="12"/>
        <v>100</v>
      </c>
      <c r="T42" s="705" t="s">
        <v>14</v>
      </c>
      <c r="U42" s="706">
        <f t="shared" si="13"/>
        <v>100</v>
      </c>
      <c r="V42" s="705" t="s">
        <v>14</v>
      </c>
      <c r="W42" s="706">
        <f t="shared" si="14"/>
        <v>100</v>
      </c>
      <c r="X42" s="1354"/>
      <c r="Y42" s="370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2"/>
      <c r="Q43" s="1351" t="str">
        <f t="shared" si="11"/>
        <v>内部装修维护情况</v>
      </c>
      <c r="R43" s="705" t="s">
        <v>14</v>
      </c>
      <c r="S43" s="706">
        <f t="shared" si="12"/>
        <v>100</v>
      </c>
      <c r="T43" s="705" t="s">
        <v>14</v>
      </c>
      <c r="U43" s="706">
        <f t="shared" si="13"/>
        <v>100</v>
      </c>
      <c r="V43" s="705" t="s">
        <v>14</v>
      </c>
      <c r="W43" s="706">
        <f t="shared" si="14"/>
        <v>100</v>
      </c>
      <c r="X43" s="1354"/>
      <c r="Y43" s="370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2"/>
      <c r="Q44" s="1342">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1">
        <f t="shared" si="11"/>
        <v>111</v>
      </c>
      <c r="R45" s="705" t="s">
        <v>14</v>
      </c>
      <c r="S45" s="706">
        <f t="shared" si="12"/>
        <v>100</v>
      </c>
      <c r="T45" s="705" t="s">
        <v>14</v>
      </c>
      <c r="U45" s="706">
        <f t="shared" si="13"/>
        <v>100</v>
      </c>
      <c r="V45" s="705" t="s">
        <v>14</v>
      </c>
      <c r="W45" s="706">
        <f t="shared" si="14"/>
        <v>100</v>
      </c>
      <c r="X45" s="1354"/>
      <c r="Y45" s="370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1">
        <f t="shared" si="11"/>
        <v>111</v>
      </c>
      <c r="R46" s="705" t="s">
        <v>14</v>
      </c>
      <c r="S46" s="706">
        <f t="shared" si="12"/>
        <v>100</v>
      </c>
      <c r="T46" s="705" t="s">
        <v>14</v>
      </c>
      <c r="U46" s="706">
        <f t="shared" si="13"/>
        <v>100</v>
      </c>
      <c r="V46" s="705" t="s">
        <v>14</v>
      </c>
      <c r="W46" s="706">
        <f t="shared" si="14"/>
        <v>100</v>
      </c>
      <c r="X46" s="1354"/>
      <c r="Y46" s="370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1216.8699999999999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41" t="s">
        <v>1775</v>
      </c>
      <c r="Q4" s="3742"/>
      <c r="R4" s="3738" t="s">
        <v>1771</v>
      </c>
      <c r="S4" s="3739"/>
      <c r="T4" s="3738" t="s">
        <v>1772</v>
      </c>
      <c r="U4" s="3739"/>
      <c r="V4" s="3693" t="s">
        <v>1773</v>
      </c>
      <c r="W4" s="3693"/>
      <c r="X4" s="1354"/>
      <c r="Y4" s="3738" t="s">
        <v>1775</v>
      </c>
      <c r="Z4" s="3739"/>
      <c r="AA4" s="3737" t="s">
        <v>1771</v>
      </c>
      <c r="AB4" s="3660" t="s">
        <v>1772</v>
      </c>
      <c r="AC4" s="3737" t="s">
        <v>1773</v>
      </c>
    </row>
    <row r="5" spans="1:29" ht="15">
      <c r="A5" s="358"/>
      <c r="B5" s="359"/>
      <c r="C5" s="3670" t="s">
        <v>1673</v>
      </c>
      <c r="D5" s="3671"/>
      <c r="E5" s="3740" t="s">
        <v>1674</v>
      </c>
      <c r="F5" s="3669"/>
      <c r="G5" s="3670" t="s">
        <v>1675</v>
      </c>
      <c r="H5" s="3671"/>
      <c r="I5" s="3670" t="s">
        <v>1676</v>
      </c>
      <c r="J5" s="3671"/>
      <c r="K5" s="559"/>
      <c r="L5" s="913"/>
      <c r="M5" s="914"/>
      <c r="N5" s="914"/>
      <c r="O5" s="914"/>
      <c r="P5" s="3743"/>
      <c r="Q5" s="3687"/>
      <c r="R5" s="3666"/>
      <c r="S5" s="3667"/>
      <c r="T5" s="3666"/>
      <c r="U5" s="3667"/>
      <c r="V5" s="3693"/>
      <c r="W5" s="3693"/>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744"/>
      <c r="Q6" s="3689"/>
      <c r="R6" s="3666"/>
      <c r="S6" s="3667"/>
      <c r="T6" s="3690"/>
      <c r="U6" s="3691"/>
      <c r="V6" s="3693"/>
      <c r="W6" s="3693"/>
      <c r="X6" s="1354"/>
      <c r="Y6" s="3690"/>
      <c r="Z6" s="3691"/>
      <c r="AA6" s="3661"/>
      <c r="AB6" s="3661"/>
      <c r="AC6" s="3661"/>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1680</v>
      </c>
      <c r="Q7" s="3696"/>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6"/>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0"/>
      <c r="Q16" s="1351"/>
      <c r="R16" s="705"/>
      <c r="S16" s="706"/>
      <c r="T16" s="705"/>
      <c r="U16" s="706"/>
      <c r="V16" s="705"/>
      <c r="W16" s="706"/>
      <c r="X16" s="1354"/>
      <c r="Y16" s="370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0"/>
      <c r="Q18" s="1351"/>
      <c r="R18" s="705"/>
      <c r="S18" s="706"/>
      <c r="T18" s="705"/>
      <c r="U18" s="706"/>
      <c r="V18" s="705"/>
      <c r="W18" s="706"/>
      <c r="X18" s="1354"/>
      <c r="Y18" s="370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1" t="str">
        <f>B19</f>
        <v>公共配套设施</v>
      </c>
      <c r="R19" s="705" t="s">
        <v>14</v>
      </c>
      <c r="S19" s="706">
        <f>F19</f>
        <v>100</v>
      </c>
      <c r="T19" s="705" t="s">
        <v>14</v>
      </c>
      <c r="U19" s="706">
        <f>H19</f>
        <v>100</v>
      </c>
      <c r="V19" s="705" t="s">
        <v>14</v>
      </c>
      <c r="W19" s="706">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0"/>
      <c r="Q20" s="1351"/>
      <c r="R20" s="705"/>
      <c r="S20" s="706"/>
      <c r="T20" s="705"/>
      <c r="U20" s="706"/>
      <c r="V20" s="705"/>
      <c r="W20" s="706"/>
      <c r="X20" s="1354"/>
      <c r="Y20" s="370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1" t="str">
        <f>B21</f>
        <v>基础设施水平</v>
      </c>
      <c r="R21" s="705" t="s">
        <v>14</v>
      </c>
      <c r="S21" s="706">
        <f>F21</f>
        <v>100</v>
      </c>
      <c r="T21" s="705" t="s">
        <v>14</v>
      </c>
      <c r="U21" s="706">
        <f>H21</f>
        <v>100</v>
      </c>
      <c r="V21" s="705" t="s">
        <v>14</v>
      </c>
      <c r="W21" s="706">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0"/>
      <c r="Q22" s="1351"/>
      <c r="R22" s="705"/>
      <c r="S22" s="706"/>
      <c r="T22" s="705"/>
      <c r="U22" s="706"/>
      <c r="V22" s="705"/>
      <c r="W22" s="706"/>
      <c r="X22" s="1354"/>
      <c r="Y22" s="370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1" t="str">
        <f>B23</f>
        <v>环境质量</v>
      </c>
      <c r="R23" s="705" t="s">
        <v>14</v>
      </c>
      <c r="S23" s="706">
        <f>F23</f>
        <v>100</v>
      </c>
      <c r="T23" s="705" t="s">
        <v>14</v>
      </c>
      <c r="U23" s="706">
        <f>H23</f>
        <v>100</v>
      </c>
      <c r="V23" s="705" t="s">
        <v>14</v>
      </c>
      <c r="W23" s="706">
        <f>J23</f>
        <v>100</v>
      </c>
      <c r="X23" s="1354"/>
      <c r="Y23" s="370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0"/>
      <c r="Q24" s="1351"/>
      <c r="R24" s="705"/>
      <c r="S24" s="706"/>
      <c r="T24" s="705"/>
      <c r="U24" s="706"/>
      <c r="V24" s="705"/>
      <c r="W24" s="706"/>
      <c r="X24" s="1354"/>
      <c r="Y24" s="370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1">
        <f>B25</f>
        <v>111</v>
      </c>
      <c r="R25" s="705" t="s">
        <v>14</v>
      </c>
      <c r="S25" s="706">
        <f>F25</f>
        <v>100</v>
      </c>
      <c r="T25" s="705" t="s">
        <v>14</v>
      </c>
      <c r="U25" s="706">
        <f>H25</f>
        <v>100</v>
      </c>
      <c r="V25" s="705" t="s">
        <v>14</v>
      </c>
      <c r="W25" s="706">
        <f>J25</f>
        <v>100</v>
      </c>
      <c r="X25" s="1354"/>
      <c r="Y25" s="370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1">
        <f t="shared" ref="Q26:Q40" si="11">B26</f>
        <v>111</v>
      </c>
      <c r="R26" s="705" t="s">
        <v>14</v>
      </c>
      <c r="S26" s="706">
        <f>F26</f>
        <v>100</v>
      </c>
      <c r="T26" s="705" t="s">
        <v>14</v>
      </c>
      <c r="U26" s="706">
        <f>H26</f>
        <v>100</v>
      </c>
      <c r="V26" s="705" t="s">
        <v>14</v>
      </c>
      <c r="W26" s="706">
        <f>J26</f>
        <v>100</v>
      </c>
      <c r="X26" s="1354"/>
      <c r="Y26" s="370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2">
        <f t="shared" si="11"/>
        <v>111</v>
      </c>
      <c r="R27" s="701" t="s">
        <v>14</v>
      </c>
      <c r="S27" s="702">
        <f>F27</f>
        <v>100</v>
      </c>
      <c r="T27" s="701" t="s">
        <v>14</v>
      </c>
      <c r="U27" s="702">
        <f>H27</f>
        <v>100</v>
      </c>
      <c r="V27" s="701" t="s">
        <v>14</v>
      </c>
      <c r="W27" s="702">
        <f>J27</f>
        <v>100</v>
      </c>
      <c r="X27" s="703"/>
      <c r="Y27" s="370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1">
        <f t="shared" si="11"/>
        <v>111</v>
      </c>
      <c r="R28" s="705" t="s">
        <v>14</v>
      </c>
      <c r="S28" s="706">
        <f t="shared" ref="S28:S40" si="12">F28</f>
        <v>100</v>
      </c>
      <c r="T28" s="705" t="s">
        <v>14</v>
      </c>
      <c r="U28" s="706">
        <f t="shared" ref="U28:U40" si="13">H28</f>
        <v>100</v>
      </c>
      <c r="V28" s="705" t="s">
        <v>14</v>
      </c>
      <c r="W28" s="706">
        <f t="shared" ref="W28:W40" si="14">J28</f>
        <v>100</v>
      </c>
      <c r="X28" s="1354"/>
      <c r="Y28" s="370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8" t="s">
        <v>1696</v>
      </c>
      <c r="Q29" s="1351" t="str">
        <f t="shared" si="11"/>
        <v>建筑类型</v>
      </c>
      <c r="R29" s="705" t="s">
        <v>14</v>
      </c>
      <c r="S29" s="706">
        <f t="shared" si="12"/>
        <v>100</v>
      </c>
      <c r="T29" s="705" t="s">
        <v>14</v>
      </c>
      <c r="U29" s="706">
        <f t="shared" si="13"/>
        <v>100</v>
      </c>
      <c r="V29" s="705" t="s">
        <v>14</v>
      </c>
      <c r="W29" s="706">
        <f t="shared" si="14"/>
        <v>100</v>
      </c>
      <c r="X29" s="1354"/>
      <c r="Y29" s="370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1" t="str">
        <f t="shared" si="11"/>
        <v>建筑结构</v>
      </c>
      <c r="R31" s="705" t="s">
        <v>14</v>
      </c>
      <c r="S31" s="706">
        <f t="shared" si="12"/>
        <v>100</v>
      </c>
      <c r="T31" s="705" t="s">
        <v>14</v>
      </c>
      <c r="U31" s="706">
        <f t="shared" si="13"/>
        <v>100</v>
      </c>
      <c r="V31" s="705" t="s">
        <v>14</v>
      </c>
      <c r="W31" s="706">
        <f t="shared" si="14"/>
        <v>100</v>
      </c>
      <c r="X31" s="1354"/>
      <c r="Y31" s="370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1" t="str">
        <f t="shared" si="11"/>
        <v>公共部分装修</v>
      </c>
      <c r="R32" s="705" t="s">
        <v>14</v>
      </c>
      <c r="S32" s="706">
        <f t="shared" si="12"/>
        <v>100</v>
      </c>
      <c r="T32" s="705" t="s">
        <v>14</v>
      </c>
      <c r="U32" s="706">
        <f t="shared" si="13"/>
        <v>100</v>
      </c>
      <c r="V32" s="705" t="s">
        <v>14</v>
      </c>
      <c r="W32" s="706">
        <f t="shared" si="14"/>
        <v>100</v>
      </c>
      <c r="X32" s="1354"/>
      <c r="Y32" s="370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1" t="str">
        <f t="shared" si="11"/>
        <v>成新度</v>
      </c>
      <c r="R33" s="705" t="s">
        <v>14</v>
      </c>
      <c r="S33" s="706" t="e">
        <f t="shared" si="12"/>
        <v>#N/A</v>
      </c>
      <c r="T33" s="705" t="s">
        <v>14</v>
      </c>
      <c r="U33" s="706" t="e">
        <f t="shared" si="13"/>
        <v>#N/A</v>
      </c>
      <c r="V33" s="705" t="s">
        <v>14</v>
      </c>
      <c r="W33" s="706" t="e">
        <f t="shared" si="14"/>
        <v>#N/A</v>
      </c>
      <c r="X33" s="1354"/>
      <c r="Y33" s="370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2"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1" t="str">
        <f t="shared" si="11"/>
        <v>市政基础设施</v>
      </c>
      <c r="R35" s="705" t="s">
        <v>14</v>
      </c>
      <c r="S35" s="706">
        <f t="shared" si="12"/>
        <v>100</v>
      </c>
      <c r="T35" s="705" t="s">
        <v>14</v>
      </c>
      <c r="U35" s="706">
        <f t="shared" si="13"/>
        <v>100</v>
      </c>
      <c r="V35" s="705" t="s">
        <v>14</v>
      </c>
      <c r="W35" s="706">
        <f t="shared" si="14"/>
        <v>100</v>
      </c>
      <c r="X35" s="1354"/>
      <c r="Y35" s="370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1" t="str">
        <f t="shared" si="11"/>
        <v>内部装修</v>
      </c>
      <c r="R36" s="705" t="s">
        <v>14</v>
      </c>
      <c r="S36" s="706">
        <f t="shared" si="12"/>
        <v>100</v>
      </c>
      <c r="T36" s="705" t="s">
        <v>14</v>
      </c>
      <c r="U36" s="706">
        <f t="shared" si="13"/>
        <v>100</v>
      </c>
      <c r="V36" s="705" t="s">
        <v>14</v>
      </c>
      <c r="W36" s="706">
        <f t="shared" si="14"/>
        <v>100</v>
      </c>
      <c r="X36" s="1354"/>
      <c r="Y36" s="370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1" t="str">
        <f t="shared" si="11"/>
        <v>内部装修状况</v>
      </c>
      <c r="R37" s="705" t="s">
        <v>14</v>
      </c>
      <c r="S37" s="706">
        <f t="shared" si="12"/>
        <v>100</v>
      </c>
      <c r="T37" s="705" t="s">
        <v>14</v>
      </c>
      <c r="U37" s="706">
        <f t="shared" si="13"/>
        <v>100</v>
      </c>
      <c r="V37" s="705" t="s">
        <v>14</v>
      </c>
      <c r="W37" s="706">
        <f t="shared" si="14"/>
        <v>100</v>
      </c>
      <c r="X37" s="1354"/>
      <c r="Y37" s="370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1">
        <f t="shared" si="11"/>
        <v>111</v>
      </c>
      <c r="R39" s="705" t="s">
        <v>14</v>
      </c>
      <c r="S39" s="706">
        <f t="shared" si="12"/>
        <v>100</v>
      </c>
      <c r="T39" s="705" t="s">
        <v>14</v>
      </c>
      <c r="U39" s="706">
        <f t="shared" si="13"/>
        <v>100</v>
      </c>
      <c r="V39" s="705" t="s">
        <v>14</v>
      </c>
      <c r="W39" s="706">
        <f t="shared" si="14"/>
        <v>100</v>
      </c>
      <c r="X39" s="1354"/>
      <c r="Y39" s="370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1">
        <f t="shared" si="11"/>
        <v>111</v>
      </c>
      <c r="R40" s="705" t="s">
        <v>14</v>
      </c>
      <c r="S40" s="706">
        <f t="shared" si="12"/>
        <v>100</v>
      </c>
      <c r="T40" s="705" t="s">
        <v>14</v>
      </c>
      <c r="U40" s="706">
        <f t="shared" si="13"/>
        <v>100</v>
      </c>
      <c r="V40" s="705" t="s">
        <v>14</v>
      </c>
      <c r="W40" s="706">
        <f t="shared" si="14"/>
        <v>100</v>
      </c>
      <c r="X40" s="1354"/>
      <c r="Y40" s="370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41" t="s">
        <v>1775</v>
      </c>
      <c r="Q4" s="3742"/>
      <c r="R4" s="3738" t="s">
        <v>1771</v>
      </c>
      <c r="S4" s="3739"/>
      <c r="T4" s="3738" t="s">
        <v>1772</v>
      </c>
      <c r="U4" s="3739"/>
      <c r="V4" s="3693" t="s">
        <v>1773</v>
      </c>
      <c r="W4" s="3693"/>
      <c r="X4" s="1354"/>
      <c r="Y4" s="3738" t="s">
        <v>1775</v>
      </c>
      <c r="Z4" s="3739"/>
      <c r="AA4" s="3737" t="s">
        <v>1771</v>
      </c>
      <c r="AB4" s="3660" t="s">
        <v>1772</v>
      </c>
      <c r="AC4" s="3737" t="s">
        <v>1773</v>
      </c>
    </row>
    <row r="5" spans="1:29" ht="15">
      <c r="A5" s="358"/>
      <c r="B5" s="359"/>
      <c r="C5" s="3670" t="s">
        <v>1673</v>
      </c>
      <c r="D5" s="3671"/>
      <c r="E5" s="3740" t="s">
        <v>1674</v>
      </c>
      <c r="F5" s="3669"/>
      <c r="G5" s="3670" t="s">
        <v>1675</v>
      </c>
      <c r="H5" s="3671"/>
      <c r="I5" s="3670" t="s">
        <v>1676</v>
      </c>
      <c r="J5" s="3671"/>
      <c r="K5" s="559"/>
      <c r="L5" s="2714"/>
      <c r="M5" s="2715"/>
      <c r="N5" s="2715"/>
      <c r="O5" s="2715"/>
      <c r="P5" s="3743"/>
      <c r="Q5" s="3687"/>
      <c r="R5" s="3666"/>
      <c r="S5" s="3667"/>
      <c r="T5" s="3666"/>
      <c r="U5" s="3667"/>
      <c r="V5" s="3693"/>
      <c r="W5" s="3693"/>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4"/>
      <c r="M6" s="2715"/>
      <c r="N6" s="2715"/>
      <c r="O6" s="2715"/>
      <c r="P6" s="3744"/>
      <c r="Q6" s="3689"/>
      <c r="R6" s="3666"/>
      <c r="S6" s="3667"/>
      <c r="T6" s="3690"/>
      <c r="U6" s="3691"/>
      <c r="V6" s="3693"/>
      <c r="W6" s="3693"/>
      <c r="X6" s="1354"/>
      <c r="Y6" s="3690"/>
      <c r="Z6" s="3691"/>
      <c r="AA6" s="3661"/>
      <c r="AB6" s="3661"/>
      <c r="AC6" s="3661"/>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2" t="s">
        <v>1680</v>
      </c>
      <c r="Q7" s="3696"/>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0"/>
      <c r="Q15" s="1351"/>
      <c r="R15" s="705"/>
      <c r="S15" s="706"/>
      <c r="T15" s="705"/>
      <c r="U15" s="706"/>
      <c r="V15" s="705"/>
      <c r="W15" s="706"/>
      <c r="X15" s="1354"/>
      <c r="Y15" s="370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0"/>
      <c r="Q17" s="1351"/>
      <c r="R17" s="705"/>
      <c r="S17" s="706"/>
      <c r="T17" s="705"/>
      <c r="U17" s="706"/>
      <c r="V17" s="705"/>
      <c r="W17" s="706"/>
      <c r="X17" s="1354"/>
      <c r="Y17" s="370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0"/>
      <c r="Q19" s="1351"/>
      <c r="R19" s="705"/>
      <c r="S19" s="706"/>
      <c r="T19" s="705"/>
      <c r="U19" s="706"/>
      <c r="V19" s="705"/>
      <c r="W19" s="706"/>
      <c r="X19" s="1354"/>
      <c r="Y19" s="370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0"/>
      <c r="Q21" s="1351"/>
      <c r="R21" s="705"/>
      <c r="S21" s="706"/>
      <c r="T21" s="705"/>
      <c r="U21" s="706"/>
      <c r="V21" s="705"/>
      <c r="W21" s="706"/>
      <c r="X21" s="1354"/>
      <c r="Y21" s="370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1">
        <f t="shared" ref="Q24:Q36"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4"/>
      <c r="Q28" s="1351" t="str">
        <f t="shared" si="11"/>
        <v>公共部分装修</v>
      </c>
      <c r="R28" s="705" t="s">
        <v>14</v>
      </c>
      <c r="S28" s="706">
        <f t="shared" si="12"/>
        <v>100</v>
      </c>
      <c r="T28" s="705" t="s">
        <v>14</v>
      </c>
      <c r="U28" s="706">
        <f t="shared" si="13"/>
        <v>100</v>
      </c>
      <c r="V28" s="705" t="s">
        <v>14</v>
      </c>
      <c r="W28" s="706">
        <f t="shared" si="14"/>
        <v>100</v>
      </c>
      <c r="X28" s="1354"/>
      <c r="Y28" s="370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4"/>
      <c r="Q29" s="1351" t="str">
        <f t="shared" si="11"/>
        <v>成新率</v>
      </c>
      <c r="R29" s="705" t="s">
        <v>14</v>
      </c>
      <c r="S29" s="706" t="e">
        <f t="shared" si="12"/>
        <v>#N/A</v>
      </c>
      <c r="T29" s="705" t="s">
        <v>14</v>
      </c>
      <c r="U29" s="706" t="e">
        <f t="shared" si="13"/>
        <v>#N/A</v>
      </c>
      <c r="V29" s="705" t="s">
        <v>14</v>
      </c>
      <c r="W29" s="706" t="e">
        <f t="shared" si="14"/>
        <v>#N/A</v>
      </c>
      <c r="X29" s="1354"/>
      <c r="Y29" s="370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4"/>
      <c r="Q30" s="1351" t="str">
        <f t="shared" si="11"/>
        <v>物业等级</v>
      </c>
      <c r="R30" s="705" t="s">
        <v>14</v>
      </c>
      <c r="S30" s="706">
        <f t="shared" si="12"/>
        <v>100</v>
      </c>
      <c r="T30" s="705" t="s">
        <v>14</v>
      </c>
      <c r="U30" s="706">
        <f t="shared" si="13"/>
        <v>100</v>
      </c>
      <c r="V30" s="705" t="s">
        <v>14</v>
      </c>
      <c r="W30" s="706">
        <f t="shared" si="14"/>
        <v>100</v>
      </c>
      <c r="X30" s="1354"/>
      <c r="Y30" s="370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4"/>
      <c r="Q31" s="1342"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1" t="str">
        <f t="shared" si="11"/>
        <v>车位类型</v>
      </c>
      <c r="R32" s="705" t="s">
        <v>14</v>
      </c>
      <c r="S32" s="706">
        <f t="shared" si="12"/>
        <v>100</v>
      </c>
      <c r="T32" s="705" t="s">
        <v>14</v>
      </c>
      <c r="U32" s="706">
        <f t="shared" si="13"/>
        <v>100</v>
      </c>
      <c r="V32" s="705" t="s">
        <v>14</v>
      </c>
      <c r="W32" s="706">
        <f t="shared" si="14"/>
        <v>100</v>
      </c>
      <c r="X32" s="1354"/>
      <c r="Y32" s="370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1" t="str">
        <f t="shared" si="11"/>
        <v>是否直接入户</v>
      </c>
      <c r="R33" s="705" t="s">
        <v>14</v>
      </c>
      <c r="S33" s="706">
        <f t="shared" si="12"/>
        <v>100</v>
      </c>
      <c r="T33" s="705" t="s">
        <v>14</v>
      </c>
      <c r="U33" s="706">
        <f t="shared" si="13"/>
        <v>100</v>
      </c>
      <c r="V33" s="705" t="s">
        <v>14</v>
      </c>
      <c r="W33" s="706">
        <f t="shared" si="14"/>
        <v>100</v>
      </c>
      <c r="X33" s="1354"/>
      <c r="Y33" s="370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1">
        <f t="shared" si="11"/>
        <v>111</v>
      </c>
      <c r="R34" s="705" t="s">
        <v>14</v>
      </c>
      <c r="S34" s="706">
        <f t="shared" si="12"/>
        <v>100</v>
      </c>
      <c r="T34" s="705" t="s">
        <v>14</v>
      </c>
      <c r="U34" s="706">
        <f t="shared" si="13"/>
        <v>100</v>
      </c>
      <c r="V34" s="705" t="s">
        <v>14</v>
      </c>
      <c r="W34" s="706">
        <f t="shared" si="14"/>
        <v>100</v>
      </c>
      <c r="X34" s="1354"/>
      <c r="Y34" s="370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1">
        <f t="shared" si="11"/>
        <v>111</v>
      </c>
      <c r="R36" s="705" t="s">
        <v>14</v>
      </c>
      <c r="S36" s="706">
        <f t="shared" si="12"/>
        <v>100</v>
      </c>
      <c r="T36" s="705" t="s">
        <v>14</v>
      </c>
      <c r="U36" s="706">
        <f t="shared" si="13"/>
        <v>100</v>
      </c>
      <c r="V36" s="705" t="s">
        <v>14</v>
      </c>
      <c r="W36" s="706">
        <f t="shared" si="14"/>
        <v>100</v>
      </c>
      <c r="X36" s="1354"/>
      <c r="Y36" s="3704"/>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5" t="str">
        <f>A39</f>
        <v>估价对象XX用房的比较价值（楼面单价，元/平方米）</v>
      </c>
      <c r="Q39" s="3746"/>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41" t="s">
        <v>1775</v>
      </c>
      <c r="Q4" s="3742"/>
      <c r="R4" s="3738" t="s">
        <v>1771</v>
      </c>
      <c r="S4" s="3739"/>
      <c r="T4" s="3738" t="s">
        <v>1772</v>
      </c>
      <c r="U4" s="3739"/>
      <c r="V4" s="3693" t="s">
        <v>1773</v>
      </c>
      <c r="W4" s="3693"/>
      <c r="X4" s="1354"/>
      <c r="Y4" s="3738" t="s">
        <v>1775</v>
      </c>
      <c r="Z4" s="3739"/>
      <c r="AA4" s="3737" t="s">
        <v>1771</v>
      </c>
      <c r="AB4" s="3660" t="s">
        <v>1772</v>
      </c>
      <c r="AC4" s="3737" t="s">
        <v>1773</v>
      </c>
    </row>
    <row r="5" spans="1:29" ht="15">
      <c r="A5" s="358"/>
      <c r="B5" s="359"/>
      <c r="C5" s="3670" t="s">
        <v>1673</v>
      </c>
      <c r="D5" s="3671"/>
      <c r="E5" s="3740" t="s">
        <v>1674</v>
      </c>
      <c r="F5" s="3669"/>
      <c r="G5" s="3670" t="s">
        <v>1675</v>
      </c>
      <c r="H5" s="3671"/>
      <c r="I5" s="3670" t="s">
        <v>1676</v>
      </c>
      <c r="J5" s="3671"/>
      <c r="K5" s="559"/>
      <c r="L5" s="2714"/>
      <c r="M5" s="2715"/>
      <c r="N5" s="2715"/>
      <c r="O5" s="2715"/>
      <c r="P5" s="3743"/>
      <c r="Q5" s="3687"/>
      <c r="R5" s="3666"/>
      <c r="S5" s="3667"/>
      <c r="T5" s="3666"/>
      <c r="U5" s="3667"/>
      <c r="V5" s="3693"/>
      <c r="W5" s="3693"/>
      <c r="X5" s="1354"/>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4"/>
      <c r="M6" s="2715"/>
      <c r="N6" s="2715"/>
      <c r="O6" s="2715"/>
      <c r="P6" s="3744"/>
      <c r="Q6" s="3689"/>
      <c r="R6" s="3666"/>
      <c r="S6" s="3667"/>
      <c r="T6" s="3690"/>
      <c r="U6" s="3691"/>
      <c r="V6" s="3693"/>
      <c r="W6" s="3693"/>
      <c r="X6" s="1354"/>
      <c r="Y6" s="3690"/>
      <c r="Z6" s="3691"/>
      <c r="AA6" s="3661"/>
      <c r="AB6" s="3661"/>
      <c r="AC6" s="3661"/>
    </row>
    <row r="7" spans="1:29" s="108" customFormat="1" ht="15.75" thickBot="1">
      <c r="A7" s="362" t="s">
        <v>1679</v>
      </c>
      <c r="B7" s="363"/>
      <c r="C7" s="364">
        <f>'数据-取费表'!B2</f>
        <v>45124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2" t="s">
        <v>1680</v>
      </c>
      <c r="Q7" s="3696"/>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1" t="str">
        <f t="shared" si="6"/>
        <v>交通便捷度</v>
      </c>
      <c r="R14" s="705" t="s">
        <v>14</v>
      </c>
      <c r="S14" s="706">
        <f t="shared" si="0"/>
        <v>100</v>
      </c>
      <c r="T14" s="705" t="s">
        <v>14</v>
      </c>
      <c r="U14" s="706">
        <f t="shared" si="1"/>
        <v>100</v>
      </c>
      <c r="V14" s="705" t="s">
        <v>14</v>
      </c>
      <c r="W14" s="706">
        <f t="shared" si="2"/>
        <v>100</v>
      </c>
      <c r="X14" s="1354"/>
      <c r="Y14" s="369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0"/>
      <c r="Q15" s="1351"/>
      <c r="R15" s="705"/>
      <c r="S15" s="706"/>
      <c r="T15" s="705"/>
      <c r="U15" s="706"/>
      <c r="V15" s="705"/>
      <c r="W15" s="706"/>
      <c r="X15" s="1354"/>
      <c r="Y15" s="370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1" t="str">
        <f>B16</f>
        <v>公共配套设施</v>
      </c>
      <c r="R16" s="705" t="s">
        <v>14</v>
      </c>
      <c r="S16" s="706">
        <f>F16</f>
        <v>100</v>
      </c>
      <c r="T16" s="705" t="s">
        <v>14</v>
      </c>
      <c r="U16" s="706">
        <f>H16</f>
        <v>100</v>
      </c>
      <c r="V16" s="705" t="s">
        <v>14</v>
      </c>
      <c r="W16" s="706">
        <f>J16</f>
        <v>100</v>
      </c>
      <c r="X16" s="1354"/>
      <c r="Y16" s="370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0"/>
      <c r="Q17" s="1351"/>
      <c r="R17" s="705"/>
      <c r="S17" s="706"/>
      <c r="T17" s="705"/>
      <c r="U17" s="706"/>
      <c r="V17" s="705"/>
      <c r="W17" s="706"/>
      <c r="X17" s="1354"/>
      <c r="Y17" s="370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1" t="str">
        <f>B18</f>
        <v>基础设施水平</v>
      </c>
      <c r="R18" s="705" t="s">
        <v>14</v>
      </c>
      <c r="S18" s="706">
        <f>F18</f>
        <v>100</v>
      </c>
      <c r="T18" s="705" t="s">
        <v>14</v>
      </c>
      <c r="U18" s="706">
        <f>H18</f>
        <v>100</v>
      </c>
      <c r="V18" s="705" t="s">
        <v>14</v>
      </c>
      <c r="W18" s="706">
        <f>J18</f>
        <v>100</v>
      </c>
      <c r="X18" s="1354"/>
      <c r="Y18" s="370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0"/>
      <c r="Q19" s="1351"/>
      <c r="R19" s="705"/>
      <c r="S19" s="706"/>
      <c r="T19" s="705"/>
      <c r="U19" s="706"/>
      <c r="V19" s="705"/>
      <c r="W19" s="706"/>
      <c r="X19" s="1354"/>
      <c r="Y19" s="370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1" t="str">
        <f>B20</f>
        <v>自然及人文环境</v>
      </c>
      <c r="R20" s="705" t="s">
        <v>14</v>
      </c>
      <c r="S20" s="706">
        <f>F20</f>
        <v>100</v>
      </c>
      <c r="T20" s="705" t="s">
        <v>14</v>
      </c>
      <c r="U20" s="706">
        <f>H20</f>
        <v>100</v>
      </c>
      <c r="V20" s="705" t="s">
        <v>14</v>
      </c>
      <c r="W20" s="706">
        <f>J20</f>
        <v>100</v>
      </c>
      <c r="X20" s="1354"/>
      <c r="Y20" s="370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0"/>
      <c r="Q21" s="1351"/>
      <c r="R21" s="705"/>
      <c r="S21" s="706"/>
      <c r="T21" s="705"/>
      <c r="U21" s="706"/>
      <c r="V21" s="705"/>
      <c r="W21" s="706"/>
      <c r="X21" s="1354"/>
      <c r="Y21" s="370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1" t="str">
        <f>B22</f>
        <v>楼层</v>
      </c>
      <c r="R22" s="705" t="s">
        <v>14</v>
      </c>
      <c r="S22" s="706">
        <f>F22</f>
        <v>100</v>
      </c>
      <c r="T22" s="705" t="s">
        <v>14</v>
      </c>
      <c r="U22" s="706">
        <f>H22</f>
        <v>100</v>
      </c>
      <c r="V22" s="705" t="s">
        <v>14</v>
      </c>
      <c r="W22" s="706">
        <f>J22</f>
        <v>100</v>
      </c>
      <c r="X22" s="1354"/>
      <c r="Y22" s="370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1">
        <f>B23</f>
        <v>111</v>
      </c>
      <c r="R23" s="705" t="s">
        <v>14</v>
      </c>
      <c r="S23" s="706">
        <f>F23</f>
        <v>100</v>
      </c>
      <c r="T23" s="705" t="s">
        <v>14</v>
      </c>
      <c r="U23" s="706">
        <f>H23</f>
        <v>100</v>
      </c>
      <c r="V23" s="705" t="s">
        <v>14</v>
      </c>
      <c r="W23" s="706">
        <f>J23</f>
        <v>100</v>
      </c>
      <c r="X23" s="1354"/>
      <c r="Y23" s="370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1">
        <f t="shared" ref="Q24:Q34" si="11">B24</f>
        <v>111</v>
      </c>
      <c r="R24" s="705" t="s">
        <v>14</v>
      </c>
      <c r="S24" s="706">
        <f>F24</f>
        <v>100</v>
      </c>
      <c r="T24" s="705" t="s">
        <v>14</v>
      </c>
      <c r="U24" s="706">
        <f>H24</f>
        <v>100</v>
      </c>
      <c r="V24" s="705" t="s">
        <v>14</v>
      </c>
      <c r="W24" s="706">
        <f>J24</f>
        <v>100</v>
      </c>
      <c r="X24" s="1354"/>
      <c r="Y24" s="370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0"/>
      <c r="Q25" s="1342">
        <f t="shared" si="11"/>
        <v>111</v>
      </c>
      <c r="R25" s="701" t="s">
        <v>14</v>
      </c>
      <c r="S25" s="702">
        <f>F25</f>
        <v>100</v>
      </c>
      <c r="T25" s="701" t="s">
        <v>14</v>
      </c>
      <c r="U25" s="702">
        <f>H25</f>
        <v>100</v>
      </c>
      <c r="V25" s="701" t="s">
        <v>14</v>
      </c>
      <c r="W25" s="702">
        <f>J25</f>
        <v>100</v>
      </c>
      <c r="X25" s="703"/>
      <c r="Y25" s="370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1" t="str">
        <f t="shared" si="11"/>
        <v>物业等级</v>
      </c>
      <c r="R28" s="705" t="s">
        <v>14</v>
      </c>
      <c r="S28" s="706">
        <f t="shared" si="12"/>
        <v>100</v>
      </c>
      <c r="T28" s="705" t="s">
        <v>14</v>
      </c>
      <c r="U28" s="706">
        <f t="shared" si="13"/>
        <v>100</v>
      </c>
      <c r="V28" s="705" t="s">
        <v>14</v>
      </c>
      <c r="W28" s="706">
        <f t="shared" si="14"/>
        <v>100</v>
      </c>
      <c r="X28" s="1354"/>
      <c r="Y28" s="370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4"/>
      <c r="Q29" s="1351" t="str">
        <f t="shared" si="11"/>
        <v>有无电梯</v>
      </c>
      <c r="R29" s="705" t="s">
        <v>14</v>
      </c>
      <c r="S29" s="706">
        <f t="shared" si="12"/>
        <v>100</v>
      </c>
      <c r="T29" s="705" t="s">
        <v>14</v>
      </c>
      <c r="U29" s="706">
        <f t="shared" si="13"/>
        <v>100</v>
      </c>
      <c r="V29" s="705" t="s">
        <v>14</v>
      </c>
      <c r="W29" s="706">
        <f t="shared" si="14"/>
        <v>100</v>
      </c>
      <c r="X29" s="1354"/>
      <c r="Y29" s="370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1" t="str">
        <f t="shared" si="11"/>
        <v>建筑面积</v>
      </c>
      <c r="R30" s="705" t="s">
        <v>14</v>
      </c>
      <c r="S30" s="706" t="e">
        <f t="shared" si="12"/>
        <v>#N/A</v>
      </c>
      <c r="T30" s="705" t="s">
        <v>14</v>
      </c>
      <c r="U30" s="706" t="e">
        <f t="shared" si="13"/>
        <v>#N/A</v>
      </c>
      <c r="V30" s="705" t="s">
        <v>14</v>
      </c>
      <c r="W30" s="706" t="e">
        <f t="shared" si="14"/>
        <v>#N/A</v>
      </c>
      <c r="X30" s="1354"/>
      <c r="Y30" s="370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4"/>
      <c r="Q31" s="1342"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1">
        <f t="shared" si="11"/>
        <v>111</v>
      </c>
      <c r="R32" s="705" t="s">
        <v>14</v>
      </c>
      <c r="S32" s="706">
        <f t="shared" si="12"/>
        <v>100</v>
      </c>
      <c r="T32" s="705" t="s">
        <v>14</v>
      </c>
      <c r="U32" s="706">
        <f t="shared" si="13"/>
        <v>100</v>
      </c>
      <c r="V32" s="705" t="s">
        <v>14</v>
      </c>
      <c r="W32" s="706">
        <f t="shared" si="14"/>
        <v>100</v>
      </c>
      <c r="X32" s="1354"/>
      <c r="Y32" s="370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1">
        <f t="shared" si="11"/>
        <v>111</v>
      </c>
      <c r="R33" s="705" t="s">
        <v>14</v>
      </c>
      <c r="S33" s="706">
        <f t="shared" si="12"/>
        <v>100</v>
      </c>
      <c r="T33" s="705" t="s">
        <v>14</v>
      </c>
      <c r="U33" s="706">
        <f t="shared" si="13"/>
        <v>100</v>
      </c>
      <c r="V33" s="705" t="s">
        <v>14</v>
      </c>
      <c r="W33" s="706">
        <f t="shared" si="14"/>
        <v>100</v>
      </c>
      <c r="X33" s="1354"/>
      <c r="Y33" s="370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4"/>
      <c r="Q34" s="1351">
        <f t="shared" si="11"/>
        <v>111</v>
      </c>
      <c r="R34" s="705" t="s">
        <v>14</v>
      </c>
      <c r="S34" s="706">
        <f t="shared" si="12"/>
        <v>100</v>
      </c>
      <c r="T34" s="705" t="s">
        <v>14</v>
      </c>
      <c r="U34" s="706">
        <f t="shared" si="13"/>
        <v>100</v>
      </c>
      <c r="V34" s="705" t="s">
        <v>14</v>
      </c>
      <c r="W34" s="706">
        <f t="shared" si="14"/>
        <v>100</v>
      </c>
      <c r="X34" s="1354"/>
      <c r="Y34" s="370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5" t="str">
        <f>A37</f>
        <v>估价对象XX用房的比较价值（楼面单价，元/平方米）</v>
      </c>
      <c r="Q37" s="3746"/>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1086</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8925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741" t="s">
        <v>1775</v>
      </c>
      <c r="Q4" s="3742"/>
      <c r="R4" s="3738" t="s">
        <v>1771</v>
      </c>
      <c r="S4" s="3739"/>
      <c r="T4" s="3738" t="s">
        <v>1772</v>
      </c>
      <c r="U4" s="3739"/>
      <c r="V4" s="3693" t="s">
        <v>1773</v>
      </c>
      <c r="W4" s="3693"/>
      <c r="X4" s="1354"/>
      <c r="Y4" s="3738" t="s">
        <v>1775</v>
      </c>
      <c r="Z4" s="3739"/>
      <c r="AA4" s="3737" t="s">
        <v>1771</v>
      </c>
      <c r="AB4" s="3660" t="s">
        <v>1772</v>
      </c>
      <c r="AC4" s="3737" t="s">
        <v>1773</v>
      </c>
    </row>
    <row r="5" spans="1:30" ht="15">
      <c r="A5" s="358"/>
      <c r="B5" s="359"/>
      <c r="C5" s="3670" t="s">
        <v>1673</v>
      </c>
      <c r="D5" s="3671"/>
      <c r="E5" s="3740" t="str">
        <f>土地案例!A2</f>
        <v>北京城市副中心0403街区FZX-0403-0146、0148地块F3*其他类多功能用地</v>
      </c>
      <c r="F5" s="3669"/>
      <c r="G5" s="3670" t="str">
        <f>土地案例!A6</f>
        <v>北京市通州区永顺镇0401街区*46号地块(西马庄收储)*B4综合性商业金融服务业用地</v>
      </c>
      <c r="H5" s="3671"/>
      <c r="I5" s="3670" t="str">
        <f>土地案例!A32</f>
        <v>北京城市副中心FZX-0902-0229、0230地块</v>
      </c>
      <c r="J5" s="3671"/>
      <c r="K5" s="559"/>
      <c r="L5" s="2714"/>
      <c r="M5" s="2715"/>
      <c r="N5" s="2715"/>
      <c r="O5" s="2715"/>
      <c r="P5" s="3743"/>
      <c r="Q5" s="3687"/>
      <c r="R5" s="3666"/>
      <c r="S5" s="3667"/>
      <c r="T5" s="3666"/>
      <c r="U5" s="3667"/>
      <c r="V5" s="3693"/>
      <c r="W5" s="3693"/>
      <c r="X5" s="1354"/>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4"/>
      <c r="M6" s="2715"/>
      <c r="N6" s="2715"/>
      <c r="O6" s="2715"/>
      <c r="P6" s="3744"/>
      <c r="Q6" s="3689"/>
      <c r="R6" s="3666"/>
      <c r="S6" s="3667"/>
      <c r="T6" s="3690"/>
      <c r="U6" s="3691"/>
      <c r="V6" s="3693"/>
      <c r="W6" s="3693"/>
      <c r="X6" s="1354"/>
      <c r="Y6" s="3690"/>
      <c r="Z6" s="3691"/>
      <c r="AA6" s="3661"/>
      <c r="AB6" s="3661"/>
      <c r="AC6" s="3661"/>
    </row>
    <row r="7" spans="1:30" s="108" customFormat="1" ht="15.75" thickBot="1">
      <c r="A7" s="362" t="s">
        <v>1679</v>
      </c>
      <c r="B7" s="363"/>
      <c r="C7" s="364">
        <f>'数据-取费表'!B2</f>
        <v>45124</v>
      </c>
      <c r="D7" s="365">
        <v>100</v>
      </c>
      <c r="E7" s="366" t="str">
        <f>土地案例!K2</f>
        <v>2023-07-07</v>
      </c>
      <c r="F7" s="367">
        <f>SUMIF(69:69,YEAR(E7)&amp;"-"&amp;INT((MONTH(E7)+2)/3),70:70)</f>
        <v>100</v>
      </c>
      <c r="G7" s="1973" t="str">
        <f>土地案例!K6</f>
        <v>2023-04-14</v>
      </c>
      <c r="H7" s="365">
        <f>SUMIF(69:69,YEAR(G7)&amp;"-"&amp;INT((MONTH(G7)+2)/3),70:70)</f>
        <v>99.5</v>
      </c>
      <c r="I7" s="1973" t="str">
        <f>土地案例!K32</f>
        <v>2021-05-19</v>
      </c>
      <c r="J7" s="365">
        <f>SUMIF(69:69,YEAR(I7)&amp;"-"&amp;INT((MONTH(I7)+2)/3),70:70)</f>
        <v>95.5</v>
      </c>
      <c r="K7" s="560"/>
      <c r="L7" s="2716"/>
      <c r="M7" s="2717"/>
      <c r="N7" s="2717"/>
      <c r="O7" s="2717"/>
      <c r="P7" s="3662" t="s">
        <v>1680</v>
      </c>
      <c r="Q7" s="3696"/>
      <c r="R7" s="701" t="s">
        <v>14</v>
      </c>
      <c r="S7" s="702">
        <f t="shared" ref="S7:S15" si="0">F7</f>
        <v>100</v>
      </c>
      <c r="T7" s="701" t="s">
        <v>14</v>
      </c>
      <c r="U7" s="702">
        <f t="shared" ref="U7:U15" si="1">H7</f>
        <v>99.5</v>
      </c>
      <c r="V7" s="701" t="s">
        <v>14</v>
      </c>
      <c r="W7" s="702">
        <f t="shared" ref="W7:W15" si="2">J7</f>
        <v>95.5</v>
      </c>
      <c r="X7" s="703"/>
      <c r="Y7" s="3662" t="s">
        <v>1680</v>
      </c>
      <c r="Z7" s="3663"/>
      <c r="AA7" s="704">
        <f>D7/F7</f>
        <v>1</v>
      </c>
      <c r="AB7" s="704">
        <f>D7/H7</f>
        <v>1.0050251256281406</v>
      </c>
      <c r="AC7" s="704">
        <f>D7/J7</f>
        <v>1.0471204188481675</v>
      </c>
    </row>
    <row r="8" spans="1:30" s="108" customFormat="1" ht="15.75" thickBot="1">
      <c r="A8" s="362" t="s">
        <v>1681</v>
      </c>
      <c r="B8" s="363"/>
      <c r="C8" s="368" t="s">
        <v>1682</v>
      </c>
      <c r="D8" s="365">
        <v>100</v>
      </c>
      <c r="E8" s="368" t="s">
        <v>3587</v>
      </c>
      <c r="F8" s="367">
        <f>SUMIF(72:72,E8,73:73)-SUMIF(72:72,C8,73:73)+100</f>
        <v>100</v>
      </c>
      <c r="G8" s="3455" t="s">
        <v>3588</v>
      </c>
      <c r="H8" s="365">
        <f>SUMIF(72:72,G8,73:73)-SUMIF(72:72,C8,73:73)+100</f>
        <v>100</v>
      </c>
      <c r="I8" s="3455" t="s">
        <v>3588</v>
      </c>
      <c r="J8" s="365">
        <f>SUMIF(72:72,I8,73:73)-SUMIF(72:72,C8,73:73)+100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8"/>
      <c r="M10" s="2719"/>
      <c r="N10" s="2719"/>
      <c r="O10" s="2772"/>
      <c r="P10" s="3706"/>
      <c r="Q10" s="1342" t="str">
        <f t="shared" si="6"/>
        <v>土地使用年限（年）</v>
      </c>
      <c r="R10" s="701" t="s">
        <v>14</v>
      </c>
      <c r="S10" s="702">
        <f t="shared" si="0"/>
        <v>128</v>
      </c>
      <c r="T10" s="701" t="s">
        <v>14</v>
      </c>
      <c r="U10" s="702">
        <f t="shared" si="1"/>
        <v>128</v>
      </c>
      <c r="V10" s="701" t="s">
        <v>14</v>
      </c>
      <c r="W10" s="702">
        <f t="shared" si="2"/>
        <v>128</v>
      </c>
      <c r="X10" s="703"/>
      <c r="Y10" s="3632"/>
      <c r="Z10" s="52" t="str">
        <f t="shared" si="7"/>
        <v>土地使用年限（年）</v>
      </c>
      <c r="AA10" s="704">
        <f t="shared" si="3"/>
        <v>0.78125</v>
      </c>
      <c r="AB10" s="704">
        <f t="shared" si="4"/>
        <v>0.78125</v>
      </c>
      <c r="AC10" s="704">
        <f t="shared" si="5"/>
        <v>0.78125</v>
      </c>
    </row>
    <row r="11" spans="1:30" ht="15">
      <c r="A11" s="379"/>
      <c r="B11" s="375" t="s">
        <v>1689</v>
      </c>
      <c r="C11" s="380">
        <f>'数据-汇总表'!I6</f>
        <v>2.31</v>
      </c>
      <c r="D11" s="127">
        <v>100</v>
      </c>
      <c r="E11" s="380">
        <v>3.4</v>
      </c>
      <c r="F11" s="127">
        <f>LOOKUP(E11,79:79,80:80)-LOOKUP(C11,79:79,80:80)+100</f>
        <v>98</v>
      </c>
      <c r="G11" s="381">
        <v>2.8</v>
      </c>
      <c r="H11" s="127">
        <f>LOOKUP(G11,79:79,80:80)-LOOKUP(C11,79:79,80:80)+100</f>
        <v>100</v>
      </c>
      <c r="I11" s="380">
        <v>3.1</v>
      </c>
      <c r="J11" s="127">
        <f>LOOKUP(I11,79:79,80:80)-LOOKUP(C11,79:79,80:80)+100</f>
        <v>98</v>
      </c>
      <c r="K11" s="621">
        <v>2</v>
      </c>
      <c r="L11" s="2720"/>
      <c r="M11" s="2715"/>
      <c r="N11" s="2715"/>
      <c r="O11" s="2773"/>
      <c r="P11" s="3706"/>
      <c r="Q11" s="1342" t="str">
        <f t="shared" si="6"/>
        <v>容积率</v>
      </c>
      <c r="R11" s="701" t="s">
        <v>14</v>
      </c>
      <c r="S11" s="702">
        <f t="shared" si="0"/>
        <v>98</v>
      </c>
      <c r="T11" s="701" t="s">
        <v>14</v>
      </c>
      <c r="U11" s="702">
        <f t="shared" si="1"/>
        <v>100</v>
      </c>
      <c r="V11" s="701" t="s">
        <v>14</v>
      </c>
      <c r="W11" s="702">
        <f t="shared" si="2"/>
        <v>98</v>
      </c>
      <c r="X11" s="703"/>
      <c r="Y11" s="3632"/>
      <c r="Z11" s="52" t="str">
        <f t="shared" si="7"/>
        <v>容积率</v>
      </c>
      <c r="AA11" s="704">
        <f t="shared" si="3"/>
        <v>1.0204081632653061</v>
      </c>
      <c r="AB11" s="704">
        <f t="shared" si="4"/>
        <v>1</v>
      </c>
      <c r="AC11" s="704">
        <f t="shared" si="5"/>
        <v>1.0204081632653061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2"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1" t="str">
        <f t="shared" si="6"/>
        <v>居住社区成熟度</v>
      </c>
      <c r="R15" s="705" t="s">
        <v>14</v>
      </c>
      <c r="S15" s="706">
        <f t="shared" si="0"/>
        <v>100</v>
      </c>
      <c r="T15" s="705" t="s">
        <v>14</v>
      </c>
      <c r="U15" s="706">
        <f t="shared" si="1"/>
        <v>100</v>
      </c>
      <c r="V15" s="705" t="s">
        <v>14</v>
      </c>
      <c r="W15" s="706">
        <f t="shared" si="2"/>
        <v>100</v>
      </c>
      <c r="X15" s="1354"/>
      <c r="Y15" s="369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1" t="str">
        <f>B17</f>
        <v>商业繁华度</v>
      </c>
      <c r="R17" s="705" t="s">
        <v>14</v>
      </c>
      <c r="S17" s="706">
        <f>F17</f>
        <v>100</v>
      </c>
      <c r="T17" s="705" t="s">
        <v>14</v>
      </c>
      <c r="U17" s="706">
        <f>H17</f>
        <v>100</v>
      </c>
      <c r="V17" s="705" t="s">
        <v>14</v>
      </c>
      <c r="W17" s="706">
        <f>J17</f>
        <v>100</v>
      </c>
      <c r="X17" s="1354"/>
      <c r="Y17" s="370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100</v>
      </c>
      <c r="I19" s="410"/>
      <c r="J19" s="401">
        <f>SUMIF(91:91,I20,92:92)-SUMIF(91:91,C20,92:92)+100</f>
        <v>100</v>
      </c>
      <c r="K19" s="621">
        <v>3</v>
      </c>
      <c r="L19" s="2721"/>
      <c r="M19" s="2715"/>
      <c r="N19" s="2715"/>
      <c r="O19" s="2773"/>
      <c r="P19" s="3700"/>
      <c r="Q19" s="1351" t="str">
        <f>B19</f>
        <v>办公集聚程度</v>
      </c>
      <c r="R19" s="705" t="s">
        <v>14</v>
      </c>
      <c r="S19" s="706">
        <f>F19</f>
        <v>103</v>
      </c>
      <c r="T19" s="705" t="s">
        <v>14</v>
      </c>
      <c r="U19" s="706">
        <f>H19</f>
        <v>100</v>
      </c>
      <c r="V19" s="705" t="s">
        <v>14</v>
      </c>
      <c r="W19" s="706">
        <f>J19</f>
        <v>100</v>
      </c>
      <c r="X19" s="1354"/>
      <c r="Y19" s="3700"/>
      <c r="Z19" s="1355" t="str">
        <f>Q19</f>
        <v>办公集聚程度</v>
      </c>
      <c r="AA19" s="1352">
        <f t="shared" si="3"/>
        <v>0.970873786407767</v>
      </c>
      <c r="AB19" s="1352">
        <f t="shared" si="4"/>
        <v>1</v>
      </c>
      <c r="AC19" s="1352">
        <f t="shared" si="5"/>
        <v>1</v>
      </c>
    </row>
    <row r="20" spans="1:29" ht="15">
      <c r="A20" s="379"/>
      <c r="B20" s="407"/>
      <c r="C20" s="398" t="s">
        <v>3400</v>
      </c>
      <c r="D20" s="399"/>
      <c r="E20" s="3456" t="s">
        <v>3590</v>
      </c>
      <c r="F20" s="399"/>
      <c r="G20" s="3456" t="s">
        <v>3589</v>
      </c>
      <c r="H20" s="399"/>
      <c r="I20" s="3457" t="s">
        <v>3589</v>
      </c>
      <c r="J20" s="399"/>
      <c r="K20" s="620"/>
      <c r="L20" s="2721"/>
      <c r="M20" s="2715"/>
      <c r="N20" s="2715"/>
      <c r="O20" s="2773"/>
      <c r="P20" s="3700"/>
      <c r="Q20" s="1351"/>
      <c r="R20" s="705"/>
      <c r="S20" s="706"/>
      <c r="T20" s="705"/>
      <c r="U20" s="706"/>
      <c r="V20" s="705"/>
      <c r="W20" s="706"/>
      <c r="X20" s="1354"/>
      <c r="Y20" s="370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100</v>
      </c>
      <c r="I21" s="405"/>
      <c r="J21" s="401">
        <f>SUMIF(93:93,I22,94:94)-SUMIF(93:93,C22,94:94)+100</f>
        <v>102</v>
      </c>
      <c r="K21" s="621">
        <v>2</v>
      </c>
      <c r="L21" s="2721"/>
      <c r="M21" s="2715"/>
      <c r="N21" s="2715"/>
      <c r="O21" s="2773"/>
      <c r="P21" s="3700"/>
      <c r="Q21" s="1351" t="str">
        <f>B21</f>
        <v>交通便捷度</v>
      </c>
      <c r="R21" s="705" t="s">
        <v>14</v>
      </c>
      <c r="S21" s="706">
        <f>F21</f>
        <v>102</v>
      </c>
      <c r="T21" s="705" t="s">
        <v>14</v>
      </c>
      <c r="U21" s="706">
        <f>H21</f>
        <v>100</v>
      </c>
      <c r="V21" s="705" t="s">
        <v>14</v>
      </c>
      <c r="W21" s="706">
        <f>J21</f>
        <v>102</v>
      </c>
      <c r="X21" s="1354"/>
      <c r="Y21" s="3700"/>
      <c r="Z21" s="1355" t="str">
        <f>Q21</f>
        <v>交通便捷度</v>
      </c>
      <c r="AA21" s="1352">
        <f t="shared" si="3"/>
        <v>0.98039215686274506</v>
      </c>
      <c r="AB21" s="1352">
        <f t="shared" si="4"/>
        <v>1</v>
      </c>
      <c r="AC21" s="1352">
        <f t="shared" si="5"/>
        <v>0.98039215686274506</v>
      </c>
    </row>
    <row r="22" spans="1:29" ht="15">
      <c r="A22" s="379"/>
      <c r="B22" s="1131"/>
      <c r="C22" s="3458" t="s">
        <v>3591</v>
      </c>
      <c r="D22" s="401"/>
      <c r="E22" s="3456" t="s">
        <v>3590</v>
      </c>
      <c r="F22" s="399"/>
      <c r="G22" s="3456" t="s">
        <v>3589</v>
      </c>
      <c r="H22" s="399"/>
      <c r="I22" s="3457" t="s">
        <v>3590</v>
      </c>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1" t="str">
        <f t="shared" ref="Q23:Q37" si="8">B23</f>
        <v>区域土地利用方向</v>
      </c>
      <c r="R23" s="705" t="s">
        <v>14</v>
      </c>
      <c r="S23" s="706">
        <f>F23</f>
        <v>100</v>
      </c>
      <c r="T23" s="705" t="s">
        <v>14</v>
      </c>
      <c r="U23" s="706">
        <f>H23</f>
        <v>100</v>
      </c>
      <c r="V23" s="705" t="s">
        <v>14</v>
      </c>
      <c r="W23" s="706">
        <f>J23</f>
        <v>100</v>
      </c>
      <c r="X23" s="1354"/>
      <c r="Y23" s="3700"/>
      <c r="Z23" s="1355" t="str">
        <f>Q23</f>
        <v>区域土地利用方向</v>
      </c>
      <c r="AA23" s="1352">
        <f t="shared" si="3"/>
        <v>1</v>
      </c>
      <c r="AB23" s="1352">
        <f t="shared" si="4"/>
        <v>1</v>
      </c>
      <c r="AC23" s="1352">
        <f t="shared" si="5"/>
        <v>1</v>
      </c>
    </row>
    <row r="24" spans="1:29" ht="15">
      <c r="A24" s="358"/>
      <c r="B24" s="407"/>
      <c r="C24" s="3459" t="s">
        <v>3590</v>
      </c>
      <c r="D24" s="399"/>
      <c r="E24" s="3456" t="s">
        <v>3590</v>
      </c>
      <c r="F24" s="399"/>
      <c r="G24" s="3457" t="s">
        <v>3590</v>
      </c>
      <c r="H24" s="399"/>
      <c r="I24" s="3457" t="s">
        <v>3592</v>
      </c>
      <c r="J24" s="399"/>
      <c r="K24" s="740"/>
      <c r="L24" s="2721"/>
      <c r="M24" s="2715"/>
      <c r="N24" s="2715"/>
      <c r="O24" s="2773"/>
      <c r="P24" s="3700"/>
      <c r="Q24" s="1351"/>
      <c r="R24" s="705"/>
      <c r="S24" s="706"/>
      <c r="T24" s="705"/>
      <c r="U24" s="706"/>
      <c r="V24" s="705"/>
      <c r="W24" s="706"/>
      <c r="X24" s="1354"/>
      <c r="Y24" s="370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1" t="str">
        <f t="shared" si="8"/>
        <v>自然及人文环境状况</v>
      </c>
      <c r="R25" s="705" t="s">
        <v>14</v>
      </c>
      <c r="S25" s="706">
        <f>F25</f>
        <v>100</v>
      </c>
      <c r="T25" s="705" t="s">
        <v>14</v>
      </c>
      <c r="U25" s="706">
        <f>H25</f>
        <v>100</v>
      </c>
      <c r="V25" s="705" t="s">
        <v>14</v>
      </c>
      <c r="W25" s="706">
        <f>J25</f>
        <v>100</v>
      </c>
      <c r="X25" s="1354"/>
      <c r="Y25" s="3700"/>
      <c r="Z25" s="1355" t="str">
        <f>Q25</f>
        <v>自然及人文环境状况</v>
      </c>
      <c r="AA25" s="1352">
        <f t="shared" si="3"/>
        <v>1</v>
      </c>
      <c r="AB25" s="1352">
        <f t="shared" si="4"/>
        <v>1</v>
      </c>
      <c r="AC25" s="1352">
        <f t="shared" si="5"/>
        <v>1</v>
      </c>
    </row>
    <row r="26" spans="1:29" ht="15">
      <c r="A26" s="358"/>
      <c r="B26" s="407"/>
      <c r="C26" s="3458" t="s">
        <v>3589</v>
      </c>
      <c r="D26" s="399"/>
      <c r="E26" s="3460" t="s">
        <v>3590</v>
      </c>
      <c r="F26" s="399"/>
      <c r="G26" s="3460" t="s">
        <v>3590</v>
      </c>
      <c r="H26" s="399"/>
      <c r="I26" s="3458" t="s">
        <v>3590</v>
      </c>
      <c r="J26" s="399"/>
      <c r="K26" s="620"/>
      <c r="L26" s="2721"/>
      <c r="M26" s="2715"/>
      <c r="N26" s="2715"/>
      <c r="O26" s="2773"/>
      <c r="P26" s="3700"/>
      <c r="Q26" s="1351"/>
      <c r="R26" s="705"/>
      <c r="S26" s="706"/>
      <c r="T26" s="705"/>
      <c r="U26" s="706"/>
      <c r="V26" s="705"/>
      <c r="W26" s="706"/>
      <c r="X26" s="1354"/>
      <c r="Y26" s="370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2" t="str">
        <f t="shared" si="8"/>
        <v>公共配套设施</v>
      </c>
      <c r="R27" s="701" t="s">
        <v>14</v>
      </c>
      <c r="S27" s="702">
        <f>F27</f>
        <v>100</v>
      </c>
      <c r="T27" s="701" t="s">
        <v>14</v>
      </c>
      <c r="U27" s="702">
        <f>H27</f>
        <v>100</v>
      </c>
      <c r="V27" s="701" t="s">
        <v>14</v>
      </c>
      <c r="W27" s="702">
        <f>J27</f>
        <v>100</v>
      </c>
      <c r="X27" s="703"/>
      <c r="Y27" s="3700"/>
      <c r="Z27" s="52" t="str">
        <f>Q27</f>
        <v>公共配套设施</v>
      </c>
      <c r="AA27" s="1352">
        <f>D27/F27</f>
        <v>1</v>
      </c>
      <c r="AB27" s="1352">
        <f>D27/H27</f>
        <v>1</v>
      </c>
      <c r="AC27" s="1352">
        <f>D27/J27</f>
        <v>1</v>
      </c>
    </row>
    <row r="28" spans="1:29" s="108" customFormat="1" ht="15">
      <c r="A28" s="597"/>
      <c r="B28" s="407"/>
      <c r="C28" s="3461" t="s">
        <v>3589</v>
      </c>
      <c r="D28" s="399"/>
      <c r="E28" s="3460" t="s">
        <v>3590</v>
      </c>
      <c r="F28" s="399"/>
      <c r="G28" s="3460" t="s">
        <v>3590</v>
      </c>
      <c r="H28" s="399"/>
      <c r="I28" s="3458" t="s">
        <v>3589</v>
      </c>
      <c r="J28" s="399"/>
      <c r="K28" s="620"/>
      <c r="L28" s="2716"/>
      <c r="M28" s="2717"/>
      <c r="N28" s="2717"/>
      <c r="O28" s="2771"/>
      <c r="P28" s="3700"/>
      <c r="Q28" s="1342"/>
      <c r="R28" s="701"/>
      <c r="S28" s="702"/>
      <c r="T28" s="701"/>
      <c r="U28" s="702"/>
      <c r="V28" s="701"/>
      <c r="W28" s="702"/>
      <c r="X28" s="703"/>
      <c r="Y28" s="370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2"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0"/>
      <c r="Q30" s="1342"/>
      <c r="R30" s="701"/>
      <c r="S30" s="702"/>
      <c r="T30" s="701"/>
      <c r="U30" s="702"/>
      <c r="V30" s="701"/>
      <c r="W30" s="702"/>
      <c r="X30" s="703"/>
      <c r="Y30" s="370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1" t="str">
        <f t="shared" si="8"/>
        <v>毗邻道路的类型与等级</v>
      </c>
      <c r="R32" s="705" t="s">
        <v>14</v>
      </c>
      <c r="S32" s="706">
        <f t="shared" si="10"/>
        <v>100</v>
      </c>
      <c r="T32" s="705" t="s">
        <v>14</v>
      </c>
      <c r="U32" s="706">
        <f t="shared" si="11"/>
        <v>100</v>
      </c>
      <c r="V32" s="705" t="s">
        <v>14</v>
      </c>
      <c r="W32" s="706">
        <f t="shared" si="12"/>
        <v>100</v>
      </c>
      <c r="X32" s="1354"/>
      <c r="Y32" s="370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0"/>
      <c r="Q33" s="1351"/>
      <c r="R33" s="705"/>
      <c r="S33" s="706"/>
      <c r="T33" s="705"/>
      <c r="U33" s="706"/>
      <c r="V33" s="705"/>
      <c r="W33" s="706"/>
      <c r="X33" s="1354"/>
      <c r="Y33" s="3700"/>
      <c r="Z33" s="1355"/>
      <c r="AA33" s="1352">
        <v>1</v>
      </c>
      <c r="AB33" s="1352">
        <v>1</v>
      </c>
      <c r="AC33" s="1352">
        <v>1</v>
      </c>
    </row>
    <row r="34" spans="1:29" ht="15">
      <c r="A34" s="379"/>
      <c r="B34" s="375" t="s">
        <v>1873</v>
      </c>
      <c r="C34" s="3459" t="s">
        <v>3593</v>
      </c>
      <c r="D34" s="386">
        <v>100</v>
      </c>
      <c r="E34" s="582" t="str">
        <f>土地案例!R2</f>
        <v>五级</v>
      </c>
      <c r="F34" s="386">
        <f>SUMIF(107:107,E34,108:108)-SUMIF(107:107,C34,108:108)+100</f>
        <v>104</v>
      </c>
      <c r="G34" s="582" t="str">
        <f>土地案例!R6</f>
        <v>六级</v>
      </c>
      <c r="H34" s="386">
        <f>SUMIF(107:107,G34,108:108)-SUMIF(107:107,C34,108:108)+100</f>
        <v>102</v>
      </c>
      <c r="I34" s="565" t="str">
        <f>土地案例!R32</f>
        <v>六级</v>
      </c>
      <c r="J34" s="386">
        <f>SUMIF(107:107,I34,108:108)-SUMIF(107:107,C34,108:108)+100</f>
        <v>102</v>
      </c>
      <c r="K34" s="561">
        <v>2</v>
      </c>
      <c r="L34" s="2721"/>
      <c r="M34" s="2715"/>
      <c r="N34" s="2715"/>
      <c r="O34" s="2773"/>
      <c r="P34" s="3700"/>
      <c r="Q34" s="1351" t="str">
        <f t="shared" si="8"/>
        <v>土地级别</v>
      </c>
      <c r="R34" s="705" t="s">
        <v>14</v>
      </c>
      <c r="S34" s="706">
        <f t="shared" si="10"/>
        <v>104</v>
      </c>
      <c r="T34" s="705" t="s">
        <v>14</v>
      </c>
      <c r="U34" s="706">
        <f t="shared" si="11"/>
        <v>102</v>
      </c>
      <c r="V34" s="705" t="s">
        <v>14</v>
      </c>
      <c r="W34" s="706">
        <f t="shared" si="12"/>
        <v>102</v>
      </c>
      <c r="X34" s="1354"/>
      <c r="Y34" s="3700"/>
      <c r="Z34" s="1355" t="str">
        <f t="shared" si="13"/>
        <v>土地级别</v>
      </c>
      <c r="AA34" s="1352">
        <f t="shared" si="3"/>
        <v>0.96153846153846156</v>
      </c>
      <c r="AB34" s="1352">
        <f t="shared" si="4"/>
        <v>0.98039215686274506</v>
      </c>
      <c r="AC34" s="1352">
        <f t="shared" si="5"/>
        <v>0.98039215686274506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1">
        <f t="shared" si="8"/>
        <v>111</v>
      </c>
      <c r="R35" s="705" t="s">
        <v>14</v>
      </c>
      <c r="S35" s="706">
        <f t="shared" si="10"/>
        <v>100</v>
      </c>
      <c r="T35" s="705" t="s">
        <v>14</v>
      </c>
      <c r="U35" s="706">
        <f t="shared" si="11"/>
        <v>100</v>
      </c>
      <c r="V35" s="705" t="s">
        <v>14</v>
      </c>
      <c r="W35" s="706">
        <f t="shared" si="12"/>
        <v>100</v>
      </c>
      <c r="X35" s="1354"/>
      <c r="Y35" s="370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8" t="s">
        <v>1696</v>
      </c>
      <c r="Q36" s="1351">
        <f t="shared" si="8"/>
        <v>111</v>
      </c>
      <c r="R36" s="705" t="s">
        <v>14</v>
      </c>
      <c r="S36" s="706">
        <f t="shared" si="10"/>
        <v>100</v>
      </c>
      <c r="T36" s="705" t="s">
        <v>14</v>
      </c>
      <c r="U36" s="706">
        <f t="shared" si="11"/>
        <v>100</v>
      </c>
      <c r="V36" s="705" t="s">
        <v>14</v>
      </c>
      <c r="W36" s="706">
        <f t="shared" si="12"/>
        <v>100</v>
      </c>
      <c r="X36" s="1354"/>
      <c r="Y36" s="370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4"/>
      <c r="Q37" s="1351">
        <f t="shared" si="8"/>
        <v>111</v>
      </c>
      <c r="R37" s="708" t="s">
        <v>14</v>
      </c>
      <c r="S37" s="709">
        <f t="shared" si="10"/>
        <v>100</v>
      </c>
      <c r="T37" s="708" t="s">
        <v>14</v>
      </c>
      <c r="U37" s="709">
        <f t="shared" si="11"/>
        <v>100</v>
      </c>
      <c r="V37" s="708" t="s">
        <v>14</v>
      </c>
      <c r="W37" s="709">
        <f t="shared" si="12"/>
        <v>100</v>
      </c>
      <c r="X37" s="710"/>
      <c r="Y37" s="3704"/>
      <c r="Z37" s="711">
        <f t="shared" si="13"/>
        <v>111</v>
      </c>
      <c r="AA37" s="1352">
        <f t="shared" si="3"/>
        <v>1</v>
      </c>
      <c r="AB37" s="1352">
        <f t="shared" si="4"/>
        <v>1</v>
      </c>
      <c r="AC37" s="1352">
        <f t="shared" si="5"/>
        <v>1</v>
      </c>
    </row>
    <row r="38" spans="1:29" ht="15">
      <c r="A38" s="423" t="s">
        <v>1694</v>
      </c>
      <c r="B38" s="407" t="s">
        <v>1874</v>
      </c>
      <c r="C38" s="627">
        <f>'数据-汇总表'!D3</f>
        <v>527.48</v>
      </c>
      <c r="D38" s="418">
        <v>100</v>
      </c>
      <c r="E38" s="627">
        <f>土地案例!D2</f>
        <v>15459.22</v>
      </c>
      <c r="F38" s="418">
        <f>LOOKUP(E38,116:116,117:117)-LOOKUP(C38,116:116,117:117)+100</f>
        <v>100</v>
      </c>
      <c r="G38" s="627">
        <f>土地案例!D6</f>
        <v>5500.65</v>
      </c>
      <c r="H38" s="418">
        <f>LOOKUP(G38,116:116,117:117)-LOOKUP(C38,116:116,117:117)+100</f>
        <v>100</v>
      </c>
      <c r="I38" s="479">
        <f>土地案例!D32</f>
        <v>17147.95</v>
      </c>
      <c r="J38" s="418">
        <f>LOOKUP(I38,116:116,117:117)-LOOKUP(C38,116:116,117:117)+100</f>
        <v>100</v>
      </c>
      <c r="K38" s="562"/>
      <c r="L38" s="2721"/>
      <c r="M38" s="2715"/>
      <c r="N38" s="2715"/>
      <c r="O38" s="2773"/>
      <c r="P38" s="3704"/>
      <c r="Q38" s="1351" t="str">
        <f>B38</f>
        <v>宗地面积</v>
      </c>
      <c r="R38" s="705" t="s">
        <v>14</v>
      </c>
      <c r="S38" s="706">
        <f t="shared" si="10"/>
        <v>100</v>
      </c>
      <c r="T38" s="705" t="s">
        <v>14</v>
      </c>
      <c r="U38" s="706">
        <f t="shared" si="11"/>
        <v>100</v>
      </c>
      <c r="V38" s="705" t="s">
        <v>14</v>
      </c>
      <c r="W38" s="706">
        <f t="shared" si="12"/>
        <v>100</v>
      </c>
      <c r="X38" s="1354"/>
      <c r="Y38" s="3704"/>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4"/>
      <c r="Q39" s="1351" t="str">
        <f t="shared" ref="Q39:Q45" si="14">B39</f>
        <v>宗地形状</v>
      </c>
      <c r="R39" s="705" t="s">
        <v>14</v>
      </c>
      <c r="S39" s="706">
        <f t="shared" si="10"/>
        <v>100</v>
      </c>
      <c r="T39" s="705" t="s">
        <v>14</v>
      </c>
      <c r="U39" s="706">
        <f t="shared" si="11"/>
        <v>100</v>
      </c>
      <c r="V39" s="705" t="s">
        <v>14</v>
      </c>
      <c r="W39" s="706">
        <f t="shared" si="12"/>
        <v>100</v>
      </c>
      <c r="X39" s="1354"/>
      <c r="Y39" s="370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4"/>
      <c r="Q40" s="1351" t="str">
        <f t="shared" si="14"/>
        <v>临街宽度及深度</v>
      </c>
      <c r="R40" s="705" t="s">
        <v>14</v>
      </c>
      <c r="S40" s="706">
        <f t="shared" si="10"/>
        <v>100</v>
      </c>
      <c r="T40" s="705" t="s">
        <v>14</v>
      </c>
      <c r="U40" s="706">
        <f t="shared" si="11"/>
        <v>100</v>
      </c>
      <c r="V40" s="705" t="s">
        <v>14</v>
      </c>
      <c r="W40" s="706">
        <f t="shared" si="12"/>
        <v>100</v>
      </c>
      <c r="X40" s="1354"/>
      <c r="Y40" s="3704"/>
      <c r="Z40" s="1355" t="str">
        <f t="shared" si="13"/>
        <v>临街宽度及深度</v>
      </c>
      <c r="AA40" s="1352">
        <f t="shared" si="3"/>
        <v>1</v>
      </c>
      <c r="AB40" s="1352">
        <f t="shared" si="4"/>
        <v>1</v>
      </c>
      <c r="AC40" s="1352">
        <f t="shared" si="5"/>
        <v>1</v>
      </c>
    </row>
    <row r="41" spans="1:29" s="108" customFormat="1" ht="15">
      <c r="A41" s="424"/>
      <c r="B41" s="375" t="s">
        <v>1877</v>
      </c>
      <c r="C41" s="3462" t="s">
        <v>3594</v>
      </c>
      <c r="D41" s="127">
        <v>100</v>
      </c>
      <c r="E41" s="1979" t="str">
        <f>土地案例!S2</f>
        <v>三通</v>
      </c>
      <c r="F41" s="386">
        <f>SUMIF(122:122,E41,123:123)-SUMIF(122:122,C41,123:123)+100</f>
        <v>96</v>
      </c>
      <c r="G41" s="1979" t="str">
        <f>土地案例!S6</f>
        <v>三通</v>
      </c>
      <c r="H41" s="386">
        <f>SUMIF(122:122,G41,123:123)-SUMIF(122:122,C41,123:123)+100</f>
        <v>96</v>
      </c>
      <c r="I41" s="1979" t="str">
        <f>土地案例!S32</f>
        <v>六通</v>
      </c>
      <c r="J41" s="386">
        <f>SUMIF(122:122,I41,123:123)-SUMIF(122:122,C41,123:123)+100</f>
        <v>102</v>
      </c>
      <c r="K41" s="561">
        <v>2</v>
      </c>
      <c r="L41" s="2716"/>
      <c r="M41" s="2717"/>
      <c r="N41" s="2717"/>
      <c r="O41" s="2771"/>
      <c r="P41" s="3704"/>
      <c r="Q41" s="1351" t="str">
        <f t="shared" si="14"/>
        <v>宗地开发程度</v>
      </c>
      <c r="R41" s="701" t="s">
        <v>14</v>
      </c>
      <c r="S41" s="702">
        <f t="shared" si="10"/>
        <v>96</v>
      </c>
      <c r="T41" s="701" t="s">
        <v>14</v>
      </c>
      <c r="U41" s="702">
        <f t="shared" si="11"/>
        <v>96</v>
      </c>
      <c r="V41" s="701" t="s">
        <v>14</v>
      </c>
      <c r="W41" s="702">
        <f t="shared" si="12"/>
        <v>102</v>
      </c>
      <c r="X41" s="703"/>
      <c r="Y41" s="3704"/>
      <c r="Z41" s="52" t="str">
        <f t="shared" si="13"/>
        <v>宗地开发程度</v>
      </c>
      <c r="AA41" s="704">
        <f t="shared" si="3"/>
        <v>1.0416666666666667</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4" t="s">
        <v>1696</v>
      </c>
      <c r="Q42" s="1351" t="str">
        <f t="shared" si="14"/>
        <v>工程地质条件</v>
      </c>
      <c r="R42" s="705" t="s">
        <v>14</v>
      </c>
      <c r="S42" s="706">
        <f t="shared" si="10"/>
        <v>100</v>
      </c>
      <c r="T42" s="705" t="s">
        <v>14</v>
      </c>
      <c r="U42" s="706">
        <f t="shared" si="11"/>
        <v>100</v>
      </c>
      <c r="V42" s="705" t="s">
        <v>14</v>
      </c>
      <c r="W42" s="706">
        <f t="shared" si="12"/>
        <v>100</v>
      </c>
      <c r="X42" s="1354"/>
      <c r="Y42" s="370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4"/>
      <c r="Q43" s="1351">
        <f t="shared" si="14"/>
        <v>111</v>
      </c>
      <c r="R43" s="705" t="s">
        <v>14</v>
      </c>
      <c r="S43" s="706">
        <f t="shared" si="10"/>
        <v>100</v>
      </c>
      <c r="T43" s="705" t="s">
        <v>14</v>
      </c>
      <c r="U43" s="706">
        <f t="shared" si="11"/>
        <v>100</v>
      </c>
      <c r="V43" s="705" t="s">
        <v>14</v>
      </c>
      <c r="W43" s="706">
        <f t="shared" si="12"/>
        <v>100</v>
      </c>
      <c r="X43" s="1354"/>
      <c r="Y43" s="370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4"/>
      <c r="Q44" s="1351">
        <f t="shared" si="14"/>
        <v>111</v>
      </c>
      <c r="R44" s="705" t="s">
        <v>14</v>
      </c>
      <c r="S44" s="706">
        <f t="shared" si="10"/>
        <v>100</v>
      </c>
      <c r="T44" s="705" t="s">
        <v>14</v>
      </c>
      <c r="U44" s="706">
        <f t="shared" si="11"/>
        <v>100</v>
      </c>
      <c r="V44" s="705" t="s">
        <v>14</v>
      </c>
      <c r="W44" s="706">
        <f t="shared" si="12"/>
        <v>100</v>
      </c>
      <c r="X44" s="1354"/>
      <c r="Y44" s="370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4"/>
      <c r="Q45" s="1351">
        <f t="shared" si="14"/>
        <v>111</v>
      </c>
      <c r="R45" s="708" t="s">
        <v>14</v>
      </c>
      <c r="S45" s="709">
        <f t="shared" si="10"/>
        <v>100</v>
      </c>
      <c r="T45" s="708" t="s">
        <v>14</v>
      </c>
      <c r="U45" s="709">
        <f t="shared" si="11"/>
        <v>100</v>
      </c>
      <c r="V45" s="708" t="s">
        <v>14</v>
      </c>
      <c r="W45" s="709">
        <f t="shared" si="12"/>
        <v>100</v>
      </c>
      <c r="X45" s="710"/>
      <c r="Y45" s="3704"/>
      <c r="Z45" s="711">
        <f t="shared" si="13"/>
        <v>111</v>
      </c>
      <c r="AA45" s="1352">
        <f t="shared" si="3"/>
        <v>1</v>
      </c>
      <c r="AB45" s="1352">
        <f t="shared" si="4"/>
        <v>1</v>
      </c>
      <c r="AC45" s="1352">
        <f t="shared" si="5"/>
        <v>1</v>
      </c>
    </row>
    <row r="46" spans="1:29" ht="15">
      <c r="A46" s="430" t="s">
        <v>1844</v>
      </c>
      <c r="B46" s="1981" t="s">
        <v>1879</v>
      </c>
      <c r="C46" s="630" t="s">
        <v>0</v>
      </c>
      <c r="D46" s="432"/>
      <c r="E46" s="433">
        <v>10095</v>
      </c>
      <c r="F46" s="434"/>
      <c r="G46" s="435">
        <v>11038</v>
      </c>
      <c r="H46" s="436"/>
      <c r="I46" s="433">
        <v>13018</v>
      </c>
      <c r="J46" s="436"/>
      <c r="K46" s="714"/>
      <c r="L46" s="2723"/>
      <c r="M46" s="2724"/>
      <c r="N46" s="2715"/>
      <c r="O46" s="2724"/>
      <c r="P46" s="3706" t="str">
        <f>A46</f>
        <v>成交单价</v>
      </c>
      <c r="Q46" s="3706"/>
      <c r="R46" s="3693">
        <f>E46</f>
        <v>10095</v>
      </c>
      <c r="S46" s="3693"/>
      <c r="T46" s="3693">
        <f>G46</f>
        <v>11038</v>
      </c>
      <c r="U46" s="3693"/>
      <c r="V46" s="3693">
        <f>I46</f>
        <v>13018</v>
      </c>
      <c r="W46" s="3693"/>
      <c r="X46" s="690"/>
      <c r="Y46" s="712"/>
      <c r="Z46" s="690"/>
      <c r="AA46" s="690"/>
      <c r="AB46" s="690"/>
      <c r="AC46" s="690"/>
    </row>
    <row r="47" spans="1:29" ht="15.75" thickBot="1">
      <c r="A47" s="437" t="s">
        <v>1793</v>
      </c>
      <c r="B47" s="631"/>
      <c r="C47" s="440">
        <f>R48</f>
        <v>8921</v>
      </c>
      <c r="D47" s="2316" t="s">
        <v>2138</v>
      </c>
      <c r="E47" s="440">
        <f>R47</f>
        <v>7672</v>
      </c>
      <c r="F47" s="2317"/>
      <c r="G47" s="439">
        <f>T47</f>
        <v>8851</v>
      </c>
      <c r="H47" s="2317"/>
      <c r="I47" s="440">
        <f>V47</f>
        <v>10240</v>
      </c>
      <c r="J47" s="2317"/>
      <c r="K47" s="2319">
        <f>F47+H47+J47</f>
        <v>0</v>
      </c>
      <c r="L47" s="2723"/>
      <c r="M47" s="2724"/>
      <c r="N47" s="2724"/>
      <c r="O47" s="2724"/>
      <c r="P47" s="3706" t="str">
        <f>A47</f>
        <v>比较价值（元/平方米）</v>
      </c>
      <c r="Q47" s="3706"/>
      <c r="R47" s="3750">
        <f>ROUND(PRODUCT(R46,AA7:AA45),0)</f>
        <v>7672</v>
      </c>
      <c r="S47" s="3750"/>
      <c r="T47" s="3750">
        <f>ROUND(PRODUCT(T46,AB7:AB45),0)</f>
        <v>8851</v>
      </c>
      <c r="U47" s="3750"/>
      <c r="V47" s="3750">
        <f>ROUND(PRODUCT(V46,AC7:AC45),0)</f>
        <v>10240</v>
      </c>
      <c r="W47" s="3750"/>
      <c r="X47" s="690"/>
      <c r="Y47" s="690"/>
      <c r="Z47" s="690"/>
      <c r="AA47" s="690"/>
      <c r="AB47" s="690"/>
      <c r="AC47" s="690"/>
    </row>
    <row r="48" spans="1:29" ht="15.75" thickBot="1">
      <c r="A48" s="441" t="s">
        <v>1880</v>
      </c>
      <c r="B48" s="442"/>
      <c r="C48" s="443">
        <f>R48</f>
        <v>8921</v>
      </c>
      <c r="D48" s="443"/>
      <c r="E48" s="443"/>
      <c r="F48" s="443"/>
      <c r="G48" s="443"/>
      <c r="H48" s="443"/>
      <c r="I48" s="443"/>
      <c r="J48" s="443"/>
      <c r="K48" s="715"/>
      <c r="L48" s="2723"/>
      <c r="M48" s="2724"/>
      <c r="N48" s="2724"/>
      <c r="O48" s="2724"/>
      <c r="P48" s="3745" t="str">
        <f>A48</f>
        <v>估价对象XX用房的比较价值（楼面单价，元/平方米）</v>
      </c>
      <c r="Q48" s="3746"/>
      <c r="R48" s="3751">
        <f>ROUND(IF(D47="简单平均",AVERAGE(R47:W47),R47*F47+T47*H47+V47*J47),0)</f>
        <v>8921</v>
      </c>
      <c r="S48" s="3751"/>
      <c r="T48" s="3751"/>
      <c r="U48" s="3751"/>
      <c r="V48" s="3751"/>
      <c r="W48" s="375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0.3158237747653807</v>
      </c>
      <c r="F51" s="449" t="str">
        <f>IF(OR(E51&gt;=0.3,E51&lt;=-0.3),"超过30%","")</f>
        <v>超过30%</v>
      </c>
      <c r="G51" s="448">
        <f>IF(G46&lt;G47,G47/G46-1,G46/G47-1)</f>
        <v>0.24709072421195355</v>
      </c>
      <c r="H51" s="449" t="str">
        <f>IF(OR(G51&gt;=0.3,G51&lt;=-0.3),"超过30%","")</f>
        <v/>
      </c>
      <c r="I51" s="448">
        <f>IF(I46&lt;I47,I47/I46-1,I46/I47-1)</f>
        <v>0.27128906249999996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0.15367570385818552</v>
      </c>
      <c r="F52" s="449" t="str">
        <f>IF(OR(E52&gt;=0.2,E52&lt;=-0.2),"超过20%","")</f>
        <v/>
      </c>
      <c r="G52" s="448">
        <f>IF(G47&lt;I47,I47/G47-1,G47/I47-1)</f>
        <v>0.15693142017851081</v>
      </c>
      <c r="H52" s="449" t="str">
        <f>IF(OR(G52&gt;=0.2,G52&lt;=-0.2),"超过20%","")</f>
        <v/>
      </c>
      <c r="I52" s="448">
        <f>IF(I47&lt;E47,E47/I47-1,I47/E47-1)</f>
        <v>0.33472367049009377</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9.3412580485388697E-2</v>
      </c>
      <c r="F53" s="449" t="str">
        <f>IF(OR(E53&gt;=0.3,E53&lt;=-0.3),"超过30%","")</f>
        <v/>
      </c>
      <c r="G53" s="448">
        <f>IF(G46&lt;I46,I46/G46-1,G46/I46-1)</f>
        <v>0.17938032252219616</v>
      </c>
      <c r="H53" s="449" t="str">
        <f>IF(OR(G53&gt;=0.3,G53&lt;=-0.3),"超过30%","")</f>
        <v/>
      </c>
      <c r="I53" s="448">
        <f>IF(I46&lt;E46,E46/I46-1,I46/E46-1)</f>
        <v>0.28954928182268458</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0" t="s">
        <v>1887</v>
      </c>
      <c r="H55" s="375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8921</v>
      </c>
      <c r="C56" s="638">
        <v>1</v>
      </c>
      <c r="D56" s="944">
        <v>1</v>
      </c>
      <c r="E56" s="638">
        <f>'数据-汇总表'!E8+'数据-汇总表'!E9</f>
        <v>1216.8699999999999</v>
      </c>
      <c r="F56" s="886">
        <f t="shared" ref="F56:F64" si="15">ROUND(B56*E56/10000,0)</f>
        <v>1086</v>
      </c>
      <c r="G56" s="3676"/>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1338</v>
      </c>
      <c r="C57" s="171">
        <f t="shared" ref="C57:C64" si="16">IF($C$55="北京市系数",I57,J57)</f>
        <v>0.6</v>
      </c>
      <c r="D57" s="945">
        <v>0.25</v>
      </c>
      <c r="E57" s="642"/>
      <c r="F57" s="886">
        <f t="shared" si="15"/>
        <v>0</v>
      </c>
      <c r="G57" s="3005" t="s">
        <v>1892</v>
      </c>
      <c r="H57" s="887" t="str">
        <f>项目基本情况!B37</f>
        <v>七级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669</v>
      </c>
      <c r="C58" s="171">
        <f t="shared" si="16"/>
        <v>0.3</v>
      </c>
      <c r="D58" s="945">
        <v>0.25</v>
      </c>
      <c r="E58" s="642"/>
      <c r="F58" s="886">
        <f t="shared" si="15"/>
        <v>0</v>
      </c>
      <c r="G58" s="3006"/>
      <c r="H58" s="887" t="str">
        <f>项目基本情况!B37</f>
        <v>七级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558</v>
      </c>
      <c r="C59" s="171">
        <f t="shared" si="16"/>
        <v>0.25</v>
      </c>
      <c r="D59" s="945">
        <v>0.25</v>
      </c>
      <c r="E59" s="642"/>
      <c r="F59" s="886">
        <f t="shared" si="15"/>
        <v>0</v>
      </c>
      <c r="G59" s="3006"/>
      <c r="H59" s="887" t="str">
        <f>项目基本情况!B37</f>
        <v>七级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558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558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335</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335</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1216.8699999999999</v>
      </c>
      <c r="F65" s="645">
        <f>IF(B46="楼面地价",SUM(F56:F64),ROUND(C48*E65/10000,0))</f>
        <v>1086</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3463" t="s">
        <v>3595</v>
      </c>
      <c r="D107" s="3463" t="s">
        <v>3596</v>
      </c>
      <c r="E107" s="3463" t="s">
        <v>3597</v>
      </c>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10000(含)-20000</v>
      </c>
      <c r="E115" s="478" t="str">
        <f t="shared" si="25"/>
        <v>20000(含)-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20000</v>
      </c>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64" t="s">
        <v>3598</v>
      </c>
      <c r="D122" s="3464" t="s">
        <v>3599</v>
      </c>
      <c r="E122" s="3464" t="s">
        <v>3594</v>
      </c>
      <c r="F122" s="3464" t="s">
        <v>3600</v>
      </c>
      <c r="G122" s="3464" t="s">
        <v>3601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41" t="s">
        <v>1775</v>
      </c>
      <c r="Q4" s="3742"/>
      <c r="R4" s="3738" t="s">
        <v>1771</v>
      </c>
      <c r="S4" s="3739"/>
      <c r="T4" s="3738" t="s">
        <v>1772</v>
      </c>
      <c r="U4" s="3739"/>
      <c r="V4" s="3693" t="s">
        <v>1773</v>
      </c>
      <c r="W4" s="3693"/>
      <c r="X4" s="1354"/>
      <c r="Y4" s="3738" t="s">
        <v>1775</v>
      </c>
      <c r="Z4" s="3739"/>
      <c r="AA4" s="3737" t="s">
        <v>1771</v>
      </c>
      <c r="AB4" s="3660" t="s">
        <v>1772</v>
      </c>
      <c r="AC4" s="3737" t="s">
        <v>1773</v>
      </c>
    </row>
    <row r="5" spans="1:29" ht="15">
      <c r="A5" s="358"/>
      <c r="B5" s="359"/>
      <c r="C5" s="3670" t="s">
        <v>1673</v>
      </c>
      <c r="D5" s="3671"/>
      <c r="E5" s="3740" t="s">
        <v>1674</v>
      </c>
      <c r="F5" s="3669"/>
      <c r="G5" s="3670" t="s">
        <v>1675</v>
      </c>
      <c r="H5" s="3671"/>
      <c r="I5" s="3670" t="s">
        <v>1676</v>
      </c>
      <c r="J5" s="3671"/>
      <c r="K5" s="559"/>
      <c r="L5" s="2714"/>
      <c r="M5" s="2715"/>
      <c r="N5" s="2715"/>
      <c r="O5" s="2715"/>
      <c r="P5" s="3743"/>
      <c r="Q5" s="3687"/>
      <c r="R5" s="3666"/>
      <c r="S5" s="3667"/>
      <c r="T5" s="3666"/>
      <c r="U5" s="3667"/>
      <c r="V5" s="3693"/>
      <c r="W5" s="3693"/>
      <c r="X5" s="1354"/>
      <c r="Y5" s="3666"/>
      <c r="Z5" s="3667"/>
      <c r="AA5" s="3660"/>
      <c r="AB5" s="3660"/>
      <c r="AC5" s="3660"/>
    </row>
    <row r="6" spans="1:29" ht="15.75" thickBot="1">
      <c r="A6" s="360"/>
      <c r="B6" s="361"/>
      <c r="C6" s="3753" t="s">
        <v>1919</v>
      </c>
      <c r="D6" s="3754"/>
      <c r="E6" s="3755" t="s">
        <v>1919</v>
      </c>
      <c r="F6" s="3756"/>
      <c r="G6" s="3753" t="s">
        <v>1919</v>
      </c>
      <c r="H6" s="3754"/>
      <c r="I6" s="3753" t="s">
        <v>1919</v>
      </c>
      <c r="J6" s="3754"/>
      <c r="K6" s="559" t="s">
        <v>1678</v>
      </c>
      <c r="L6" s="2714"/>
      <c r="M6" s="2715"/>
      <c r="N6" s="2715"/>
      <c r="O6" s="2715"/>
      <c r="P6" s="3744"/>
      <c r="Q6" s="3689"/>
      <c r="R6" s="3666"/>
      <c r="S6" s="3667"/>
      <c r="T6" s="3690"/>
      <c r="U6" s="3691"/>
      <c r="V6" s="3693"/>
      <c r="W6" s="3693"/>
      <c r="X6" s="1354"/>
      <c r="Y6" s="3690"/>
      <c r="Z6" s="3691"/>
      <c r="AA6" s="3661"/>
      <c r="AB6" s="3661"/>
      <c r="AC6" s="3661"/>
    </row>
    <row r="7" spans="1:29" s="108" customFormat="1" ht="15.75" thickBot="1">
      <c r="A7" s="362" t="s">
        <v>1679</v>
      </c>
      <c r="B7" s="363"/>
      <c r="C7" s="364">
        <f>'数据-取费表'!B2</f>
        <v>45124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2" t="s">
        <v>1680</v>
      </c>
      <c r="Q7" s="3696"/>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8"/>
      <c r="M10" s="2719"/>
      <c r="N10" s="2719"/>
      <c r="O10" s="2772"/>
      <c r="P10" s="3706"/>
      <c r="Q10" s="1342" t="str">
        <f t="shared" si="6"/>
        <v>土地使用年限（年）</v>
      </c>
      <c r="R10" s="701" t="s">
        <v>14</v>
      </c>
      <c r="S10" s="702">
        <f t="shared" si="0"/>
        <v>128</v>
      </c>
      <c r="T10" s="701" t="s">
        <v>14</v>
      </c>
      <c r="U10" s="702">
        <f t="shared" si="1"/>
        <v>128</v>
      </c>
      <c r="V10" s="701" t="s">
        <v>14</v>
      </c>
      <c r="W10" s="702">
        <f t="shared" si="2"/>
        <v>128</v>
      </c>
      <c r="X10" s="703"/>
      <c r="Y10" s="3632"/>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1" t="str">
        <f t="shared" si="6"/>
        <v>产业集聚程度</v>
      </c>
      <c r="R15" s="705" t="s">
        <v>14</v>
      </c>
      <c r="S15" s="706">
        <f t="shared" si="0"/>
        <v>100</v>
      </c>
      <c r="T15" s="705" t="s">
        <v>14</v>
      </c>
      <c r="U15" s="706">
        <f t="shared" si="1"/>
        <v>100</v>
      </c>
      <c r="V15" s="705" t="s">
        <v>14</v>
      </c>
      <c r="W15" s="706">
        <f t="shared" si="2"/>
        <v>100</v>
      </c>
      <c r="X15" s="1354"/>
      <c r="Y15" s="369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0"/>
      <c r="Q16" s="1351"/>
      <c r="R16" s="705"/>
      <c r="S16" s="706"/>
      <c r="T16" s="705"/>
      <c r="U16" s="706"/>
      <c r="V16" s="705"/>
      <c r="W16" s="706"/>
      <c r="X16" s="1354"/>
      <c r="Y16" s="370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1" t="str">
        <f>B17</f>
        <v>交通便捷度</v>
      </c>
      <c r="R17" s="705" t="s">
        <v>14</v>
      </c>
      <c r="S17" s="706">
        <f>F17</f>
        <v>100</v>
      </c>
      <c r="T17" s="705" t="s">
        <v>14</v>
      </c>
      <c r="U17" s="706">
        <f>H17</f>
        <v>100</v>
      </c>
      <c r="V17" s="705" t="s">
        <v>14</v>
      </c>
      <c r="W17" s="706">
        <f>J17</f>
        <v>100</v>
      </c>
      <c r="X17" s="1354"/>
      <c r="Y17" s="370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0"/>
      <c r="Q18" s="1351"/>
      <c r="R18" s="705"/>
      <c r="S18" s="706"/>
      <c r="T18" s="705"/>
      <c r="U18" s="706"/>
      <c r="V18" s="705"/>
      <c r="W18" s="706"/>
      <c r="X18" s="1354"/>
      <c r="Y18" s="370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1" t="str">
        <f t="shared" ref="Q19:Q33" si="8">B19</f>
        <v>区域土地利用方向</v>
      </c>
      <c r="R19" s="705" t="s">
        <v>14</v>
      </c>
      <c r="S19" s="706">
        <f>F19</f>
        <v>100</v>
      </c>
      <c r="T19" s="705" t="s">
        <v>14</v>
      </c>
      <c r="U19" s="706">
        <f>H19</f>
        <v>100</v>
      </c>
      <c r="V19" s="705" t="s">
        <v>14</v>
      </c>
      <c r="W19" s="706">
        <f>J19</f>
        <v>100</v>
      </c>
      <c r="X19" s="1354"/>
      <c r="Y19" s="370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0"/>
      <c r="Q20" s="1351"/>
      <c r="R20" s="705"/>
      <c r="S20" s="706"/>
      <c r="T20" s="705"/>
      <c r="U20" s="706"/>
      <c r="V20" s="705"/>
      <c r="W20" s="706"/>
      <c r="X20" s="1354"/>
      <c r="Y20" s="370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1" t="str">
        <f t="shared" si="8"/>
        <v>环境状况</v>
      </c>
      <c r="R21" s="705" t="s">
        <v>14</v>
      </c>
      <c r="S21" s="706">
        <f>F21</f>
        <v>100</v>
      </c>
      <c r="T21" s="705" t="s">
        <v>14</v>
      </c>
      <c r="U21" s="706">
        <f>H21</f>
        <v>100</v>
      </c>
      <c r="V21" s="705" t="s">
        <v>14</v>
      </c>
      <c r="W21" s="706">
        <f>J21</f>
        <v>100</v>
      </c>
      <c r="X21" s="1354"/>
      <c r="Y21" s="370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0"/>
      <c r="Q22" s="1351"/>
      <c r="R22" s="705"/>
      <c r="S22" s="706"/>
      <c r="T22" s="705"/>
      <c r="U22" s="706"/>
      <c r="V22" s="705"/>
      <c r="W22" s="706"/>
      <c r="X22" s="1354"/>
      <c r="Y22" s="370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2" t="str">
        <f t="shared" si="8"/>
        <v>公共配套设施</v>
      </c>
      <c r="R23" s="701" t="s">
        <v>14</v>
      </c>
      <c r="S23" s="702">
        <f>F23</f>
        <v>100</v>
      </c>
      <c r="T23" s="701" t="s">
        <v>14</v>
      </c>
      <c r="U23" s="702">
        <f>H23</f>
        <v>100</v>
      </c>
      <c r="V23" s="701" t="s">
        <v>14</v>
      </c>
      <c r="W23" s="702">
        <f>J23</f>
        <v>100</v>
      </c>
      <c r="X23" s="703"/>
      <c r="Y23" s="370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0"/>
      <c r="Q24" s="1342"/>
      <c r="R24" s="701"/>
      <c r="S24" s="702"/>
      <c r="T24" s="701"/>
      <c r="U24" s="702"/>
      <c r="V24" s="701"/>
      <c r="W24" s="702"/>
      <c r="X24" s="703"/>
      <c r="Y24" s="370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2"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0"/>
      <c r="Q26" s="1342"/>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1" t="str">
        <f t="shared" si="8"/>
        <v>毗邻道路的类型与等级</v>
      </c>
      <c r="R28" s="705" t="s">
        <v>14</v>
      </c>
      <c r="S28" s="706">
        <f t="shared" si="10"/>
        <v>100</v>
      </c>
      <c r="T28" s="705" t="s">
        <v>14</v>
      </c>
      <c r="U28" s="706">
        <f t="shared" si="11"/>
        <v>100</v>
      </c>
      <c r="V28" s="705" t="s">
        <v>14</v>
      </c>
      <c r="W28" s="706">
        <f t="shared" si="12"/>
        <v>100</v>
      </c>
      <c r="X28" s="1354"/>
      <c r="Y28" s="370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0"/>
      <c r="Q29" s="1351"/>
      <c r="R29" s="705"/>
      <c r="S29" s="706"/>
      <c r="T29" s="705"/>
      <c r="U29" s="706"/>
      <c r="V29" s="705"/>
      <c r="W29" s="706"/>
      <c r="X29" s="1354"/>
      <c r="Y29" s="370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1" t="str">
        <f t="shared" si="8"/>
        <v>土地级别</v>
      </c>
      <c r="R30" s="705" t="s">
        <v>14</v>
      </c>
      <c r="S30" s="706">
        <f t="shared" si="10"/>
        <v>100</v>
      </c>
      <c r="T30" s="705" t="s">
        <v>14</v>
      </c>
      <c r="U30" s="706">
        <f t="shared" si="11"/>
        <v>100</v>
      </c>
      <c r="V30" s="705" t="s">
        <v>14</v>
      </c>
      <c r="W30" s="706">
        <f t="shared" si="12"/>
        <v>100</v>
      </c>
      <c r="X30" s="1354"/>
      <c r="Y30" s="370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1">
        <f t="shared" si="8"/>
        <v>111</v>
      </c>
      <c r="R31" s="705" t="s">
        <v>14</v>
      </c>
      <c r="S31" s="706">
        <f t="shared" si="10"/>
        <v>100</v>
      </c>
      <c r="T31" s="705" t="s">
        <v>14</v>
      </c>
      <c r="U31" s="706">
        <f t="shared" si="11"/>
        <v>100</v>
      </c>
      <c r="V31" s="705" t="s">
        <v>14</v>
      </c>
      <c r="W31" s="706">
        <f t="shared" si="12"/>
        <v>100</v>
      </c>
      <c r="X31" s="1354"/>
      <c r="Y31" s="370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8" t="s">
        <v>1696</v>
      </c>
      <c r="Q32" s="1351">
        <f t="shared" si="8"/>
        <v>111</v>
      </c>
      <c r="R32" s="705" t="s">
        <v>14</v>
      </c>
      <c r="S32" s="706">
        <f t="shared" si="10"/>
        <v>100</v>
      </c>
      <c r="T32" s="705" t="s">
        <v>14</v>
      </c>
      <c r="U32" s="706">
        <f t="shared" si="11"/>
        <v>100</v>
      </c>
      <c r="V32" s="705" t="s">
        <v>14</v>
      </c>
      <c r="W32" s="706">
        <f t="shared" si="12"/>
        <v>100</v>
      </c>
      <c r="X32" s="1354"/>
      <c r="Y32" s="370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4"/>
      <c r="Q33" s="1351">
        <f t="shared" si="8"/>
        <v>111</v>
      </c>
      <c r="R33" s="708" t="s">
        <v>14</v>
      </c>
      <c r="S33" s="709">
        <f t="shared" si="10"/>
        <v>100</v>
      </c>
      <c r="T33" s="708" t="s">
        <v>14</v>
      </c>
      <c r="U33" s="709">
        <f t="shared" si="11"/>
        <v>100</v>
      </c>
      <c r="V33" s="708" t="s">
        <v>14</v>
      </c>
      <c r="W33" s="709">
        <f t="shared" si="12"/>
        <v>100</v>
      </c>
      <c r="X33" s="710"/>
      <c r="Y33" s="370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4"/>
      <c r="Q34" s="1351" t="str">
        <f>B34</f>
        <v>宗地面积</v>
      </c>
      <c r="R34" s="705" t="s">
        <v>14</v>
      </c>
      <c r="S34" s="706" t="e">
        <f t="shared" si="10"/>
        <v>#N/A</v>
      </c>
      <c r="T34" s="705" t="s">
        <v>14</v>
      </c>
      <c r="U34" s="706" t="e">
        <f t="shared" si="11"/>
        <v>#N/A</v>
      </c>
      <c r="V34" s="705" t="s">
        <v>14</v>
      </c>
      <c r="W34" s="706" t="e">
        <f t="shared" si="12"/>
        <v>#N/A</v>
      </c>
      <c r="X34" s="1354"/>
      <c r="Y34" s="370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4"/>
      <c r="Q35" s="1351" t="str">
        <f t="shared" ref="Q35:Q40" si="14">B35</f>
        <v>宗地形状</v>
      </c>
      <c r="R35" s="705" t="s">
        <v>14</v>
      </c>
      <c r="S35" s="706">
        <f t="shared" si="10"/>
        <v>100</v>
      </c>
      <c r="T35" s="705" t="s">
        <v>14</v>
      </c>
      <c r="U35" s="706">
        <f t="shared" si="11"/>
        <v>100</v>
      </c>
      <c r="V35" s="705" t="s">
        <v>14</v>
      </c>
      <c r="W35" s="706">
        <f t="shared" si="12"/>
        <v>100</v>
      </c>
      <c r="X35" s="1354"/>
      <c r="Y35" s="370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4"/>
      <c r="Q36" s="1351"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4" t="s">
        <v>1696</v>
      </c>
      <c r="Q37" s="1351" t="str">
        <f t="shared" si="14"/>
        <v>工程地质条件</v>
      </c>
      <c r="R37" s="705" t="s">
        <v>14</v>
      </c>
      <c r="S37" s="706">
        <f t="shared" si="10"/>
        <v>100</v>
      </c>
      <c r="T37" s="705" t="s">
        <v>14</v>
      </c>
      <c r="U37" s="706">
        <f t="shared" si="11"/>
        <v>100</v>
      </c>
      <c r="V37" s="705" t="s">
        <v>14</v>
      </c>
      <c r="W37" s="706">
        <f t="shared" si="12"/>
        <v>100</v>
      </c>
      <c r="X37" s="1354"/>
      <c r="Y37" s="370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4"/>
      <c r="Q38" s="1351">
        <f t="shared" si="14"/>
        <v>111</v>
      </c>
      <c r="R38" s="705" t="s">
        <v>14</v>
      </c>
      <c r="S38" s="706">
        <f t="shared" si="10"/>
        <v>100</v>
      </c>
      <c r="T38" s="705" t="s">
        <v>14</v>
      </c>
      <c r="U38" s="706">
        <f t="shared" si="11"/>
        <v>100</v>
      </c>
      <c r="V38" s="705" t="s">
        <v>14</v>
      </c>
      <c r="W38" s="706">
        <f t="shared" si="12"/>
        <v>100</v>
      </c>
      <c r="X38" s="1354"/>
      <c r="Y38" s="370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4"/>
      <c r="Q39" s="1351">
        <f t="shared" si="14"/>
        <v>111</v>
      </c>
      <c r="R39" s="705" t="s">
        <v>14</v>
      </c>
      <c r="S39" s="706">
        <f t="shared" si="10"/>
        <v>100</v>
      </c>
      <c r="T39" s="705" t="s">
        <v>14</v>
      </c>
      <c r="U39" s="706">
        <f t="shared" si="11"/>
        <v>100</v>
      </c>
      <c r="V39" s="705" t="s">
        <v>14</v>
      </c>
      <c r="W39" s="706">
        <f t="shared" si="12"/>
        <v>100</v>
      </c>
      <c r="X39" s="1354"/>
      <c r="Y39" s="370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4"/>
      <c r="Q40" s="1351">
        <f t="shared" si="14"/>
        <v>111</v>
      </c>
      <c r="R40" s="708" t="s">
        <v>14</v>
      </c>
      <c r="S40" s="709">
        <f t="shared" si="10"/>
        <v>100</v>
      </c>
      <c r="T40" s="708" t="s">
        <v>14</v>
      </c>
      <c r="U40" s="709">
        <f t="shared" si="11"/>
        <v>100</v>
      </c>
      <c r="V40" s="708" t="s">
        <v>14</v>
      </c>
      <c r="W40" s="709">
        <f t="shared" si="12"/>
        <v>100</v>
      </c>
      <c r="X40" s="710"/>
      <c r="Y40" s="370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6" t="str">
        <f>A41</f>
        <v>成交单价</v>
      </c>
      <c r="Q41" s="3706"/>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5" t="str">
        <f>A43</f>
        <v>估价对象XX用房的比较价值（楼面单价，元/平方米）</v>
      </c>
      <c r="Q43" s="3746"/>
      <c r="R43" s="3751" t="e">
        <f>ROUND(IF(D42="简单平均",AVERAGE(R42:W42),R42*F42+T42*H42+V42*J42),0)</f>
        <v>#DIV/0!</v>
      </c>
      <c r="S43" s="3751"/>
      <c r="T43" s="3751"/>
      <c r="U43" s="3751"/>
      <c r="V43" s="3751"/>
      <c r="W43" s="375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0" t="s">
        <v>1887</v>
      </c>
      <c r="H50" s="375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1216.8699999999999</v>
      </c>
      <c r="F51" s="639" t="e">
        <f t="shared" ref="F51:F60" si="15">ROUND(B51*E51/10000,0)</f>
        <v>#DIV/0!</v>
      </c>
      <c r="G51" s="3676"/>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七级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七级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七级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527.48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909</v>
      </c>
      <c r="C2" s="2144" t="s">
        <v>2074</v>
      </c>
      <c r="D2" s="2144" t="s">
        <v>2075</v>
      </c>
      <c r="E2" s="2611">
        <f ca="1">SUMIF(E6:E13,"&lt;&gt;#ref!",E6:E13)</f>
        <v>1216.8699999999999</v>
      </c>
      <c r="F2" s="2792"/>
      <c r="G2" s="2792"/>
      <c r="H2" s="2792"/>
      <c r="I2" s="2792"/>
      <c r="J2" s="2792"/>
      <c r="K2" s="2792"/>
      <c r="L2" s="2792"/>
      <c r="M2" s="2792"/>
      <c r="N2" s="2792"/>
      <c r="O2" s="2792"/>
      <c r="P2" s="2792"/>
    </row>
    <row r="3" spans="1:16" ht="15.75">
      <c r="A3" s="2144" t="s">
        <v>2076</v>
      </c>
      <c r="B3" s="2601">
        <f ca="1">ROUND(B2*10000/E2,0)</f>
        <v>7470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909</v>
      </c>
      <c r="C6" s="2144" t="s">
        <v>2074</v>
      </c>
      <c r="D6" s="2792"/>
      <c r="E6" s="2611">
        <f ca="1">SUMIF(INDIRECT("'"&amp;A6&amp;"'"&amp;"!C:C"),"建筑面积",INDIRECT("'"&amp;A6&amp;"'"&amp;"!D:D"))</f>
        <v>1216.8699999999999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K23" sqref="K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1216.8699999999999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909</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11025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7470</v>
      </c>
      <c r="C3" s="1998" t="s">
        <v>1941</v>
      </c>
      <c r="D3" s="1999" t="s">
        <v>1942</v>
      </c>
      <c r="E3" s="3419" t="s">
        <v>3413</v>
      </c>
      <c r="F3" s="2003" t="s">
        <v>3388</v>
      </c>
      <c r="G3" s="752">
        <f>IF(F3="宗地容积率",'数据-汇总表'!I4,IF(F3="估价对象容积率",'数据-汇总表'!I6,'数据-汇总表'!I7))</f>
        <v>2.31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8690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7344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8700</v>
      </c>
      <c r="D5" s="1338">
        <f>ROUND(C6*C17+C20,0)</f>
        <v>8700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6477</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6225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8700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2.31</v>
      </c>
      <c r="AA7" s="1215"/>
      <c r="AB7" s="1215"/>
      <c r="AC7" s="1216"/>
      <c r="AD7" s="1217"/>
      <c r="AE7" s="1217"/>
      <c r="AF7" s="1217"/>
      <c r="AG7" s="1217"/>
      <c r="AH7" s="1217"/>
      <c r="AI7" s="1217"/>
      <c r="AJ7" s="1218"/>
    </row>
    <row r="8" spans="1:36" ht="25.5">
      <c r="A8" s="3298"/>
      <c r="B8" s="170" t="s">
        <v>1957</v>
      </c>
      <c r="C8" s="2025" t="s">
        <v>3389</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7" t="s">
        <v>1960</v>
      </c>
      <c r="X8" s="376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4" t="s">
        <v>3260</v>
      </c>
      <c r="B20" s="167" t="s">
        <v>1994</v>
      </c>
      <c r="C20" s="3324">
        <f>ROUND(IF(F21="与级别开发程度一致",0,(G21-E21)/C21),0)</f>
        <v>0</v>
      </c>
      <c r="D20" s="3340" t="s">
        <v>1998</v>
      </c>
      <c r="E20" s="3341"/>
      <c r="F20" s="3780" t="s">
        <v>1995</v>
      </c>
      <c r="G20" s="3781"/>
      <c r="H20" s="3325" t="s">
        <v>3390</v>
      </c>
      <c r="I20" s="3325" t="s">
        <v>3391</v>
      </c>
      <c r="J20" s="3326" t="s">
        <v>3392</v>
      </c>
      <c r="K20" s="2046" t="s">
        <v>3393</v>
      </c>
      <c r="L20" s="2046" t="s">
        <v>3394</v>
      </c>
      <c r="M20" s="2046" t="s">
        <v>3395</v>
      </c>
      <c r="N20" s="2046" t="s">
        <v>3396</v>
      </c>
      <c r="O20" s="2047" t="s">
        <v>3397</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5"/>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1">
        <v>44197</v>
      </c>
      <c r="F23" s="2053" t="s">
        <v>2003</v>
      </c>
      <c r="G23" s="762">
        <f>'数据-取费表'!B2</f>
        <v>45124</v>
      </c>
      <c r="H23" s="3342" t="s">
        <v>3261</v>
      </c>
      <c r="I23" s="3343" t="str">
        <f>IF(H23="季度增幅（自定义）",SUMIF(N25:N28,E2,O25:O28),"")</f>
        <v/>
      </c>
      <c r="J23" s="3445" t="s">
        <v>3399</v>
      </c>
      <c r="K23" s="1125"/>
      <c r="L23" s="2054" t="s">
        <v>2004</v>
      </c>
      <c r="M23" s="1327">
        <f>ROUND(SUMIF(地价!B2:G2,E2,地价!B16:G16),0)</f>
        <v>350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0.80089999999999995</v>
      </c>
      <c r="D24" s="2059" t="s">
        <v>2007</v>
      </c>
      <c r="E24" s="1334">
        <f>存贷款利率!E23/100</f>
        <v>4.3499999999999997E-2</v>
      </c>
      <c r="F24" s="2059" t="s">
        <v>1999</v>
      </c>
      <c r="G24" s="768">
        <f>SUMIF(M30:Q30,E2,M33:Q33)</f>
        <v>5.5E-2</v>
      </c>
      <c r="H24" s="2059" t="s">
        <v>2008</v>
      </c>
      <c r="I24" s="769">
        <f>SUMIF('数据-取费表'!C6:C15,E2,'数据-取费表'!F6:F15)/COUNTIF('数据-取费表'!C6:C15,E2)</f>
        <v>25.58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1.0176000000000001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1.0176000000000001</v>
      </c>
      <c r="E26" s="752">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52">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1.0258</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909</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7470</v>
      </c>
      <c r="D33" s="2097">
        <f>'数据-汇总表'!E19</f>
        <v>1216.8699999999999</v>
      </c>
      <c r="E33" s="773">
        <f>ROUND(C33*D33/10000,0)</f>
        <v>909</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1868</v>
      </c>
      <c r="D34" s="2102"/>
      <c r="E34" s="773">
        <f>ROUND(IF(B25="楼层修正",SUM(V2:V16)*M40,C34*D34/10000),0)</f>
        <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8"/>
      <c r="B37" s="2112" t="s">
        <v>2036</v>
      </c>
      <c r="C37" s="175">
        <f>ROUND(D5*C22*C23*C24*C28*F37,0)</f>
        <v>4404</v>
      </c>
      <c r="D37" s="2097"/>
      <c r="E37" s="171">
        <f>ROUND(C37*D37/10000,0)</f>
        <v>0</v>
      </c>
      <c r="F37" s="171">
        <f>SUMIF(修正!A57:A68,G2,修正!B57:B68)</f>
        <v>0.6</v>
      </c>
      <c r="G37" s="171">
        <f>ROUND(IF(E2="工业",C37*$M$42,C37*$M$41),0)</f>
        <v>1101</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9"/>
      <c r="B38" s="2040" t="s">
        <v>2037</v>
      </c>
      <c r="C38" s="175">
        <f>ROUND(D5*C22*C23*C24*C28*F38,0)</f>
        <v>2202</v>
      </c>
      <c r="D38" s="2097"/>
      <c r="E38" s="171">
        <f t="shared" ref="E38:E42" si="4">ROUND(C38*D38/10000,0)</f>
        <v>0</v>
      </c>
      <c r="F38" s="171">
        <f>SUMIF(修正!A57:A68,G2,修正!C57:C68)</f>
        <v>0.3</v>
      </c>
      <c r="G38" s="171">
        <f>ROUND(IF(E2="工业",C38*$M$42,C38*$M$41),0)</f>
        <v>551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9"/>
      <c r="B39" s="2040" t="s">
        <v>3264</v>
      </c>
      <c r="C39" s="175">
        <f>ROUND(D5*C22*C23*C24*C28*F39,0)</f>
        <v>1835</v>
      </c>
      <c r="D39" s="2097"/>
      <c r="E39" s="171">
        <f t="shared" si="4"/>
        <v>0</v>
      </c>
      <c r="F39" s="171">
        <f>SUMIF(修正!A57:A68,G2,修正!D57:D68)</f>
        <v>0.25</v>
      </c>
      <c r="G39" s="171">
        <f>ROUND(IF(E2="工业",C39*$M$42,C39*$M$41),0)</f>
        <v>459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1835</v>
      </c>
      <c r="D40" s="2097"/>
      <c r="E40" s="171">
        <f t="shared" si="4"/>
        <v>0</v>
      </c>
      <c r="F40" s="175">
        <f>SUMIF(修正!A57:A68,G2,修正!E57:E68)</f>
        <v>0.25</v>
      </c>
      <c r="G40" s="171">
        <f>ROUND(IF(E2="工业",C40*$M$42,C40*$M$41),0)</f>
        <v>459</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3400</v>
      </c>
      <c r="D50" s="1065">
        <f t="shared" ref="D50:D58" si="7">SUMIF($J$49:$N$49,C50,J50:N50)</f>
        <v>0</v>
      </c>
      <c r="E50" s="744" t="e">
        <f>ROUND(SUM(D50:D58),4)</f>
        <v>#VALUE!</v>
      </c>
      <c r="F50" s="1813"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3400</v>
      </c>
      <c r="D51" s="1065">
        <f t="shared" si="7"/>
        <v>0</v>
      </c>
      <c r="E51" s="745"/>
      <c r="F51" s="1813"/>
      <c r="G51" s="1063" t="str">
        <f t="shared" ref="G51:G58"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t="s">
        <v>3401</v>
      </c>
      <c r="D52" s="1065" t="e">
        <f t="shared" si="7"/>
        <v>#VALUE!</v>
      </c>
      <c r="E52" s="745"/>
      <c r="F52" s="1813"/>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29" t="s">
        <v>2054</v>
      </c>
      <c r="B53" s="2134" t="s">
        <v>2055</v>
      </c>
      <c r="C53" s="2043" t="s">
        <v>3401</v>
      </c>
      <c r="D53" s="1065" t="e">
        <f t="shared" si="7"/>
        <v>#VALUE!</v>
      </c>
      <c r="E53" s="745"/>
      <c r="F53" s="1813"/>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3400</v>
      </c>
      <c r="D54" s="1065">
        <f t="shared" si="7"/>
        <v>0</v>
      </c>
      <c r="E54" s="745"/>
      <c r="F54" s="1813"/>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29" t="s">
        <v>2057</v>
      </c>
      <c r="B55" s="2135" t="s">
        <v>2058</v>
      </c>
      <c r="C55" s="2043" t="s">
        <v>3401</v>
      </c>
      <c r="D55" s="1065" t="e">
        <f t="shared" si="7"/>
        <v>#VALUE!</v>
      </c>
      <c r="E55" s="745"/>
      <c r="F55" s="1813"/>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3400</v>
      </c>
      <c r="D56" s="1065">
        <f t="shared" si="7"/>
        <v>0</v>
      </c>
      <c r="E56" s="745"/>
      <c r="F56" s="1813"/>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3402</v>
      </c>
      <c r="D57" s="1065" t="e">
        <f t="shared" si="7"/>
        <v>#VALUE!</v>
      </c>
      <c r="E57" s="745"/>
      <c r="F57" s="1813"/>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3400</v>
      </c>
      <c r="D58" s="1065">
        <f t="shared" si="7"/>
        <v>0</v>
      </c>
      <c r="E58" s="746"/>
      <c r="F58" s="1813"/>
      <c r="G58" s="1063" t="str">
        <f t="shared" si="12"/>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5" t="s">
        <v>2062</v>
      </c>
      <c r="B59" s="2126">
        <f>1+E61</f>
        <v>1.0258</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3400</v>
      </c>
      <c r="D61" s="1065">
        <f t="shared" ref="D61:D69" si="13">SUMIF($J$60:$N$60,C61,J61:N61)</f>
        <v>0</v>
      </c>
      <c r="E61" s="744">
        <f>ROUND(SUM(D61:D69),4)</f>
        <v>2.58E-2</v>
      </c>
      <c r="F61" s="1813">
        <f>IF(E2="办公",SUMIF(L1:L12,G2,N1:N12),"——")</f>
        <v>0.13</v>
      </c>
      <c r="G61" s="1063">
        <f>H61</f>
        <v>1.6199999999999999E-2</v>
      </c>
      <c r="H61" s="1066">
        <f t="shared" ref="H61:H69" si="14">IFERROR(ROUNDDOWN($F$61*I61/2,4),"——")</f>
        <v>1.6199999999999999E-2</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3400</v>
      </c>
      <c r="D62" s="1065">
        <f t="shared" si="13"/>
        <v>0</v>
      </c>
      <c r="E62" s="745"/>
      <c r="F62" s="1813"/>
      <c r="G62" s="1063">
        <f t="shared" ref="G62:G69" si="18">H62</f>
        <v>1.6899999999999998E-2</v>
      </c>
      <c r="H62" s="1066">
        <f t="shared" si="14"/>
        <v>1.6899999999999998E-2</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t="s">
        <v>3401</v>
      </c>
      <c r="D63" s="1065">
        <f t="shared" si="13"/>
        <v>7.1000000000000004E-3</v>
      </c>
      <c r="E63" s="745"/>
      <c r="F63" s="1813"/>
      <c r="G63" s="1063">
        <f t="shared" si="18"/>
        <v>7.1000000000000004E-3</v>
      </c>
      <c r="H63" s="1066">
        <f t="shared" si="14"/>
        <v>7.1000000000000004E-3</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29" t="s">
        <v>2054</v>
      </c>
      <c r="B64" s="2134" t="s">
        <v>2055</v>
      </c>
      <c r="C64" s="2043" t="s">
        <v>3401</v>
      </c>
      <c r="D64" s="1065">
        <f t="shared" si="13"/>
        <v>3.2000000000000002E-3</v>
      </c>
      <c r="E64" s="745"/>
      <c r="F64" s="1813"/>
      <c r="G64" s="1063">
        <f t="shared" si="18"/>
        <v>3.2000000000000002E-3</v>
      </c>
      <c r="H64" s="1066">
        <f t="shared" si="14"/>
        <v>3.2000000000000002E-3</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3400</v>
      </c>
      <c r="D65" s="1065">
        <f t="shared" si="13"/>
        <v>0</v>
      </c>
      <c r="E65" s="745"/>
      <c r="F65" s="1813"/>
      <c r="G65" s="1063">
        <f t="shared" si="18"/>
        <v>3.2000000000000002E-3</v>
      </c>
      <c r="H65" s="1066">
        <f t="shared" si="14"/>
        <v>3.2000000000000002E-3</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29" t="s">
        <v>2057</v>
      </c>
      <c r="B66" s="2135" t="s">
        <v>2058</v>
      </c>
      <c r="C66" s="2043" t="s">
        <v>3401</v>
      </c>
      <c r="D66" s="1065">
        <f t="shared" si="13"/>
        <v>3.8999999999999998E-3</v>
      </c>
      <c r="E66" s="745"/>
      <c r="F66" s="1813"/>
      <c r="G66" s="1063">
        <f t="shared" si="18"/>
        <v>3.8999999999999998E-3</v>
      </c>
      <c r="H66" s="1066">
        <f t="shared" si="14"/>
        <v>3.8999999999999998E-3</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3400</v>
      </c>
      <c r="D67" s="1065">
        <f t="shared" si="13"/>
        <v>0</v>
      </c>
      <c r="E67" s="745"/>
      <c r="F67" s="1813"/>
      <c r="G67" s="1063">
        <f t="shared" si="18"/>
        <v>3.8999999999999998E-3</v>
      </c>
      <c r="H67" s="1066">
        <f t="shared" si="14"/>
        <v>3.8999999999999998E-3</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3402</v>
      </c>
      <c r="D68" s="1065">
        <f t="shared" si="13"/>
        <v>1.1599999999999999E-2</v>
      </c>
      <c r="E68" s="745"/>
      <c r="F68" s="1813"/>
      <c r="G68" s="1063">
        <f t="shared" si="18"/>
        <v>5.7999999999999996E-3</v>
      </c>
      <c r="H68" s="1066">
        <f t="shared" si="14"/>
        <v>5.7999999999999996E-3</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3400</v>
      </c>
      <c r="D69" s="1065">
        <f t="shared" si="13"/>
        <v>0</v>
      </c>
      <c r="E69" s="746"/>
      <c r="F69" s="1813"/>
      <c r="G69" s="1063">
        <f t="shared" si="18"/>
        <v>4.4999999999999997E-3</v>
      </c>
      <c r="H69" s="1066">
        <f t="shared" si="14"/>
        <v>4.4999999999999997E-3</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9">SUMIF($J$71:$N$71,C72,J72:N72)</f>
        <v>0</v>
      </c>
      <c r="E72" s="744">
        <f>ROUND(SUM(D72:D80),4)</f>
        <v>0</v>
      </c>
      <c r="F72" s="1813" t="str">
        <f>IF(E2="住宅",SUMIF(L1:L12,G2,N1:N12),"——")</f>
        <v>——</v>
      </c>
      <c r="G72" s="1063"/>
      <c r="H72" s="1066" t="str">
        <f t="shared" ref="H72:H80" si="20">IFERROR(ROUNDDOWN($F$72*I72/2,4),"——")</f>
        <v>——</v>
      </c>
      <c r="I72" s="3366">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9"/>
        <v>0</v>
      </c>
      <c r="E73" s="747"/>
      <c r="F73" s="1813"/>
      <c r="G73" s="1063"/>
      <c r="H73" s="1066" t="str">
        <f t="shared" si="20"/>
        <v>——</v>
      </c>
      <c r="I73" s="3366">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9"/>
        <v>0</v>
      </c>
      <c r="E74" s="747"/>
      <c r="F74" s="1813"/>
      <c r="G74" s="1063"/>
      <c r="H74" s="1066" t="str">
        <f t="shared" si="20"/>
        <v>——</v>
      </c>
      <c r="I74" s="3366">
        <v>0.1</v>
      </c>
      <c r="J74" s="1064">
        <f t="shared" si="21"/>
        <v>0</v>
      </c>
      <c r="K74" s="1064">
        <f t="shared" si="22"/>
        <v>0</v>
      </c>
      <c r="L74" s="1064">
        <v>0</v>
      </c>
      <c r="M74" s="1064">
        <f t="shared" si="23"/>
        <v>0</v>
      </c>
      <c r="N74" s="1064">
        <f t="shared" si="23"/>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9"/>
        <v>0</v>
      </c>
      <c r="E75" s="747"/>
      <c r="F75" s="1813"/>
      <c r="G75" s="1063"/>
      <c r="H75" s="1066" t="str">
        <f t="shared" si="20"/>
        <v>——</v>
      </c>
      <c r="I75" s="3366">
        <v>0.05</v>
      </c>
      <c r="J75" s="1064">
        <f t="shared" si="21"/>
        <v>0</v>
      </c>
      <c r="K75" s="1064">
        <f t="shared" si="22"/>
        <v>0</v>
      </c>
      <c r="L75" s="1064">
        <v>0</v>
      </c>
      <c r="M75" s="1064">
        <f t="shared" si="23"/>
        <v>0</v>
      </c>
      <c r="N75" s="1064">
        <f t="shared" si="23"/>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9"/>
        <v>0</v>
      </c>
      <c r="E76" s="747"/>
      <c r="F76" s="1813"/>
      <c r="G76" s="1063"/>
      <c r="H76" s="1066" t="str">
        <f t="shared" si="20"/>
        <v>——</v>
      </c>
      <c r="I76" s="3366">
        <v>0.08</v>
      </c>
      <c r="J76" s="1064">
        <f t="shared" si="21"/>
        <v>0</v>
      </c>
      <c r="K76" s="1064">
        <f t="shared" si="22"/>
        <v>0</v>
      </c>
      <c r="L76" s="1064">
        <v>0</v>
      </c>
      <c r="M76" s="1064">
        <f t="shared" si="23"/>
        <v>0</v>
      </c>
      <c r="N76" s="1064">
        <f t="shared" si="23"/>
        <v>0</v>
      </c>
      <c r="O76" s="1119"/>
      <c r="P76" s="1119"/>
      <c r="Z76" s="1997"/>
      <c r="AA76" s="2052"/>
      <c r="AG76" s="1121"/>
      <c r="AK76" s="2052"/>
    </row>
    <row r="77" spans="1:37" ht="25.5">
      <c r="A77" s="2129" t="s">
        <v>2060</v>
      </c>
      <c r="B77" s="1325" t="str">
        <f>估价对象房地状况!C22</f>
        <v>估价对象所在区域基础设施水平</v>
      </c>
      <c r="C77" s="2043"/>
      <c r="D77" s="1065">
        <f t="shared" si="19"/>
        <v>0</v>
      </c>
      <c r="E77" s="747"/>
      <c r="F77" s="1813"/>
      <c r="G77" s="1063"/>
      <c r="H77" s="1066" t="str">
        <f t="shared" si="20"/>
        <v>——</v>
      </c>
      <c r="I77" s="3366">
        <v>0.09</v>
      </c>
      <c r="J77" s="1064">
        <f t="shared" si="21"/>
        <v>0</v>
      </c>
      <c r="K77" s="1064">
        <f t="shared" si="22"/>
        <v>0</v>
      </c>
      <c r="L77" s="1064">
        <v>0</v>
      </c>
      <c r="M77" s="1064">
        <f t="shared" si="23"/>
        <v>0</v>
      </c>
      <c r="N77" s="1064">
        <f t="shared" si="23"/>
        <v>0</v>
      </c>
      <c r="O77" s="1119"/>
      <c r="P77" s="1119"/>
      <c r="Z77" s="1997"/>
      <c r="AA77" s="2052"/>
      <c r="AG77" s="1121"/>
      <c r="AK77" s="2052"/>
    </row>
    <row r="78" spans="1:37" ht="24">
      <c r="A78" s="2129" t="s">
        <v>2057</v>
      </c>
      <c r="B78" s="2135" t="s">
        <v>2058</v>
      </c>
      <c r="C78" s="2043"/>
      <c r="D78" s="1065">
        <f t="shared" si="19"/>
        <v>0</v>
      </c>
      <c r="E78" s="747"/>
      <c r="F78" s="1813"/>
      <c r="G78" s="1063"/>
      <c r="H78" s="1066" t="str">
        <f t="shared" si="20"/>
        <v>——</v>
      </c>
      <c r="I78" s="3366">
        <v>0.05</v>
      </c>
      <c r="J78" s="1064">
        <f t="shared" si="21"/>
        <v>0</v>
      </c>
      <c r="K78" s="1064">
        <f t="shared" si="22"/>
        <v>0</v>
      </c>
      <c r="L78" s="1064">
        <v>0</v>
      </c>
      <c r="M78" s="1064">
        <f t="shared" si="23"/>
        <v>0</v>
      </c>
      <c r="N78" s="1064">
        <f t="shared" si="23"/>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9"/>
        <v>0</v>
      </c>
      <c r="E79" s="747"/>
      <c r="F79" s="1813"/>
      <c r="G79" s="1063"/>
      <c r="H79" s="1066" t="str">
        <f t="shared" si="20"/>
        <v>——</v>
      </c>
      <c r="I79" s="3366">
        <v>0.12</v>
      </c>
      <c r="J79" s="1064">
        <f t="shared" si="21"/>
        <v>0</v>
      </c>
      <c r="K79" s="1064">
        <f t="shared" si="22"/>
        <v>0</v>
      </c>
      <c r="L79" s="1064">
        <v>0</v>
      </c>
      <c r="M79" s="1064">
        <f t="shared" si="23"/>
        <v>0</v>
      </c>
      <c r="N79" s="1064">
        <f t="shared" si="23"/>
        <v>0</v>
      </c>
      <c r="Z79" s="1997"/>
      <c r="AA79" s="2052"/>
      <c r="AG79" s="1121"/>
      <c r="AK79" s="2052"/>
    </row>
    <row r="80" spans="1:37" ht="24.75" thickBot="1">
      <c r="A80" s="2137" t="s">
        <v>2068</v>
      </c>
      <c r="B80" s="2141"/>
      <c r="C80" s="2043"/>
      <c r="D80" s="1065">
        <f t="shared" si="19"/>
        <v>0</v>
      </c>
      <c r="E80" s="748"/>
      <c r="F80" s="1813"/>
      <c r="G80" s="1063"/>
      <c r="H80" s="1066" t="str">
        <f t="shared" si="20"/>
        <v>——</v>
      </c>
      <c r="I80" s="3367">
        <v>0.05</v>
      </c>
      <c r="J80" s="1064">
        <f t="shared" si="21"/>
        <v>0</v>
      </c>
      <c r="K80" s="1064">
        <f t="shared" si="22"/>
        <v>0</v>
      </c>
      <c r="L80" s="1064">
        <v>0</v>
      </c>
      <c r="M80" s="1064">
        <f t="shared" si="23"/>
        <v>0</v>
      </c>
      <c r="N80" s="1064">
        <f t="shared" si="23"/>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4">SUMIF($J$82:$N$82,C83,J83:N83)</f>
        <v>0</v>
      </c>
      <c r="E83" s="744">
        <f>ROUND(SUM(D83:D90),4)</f>
        <v>0</v>
      </c>
      <c r="F83" s="1813" t="str">
        <f>IF(E2="工业",SUMIF(L1:L12,G2,N1:N12),"——")</f>
        <v>——</v>
      </c>
      <c r="G83" s="1063"/>
      <c r="H83" s="1066" t="str">
        <f t="shared" ref="H83:H90" si="25">IFERROR(ROUNDDOWN($F$83*I83/2,4),"——")</f>
        <v>——</v>
      </c>
      <c r="I83" s="3366">
        <v>0.26</v>
      </c>
      <c r="J83" s="1064">
        <f t="shared" ref="J83:J90" si="26">K83+$G83</f>
        <v>0</v>
      </c>
      <c r="K83" s="1064">
        <f t="shared" ref="K83:K90" si="27">$L83+$G83</f>
        <v>0</v>
      </c>
      <c r="L83" s="1064">
        <v>0</v>
      </c>
      <c r="M83" s="1064">
        <f t="shared" ref="M83:N90" si="28">L83-$G83</f>
        <v>0</v>
      </c>
      <c r="N83" s="1064">
        <f t="shared" si="28"/>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4"/>
        <v>0</v>
      </c>
      <c r="E84" s="747"/>
      <c r="F84" s="1813"/>
      <c r="G84" s="1063"/>
      <c r="H84" s="1066" t="str">
        <f t="shared" si="25"/>
        <v>——</v>
      </c>
      <c r="I84" s="3366">
        <v>0.3</v>
      </c>
      <c r="J84" s="1064">
        <f t="shared" si="26"/>
        <v>0</v>
      </c>
      <c r="K84" s="1064">
        <f t="shared" si="27"/>
        <v>0</v>
      </c>
      <c r="L84" s="1064">
        <v>0</v>
      </c>
      <c r="M84" s="1064">
        <f t="shared" si="28"/>
        <v>0</v>
      </c>
      <c r="N84" s="1064">
        <f t="shared" si="28"/>
        <v>0</v>
      </c>
      <c r="Z84" s="1997"/>
      <c r="AA84" s="2052"/>
      <c r="AG84" s="1121"/>
      <c r="AK84" s="2052"/>
    </row>
    <row r="85" spans="1:37" ht="36">
      <c r="A85" s="3368" t="s">
        <v>3275</v>
      </c>
      <c r="B85" s="2133">
        <f>估价对象房地状况!G17</f>
        <v>0</v>
      </c>
      <c r="C85" s="2043"/>
      <c r="D85" s="1065">
        <f t="shared" si="24"/>
        <v>0</v>
      </c>
      <c r="E85" s="747"/>
      <c r="F85" s="1813"/>
      <c r="G85" s="1063"/>
      <c r="H85" s="1066" t="str">
        <f t="shared" si="25"/>
        <v>——</v>
      </c>
      <c r="I85" s="3366">
        <v>0.1</v>
      </c>
      <c r="J85" s="1064">
        <f t="shared" si="26"/>
        <v>0</v>
      </c>
      <c r="K85" s="1064">
        <f t="shared" si="27"/>
        <v>0</v>
      </c>
      <c r="L85" s="1064">
        <v>0</v>
      </c>
      <c r="M85" s="1064">
        <f t="shared" si="28"/>
        <v>0</v>
      </c>
      <c r="N85" s="1064">
        <f t="shared" si="28"/>
        <v>0</v>
      </c>
      <c r="Z85" s="1997"/>
      <c r="AA85" s="2052"/>
      <c r="AG85" s="1121"/>
      <c r="AK85" s="2052"/>
    </row>
    <row r="86" spans="1:37" ht="14.25">
      <c r="A86" s="2129" t="s">
        <v>2067</v>
      </c>
      <c r="B86" s="2133">
        <f>估价对象房地状况!G22</f>
        <v>0</v>
      </c>
      <c r="C86" s="2043"/>
      <c r="D86" s="1065">
        <f t="shared" si="24"/>
        <v>0</v>
      </c>
      <c r="E86" s="747"/>
      <c r="F86" s="1813"/>
      <c r="G86" s="1063"/>
      <c r="H86" s="1066" t="str">
        <f t="shared" si="25"/>
        <v>——</v>
      </c>
      <c r="I86" s="3366">
        <v>0.05</v>
      </c>
      <c r="J86" s="1064">
        <f t="shared" si="26"/>
        <v>0</v>
      </c>
      <c r="K86" s="1064">
        <f t="shared" si="27"/>
        <v>0</v>
      </c>
      <c r="L86" s="1064">
        <v>0</v>
      </c>
      <c r="M86" s="1064">
        <f t="shared" si="28"/>
        <v>0</v>
      </c>
      <c r="N86" s="1064">
        <f t="shared" si="28"/>
        <v>0</v>
      </c>
      <c r="Z86" s="1997"/>
      <c r="AA86" s="2052"/>
      <c r="AG86" s="1121"/>
      <c r="AK86" s="2052"/>
    </row>
    <row r="87" spans="1:37" ht="25.5">
      <c r="A87" s="2129" t="s">
        <v>2059</v>
      </c>
      <c r="B87" s="1325" t="str">
        <f>估价对象房地状况!G19</f>
        <v>估价对象所在区域公共配套设施齐备情况</v>
      </c>
      <c r="C87" s="2043"/>
      <c r="D87" s="1065">
        <f t="shared" si="24"/>
        <v>0</v>
      </c>
      <c r="E87" s="747"/>
      <c r="F87" s="1813"/>
      <c r="G87" s="1063"/>
      <c r="H87" s="1066" t="str">
        <f t="shared" si="25"/>
        <v>——</v>
      </c>
      <c r="I87" s="3366">
        <v>0.06</v>
      </c>
      <c r="J87" s="1064">
        <f t="shared" si="26"/>
        <v>0</v>
      </c>
      <c r="K87" s="1064">
        <f t="shared" si="27"/>
        <v>0</v>
      </c>
      <c r="L87" s="1064">
        <v>0</v>
      </c>
      <c r="M87" s="1064">
        <f t="shared" si="28"/>
        <v>0</v>
      </c>
      <c r="N87" s="1064">
        <f t="shared" si="28"/>
        <v>0</v>
      </c>
    </row>
    <row r="88" spans="1:37" ht="25.5">
      <c r="A88" s="2129" t="s">
        <v>2060</v>
      </c>
      <c r="B88" s="1325" t="str">
        <f>估价对象房地状况!G20</f>
        <v>估价对象所在区域基础设施水平</v>
      </c>
      <c r="C88" s="2043"/>
      <c r="D88" s="1065">
        <f t="shared" si="24"/>
        <v>0</v>
      </c>
      <c r="E88" s="747"/>
      <c r="F88" s="1813"/>
      <c r="G88" s="1063"/>
      <c r="H88" s="1066" t="str">
        <f t="shared" si="25"/>
        <v>——</v>
      </c>
      <c r="I88" s="3366">
        <v>0.12</v>
      </c>
      <c r="J88" s="1064">
        <f t="shared" si="26"/>
        <v>0</v>
      </c>
      <c r="K88" s="1064">
        <f t="shared" si="27"/>
        <v>0</v>
      </c>
      <c r="L88" s="1064">
        <v>0</v>
      </c>
      <c r="M88" s="1064">
        <f t="shared" si="28"/>
        <v>0</v>
      </c>
      <c r="N88" s="1064">
        <f t="shared" si="28"/>
        <v>0</v>
      </c>
    </row>
    <row r="89" spans="1:37" ht="24">
      <c r="A89" s="2129" t="s">
        <v>2057</v>
      </c>
      <c r="B89" s="2135" t="s">
        <v>2071</v>
      </c>
      <c r="C89" s="2043"/>
      <c r="D89" s="1065">
        <f t="shared" si="24"/>
        <v>0</v>
      </c>
      <c r="E89" s="747"/>
      <c r="F89" s="1813"/>
      <c r="G89" s="1063"/>
      <c r="H89" s="1066" t="str">
        <f t="shared" si="25"/>
        <v>——</v>
      </c>
      <c r="I89" s="3366">
        <v>0.06</v>
      </c>
      <c r="J89" s="1064">
        <f t="shared" si="26"/>
        <v>0</v>
      </c>
      <c r="K89" s="1064">
        <f t="shared" si="27"/>
        <v>0</v>
      </c>
      <c r="L89" s="1064">
        <v>0</v>
      </c>
      <c r="M89" s="1064">
        <f t="shared" si="28"/>
        <v>0</v>
      </c>
      <c r="N89" s="1064">
        <f t="shared" si="28"/>
        <v>0</v>
      </c>
    </row>
    <row r="90" spans="1:37" ht="39" thickBot="1">
      <c r="A90" s="2137" t="s">
        <v>2072</v>
      </c>
      <c r="B90" s="2142" t="str">
        <f>估价对象房地状况!G18</f>
        <v>该园区内是否有污染型企业，绿化情况，卫生条件，整体环境状况判断</v>
      </c>
      <c r="C90" s="2043"/>
      <c r="D90" s="1065">
        <f t="shared" si="24"/>
        <v>0</v>
      </c>
      <c r="E90" s="748"/>
      <c r="F90" s="1813"/>
      <c r="G90" s="1063"/>
      <c r="H90" s="1066" t="str">
        <f t="shared" si="25"/>
        <v>——</v>
      </c>
      <c r="I90" s="3367">
        <v>0.05</v>
      </c>
      <c r="J90" s="1064">
        <f t="shared" si="26"/>
        <v>0</v>
      </c>
      <c r="K90" s="1064">
        <f t="shared" si="27"/>
        <v>0</v>
      </c>
      <c r="L90" s="1064">
        <v>0</v>
      </c>
      <c r="M90" s="1064">
        <f t="shared" si="28"/>
        <v>0</v>
      </c>
      <c r="N90" s="1064">
        <f t="shared" si="28"/>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3278</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3274</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3279</v>
      </c>
      <c r="B96" s="3384" t="s">
        <v>3290</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3280</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3281</v>
      </c>
      <c r="B98" s="3385" t="s">
        <v>3291</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3282</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3283</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3284</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76" t="s">
        <v>3299</v>
      </c>
      <c r="B103" s="3776"/>
      <c r="C103" s="3776"/>
      <c r="D103" s="3776"/>
      <c r="E103" s="3776"/>
      <c r="F103" s="3776"/>
      <c r="G103" s="3776"/>
      <c r="H103" s="3776"/>
      <c r="I103" s="3776"/>
      <c r="J103" s="3776"/>
      <c r="K103" s="3389"/>
      <c r="L103" s="3389"/>
      <c r="M103" s="3389"/>
      <c r="N103" s="3389"/>
    </row>
    <row r="104" spans="1:14">
      <c r="A104" s="3777" t="s">
        <v>3300</v>
      </c>
      <c r="B104" s="3777" t="s">
        <v>3301</v>
      </c>
      <c r="C104" s="3390" t="s">
        <v>3302</v>
      </c>
      <c r="D104" s="3391"/>
      <c r="E104" s="3391"/>
      <c r="F104" s="3391"/>
      <c r="G104" s="3391"/>
      <c r="H104" s="3391"/>
      <c r="I104" s="3391"/>
      <c r="J104" s="3392"/>
      <c r="K104" s="3393"/>
      <c r="L104" s="3393"/>
      <c r="M104" s="3393"/>
      <c r="N104" s="3393"/>
    </row>
    <row r="105" spans="1:14">
      <c r="A105" s="3777"/>
      <c r="B105" s="377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6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4"/>
      <c r="B111" s="3394" t="s">
        <v>3273</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6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66" t="s">
        <v>3316</v>
      </c>
      <c r="B113" s="3766"/>
      <c r="C113" s="3766"/>
      <c r="D113" s="3766"/>
      <c r="E113" s="3766"/>
      <c r="F113" s="3766"/>
      <c r="G113" s="3766"/>
      <c r="H113" s="3766"/>
      <c r="I113" s="3766"/>
      <c r="J113" s="376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2.31</v>
      </c>
      <c r="C116" s="3399" t="s">
        <v>3318</v>
      </c>
      <c r="D116" s="3400">
        <f>SUMPRODUCT((A118:A122=F116)*(B117:M117=H116)*B118:M122)</f>
        <v>0.90869999999999995</v>
      </c>
      <c r="E116" s="1999" t="s">
        <v>3319</v>
      </c>
      <c r="F116" s="3401" t="str">
        <f>E2</f>
        <v>办公</v>
      </c>
      <c r="G116" s="1999" t="s">
        <v>3320</v>
      </c>
      <c r="H116" s="3401" t="str">
        <f>G2</f>
        <v>七级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0.97140000000000004</v>
      </c>
      <c r="C118" s="3387">
        <f>B118</f>
        <v>0.97140000000000004</v>
      </c>
      <c r="D118" s="3387">
        <f>ROUND(0.949-0.014*B116,4)</f>
        <v>0.91669999999999996</v>
      </c>
      <c r="E118" s="3387">
        <f>D118</f>
        <v>0.91669999999999996</v>
      </c>
      <c r="F118" s="3387">
        <f>E118</f>
        <v>0.91669999999999996</v>
      </c>
      <c r="G118" s="3387">
        <f>F118</f>
        <v>0.91669999999999996</v>
      </c>
      <c r="H118" s="3387">
        <f>G118</f>
        <v>0.91669999999999996</v>
      </c>
      <c r="I118" s="3387">
        <f>ROUND(0.8486-0.018*B116,4)</f>
        <v>0.80700000000000005</v>
      </c>
      <c r="J118" s="3387">
        <f t="shared" ref="J118:M122" si="37">I118</f>
        <v>0.80700000000000005</v>
      </c>
      <c r="K118" s="3387">
        <f t="shared" si="37"/>
        <v>0.80700000000000005</v>
      </c>
      <c r="L118" s="3387">
        <f t="shared" si="37"/>
        <v>0.80700000000000005</v>
      </c>
      <c r="M118" s="3410">
        <f t="shared" si="37"/>
        <v>0.80700000000000005</v>
      </c>
      <c r="N118" s="3397"/>
    </row>
    <row r="119" spans="1:14">
      <c r="A119" s="3409" t="s">
        <v>3334</v>
      </c>
      <c r="B119" s="3387">
        <f>ROUND(0.993-0.0112*B116,4)</f>
        <v>0.96709999999999996</v>
      </c>
      <c r="C119" s="3387">
        <f>B119</f>
        <v>0.96709999999999996</v>
      </c>
      <c r="D119" s="3387">
        <f>ROUND(0.9415-0.0142*B116,4)</f>
        <v>0.90869999999999995</v>
      </c>
      <c r="E119" s="3387">
        <f t="shared" ref="E119:H120" si="38">D119</f>
        <v>0.90869999999999995</v>
      </c>
      <c r="F119" s="3387">
        <f t="shared" si="38"/>
        <v>0.90869999999999995</v>
      </c>
      <c r="G119" s="3387">
        <f t="shared" si="38"/>
        <v>0.90869999999999995</v>
      </c>
      <c r="H119" s="3387">
        <f t="shared" si="38"/>
        <v>0.90869999999999995</v>
      </c>
      <c r="I119" s="3387">
        <f>ROUND(0.838-0.0182*B116,4)</f>
        <v>0.79600000000000004</v>
      </c>
      <c r="J119" s="3387">
        <f t="shared" si="37"/>
        <v>0.79600000000000004</v>
      </c>
      <c r="K119" s="3387">
        <f t="shared" si="37"/>
        <v>0.79600000000000004</v>
      </c>
      <c r="L119" s="3387">
        <f t="shared" si="37"/>
        <v>0.79600000000000004</v>
      </c>
      <c r="M119" s="3410">
        <f t="shared" si="37"/>
        <v>0.79600000000000004</v>
      </c>
      <c r="N119" s="3397"/>
    </row>
    <row r="120" spans="1:14">
      <c r="A120" s="3409" t="s">
        <v>3335</v>
      </c>
      <c r="B120" s="3387">
        <f>ROUND(0.9448-0.0115*B116,4)</f>
        <v>0.91820000000000002</v>
      </c>
      <c r="C120" s="3387">
        <f>B120</f>
        <v>0.91820000000000002</v>
      </c>
      <c r="D120" s="3387">
        <f>ROUND(0.937-0.0145*B116,4)</f>
        <v>0.90349999999999997</v>
      </c>
      <c r="E120" s="3387">
        <f t="shared" si="38"/>
        <v>0.90349999999999997</v>
      </c>
      <c r="F120" s="3387">
        <f t="shared" si="38"/>
        <v>0.90349999999999997</v>
      </c>
      <c r="G120" s="3387">
        <f t="shared" si="38"/>
        <v>0.90349999999999997</v>
      </c>
      <c r="H120" s="3387">
        <f t="shared" si="38"/>
        <v>0.90349999999999997</v>
      </c>
      <c r="I120" s="3387">
        <f>ROUND(0.7965-0.0185*B116,4)</f>
        <v>0.75380000000000003</v>
      </c>
      <c r="J120" s="3387">
        <f t="shared" si="37"/>
        <v>0.75380000000000003</v>
      </c>
      <c r="K120" s="3387">
        <f t="shared" si="37"/>
        <v>0.75380000000000003</v>
      </c>
      <c r="L120" s="3387">
        <f t="shared" si="37"/>
        <v>0.75380000000000003</v>
      </c>
      <c r="M120" s="3410">
        <f t="shared" si="37"/>
        <v>0.75380000000000003</v>
      </c>
      <c r="N120" s="3397"/>
    </row>
    <row r="121" spans="1:14" ht="13.5" thickBot="1">
      <c r="A121" s="3411" t="s">
        <v>3336</v>
      </c>
      <c r="B121" s="3412">
        <f>ROUND(0.7836-0.012*B116,4)</f>
        <v>0.75590000000000002</v>
      </c>
      <c r="C121" s="3412">
        <f>B121</f>
        <v>0.75590000000000002</v>
      </c>
      <c r="D121" s="3412">
        <f>ROUND(0.753-0.015*B116,4)</f>
        <v>0.71840000000000004</v>
      </c>
      <c r="E121" s="3412">
        <f>D121</f>
        <v>0.71840000000000004</v>
      </c>
      <c r="F121" s="3412">
        <f>E121</f>
        <v>0.71840000000000004</v>
      </c>
      <c r="G121" s="3412">
        <f>ROUND(0.6612-0.018*B116,4)</f>
        <v>0.61960000000000004</v>
      </c>
      <c r="H121" s="3412">
        <f>G121</f>
        <v>0.61960000000000004</v>
      </c>
      <c r="I121" s="3412">
        <f>ROUND(0.5905-0.019*B116,4)</f>
        <v>0.54659999999999997</v>
      </c>
      <c r="J121" s="3412">
        <f t="shared" si="37"/>
        <v>0.54659999999999997</v>
      </c>
      <c r="K121" s="3412">
        <f t="shared" si="37"/>
        <v>0.54659999999999997</v>
      </c>
      <c r="L121" s="3412">
        <f t="shared" si="37"/>
        <v>0.54659999999999997</v>
      </c>
      <c r="M121" s="3413">
        <f t="shared" si="37"/>
        <v>0.54659999999999997</v>
      </c>
      <c r="N121" s="3397"/>
    </row>
    <row r="122" spans="1:14">
      <c r="A122" s="3414" t="s">
        <v>2616</v>
      </c>
      <c r="B122" s="3387">
        <f>ROUND(0.9404-0.0106*B116,4)</f>
        <v>0.91590000000000005</v>
      </c>
      <c r="C122" s="3387">
        <f>B122</f>
        <v>0.91590000000000005</v>
      </c>
      <c r="D122" s="3387">
        <f>ROUND(0.8955-0.0135*B116,4)</f>
        <v>0.86429999999999996</v>
      </c>
      <c r="E122" s="3387">
        <f t="shared" ref="E122:H122" si="39">D122</f>
        <v>0.86429999999999996</v>
      </c>
      <c r="F122" s="3387">
        <f t="shared" si="39"/>
        <v>0.86429999999999996</v>
      </c>
      <c r="G122" s="3387">
        <f t="shared" si="39"/>
        <v>0.86429999999999996</v>
      </c>
      <c r="H122" s="3387">
        <f t="shared" si="39"/>
        <v>0.86429999999999996</v>
      </c>
      <c r="I122" s="3387">
        <f>ROUND(0.7632-0.0166*B116,4)</f>
        <v>0.72489999999999999</v>
      </c>
      <c r="J122" s="3387">
        <f t="shared" si="37"/>
        <v>0.72489999999999999</v>
      </c>
      <c r="K122" s="3387">
        <f t="shared" si="37"/>
        <v>0.72489999999999999</v>
      </c>
      <c r="L122" s="3387">
        <f t="shared" si="37"/>
        <v>0.72489999999999999</v>
      </c>
      <c r="M122" s="3410">
        <f t="shared" si="37"/>
        <v>0.72489999999999999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9" t="s">
        <v>2611</v>
      </c>
      <c r="B20" s="3782" t="s">
        <v>2632</v>
      </c>
      <c r="C20" s="3102" t="s">
        <v>2443</v>
      </c>
      <c r="D20" s="3103"/>
      <c r="E20" s="3104">
        <v>1</v>
      </c>
      <c r="F20" s="3105" t="s">
        <v>2444</v>
      </c>
      <c r="G20" s="3105"/>
    </row>
    <row r="21" spans="1:13" ht="19.5" customHeight="1">
      <c r="A21" s="3790"/>
      <c r="B21" s="3783"/>
      <c r="C21" s="3106" t="s">
        <v>2445</v>
      </c>
      <c r="D21" s="3107"/>
      <c r="E21" s="3108">
        <v>1</v>
      </c>
      <c r="F21" s="3105" t="s">
        <v>2446</v>
      </c>
      <c r="G21" s="3105"/>
    </row>
    <row r="22" spans="1:13" ht="19.5" customHeight="1">
      <c r="A22" s="3790"/>
      <c r="B22" s="3783"/>
      <c r="C22" s="3106" t="s">
        <v>2447</v>
      </c>
      <c r="D22" s="3107"/>
      <c r="E22" s="3108">
        <v>0.9</v>
      </c>
      <c r="F22" s="3105" t="s">
        <v>2448</v>
      </c>
      <c r="G22" s="3105"/>
    </row>
    <row r="23" spans="1:13" ht="19.5" customHeight="1">
      <c r="A23" s="3790"/>
      <c r="B23" s="3783"/>
      <c r="C23" s="3106" t="s">
        <v>2449</v>
      </c>
      <c r="D23" s="3107"/>
      <c r="E23" s="3108">
        <v>0.9</v>
      </c>
      <c r="F23" s="3105" t="s">
        <v>2450</v>
      </c>
      <c r="G23" s="3105"/>
    </row>
    <row r="24" spans="1:13" ht="19.5" customHeight="1">
      <c r="A24" s="3790"/>
      <c r="B24" s="3783"/>
      <c r="C24" s="3106" t="s">
        <v>2451</v>
      </c>
      <c r="D24" s="3107"/>
      <c r="E24" s="3108">
        <v>0.8</v>
      </c>
      <c r="F24" s="3105" t="s">
        <v>2452</v>
      </c>
      <c r="G24" s="3105"/>
    </row>
    <row r="25" spans="1:13" ht="19.5" customHeight="1" thickBot="1">
      <c r="A25" s="3791"/>
      <c r="B25" s="3784"/>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5" t="s">
        <v>2635</v>
      </c>
      <c r="B27" s="3782" t="s">
        <v>2616</v>
      </c>
      <c r="C27" s="3102" t="s">
        <v>2456</v>
      </c>
      <c r="D27" s="3103"/>
      <c r="E27" s="3104">
        <v>1</v>
      </c>
      <c r="F27" s="3105" t="s">
        <v>2457</v>
      </c>
      <c r="G27" s="3105"/>
    </row>
    <row r="28" spans="1:13" ht="19.5" customHeight="1">
      <c r="A28" s="3786"/>
      <c r="B28" s="3783"/>
      <c r="C28" s="3106" t="s">
        <v>2458</v>
      </c>
      <c r="D28" s="3107"/>
      <c r="E28" s="3108">
        <v>1</v>
      </c>
      <c r="F28" s="3105" t="s">
        <v>2459</v>
      </c>
      <c r="G28" s="3105"/>
    </row>
    <row r="29" spans="1:13" ht="19.5" customHeight="1">
      <c r="A29" s="3786"/>
      <c r="B29" s="3783"/>
      <c r="C29" s="3106" t="s">
        <v>2460</v>
      </c>
      <c r="D29" s="3107"/>
      <c r="E29" s="3108">
        <v>0.8</v>
      </c>
      <c r="F29" s="3105" t="s">
        <v>2461</v>
      </c>
      <c r="G29" s="3105"/>
    </row>
    <row r="30" spans="1:13" ht="19.5" customHeight="1">
      <c r="A30" s="3786"/>
      <c r="B30" s="3783"/>
      <c r="C30" s="3106" t="s">
        <v>2462</v>
      </c>
      <c r="D30" s="3107"/>
      <c r="E30" s="3108">
        <v>0.8</v>
      </c>
      <c r="F30" s="3105" t="s">
        <v>2463</v>
      </c>
      <c r="G30" s="3105"/>
    </row>
    <row r="31" spans="1:13" ht="19.5" customHeight="1">
      <c r="A31" s="3786"/>
      <c r="B31" s="3783"/>
      <c r="C31" s="3106" t="s">
        <v>2464</v>
      </c>
      <c r="D31" s="3107"/>
      <c r="E31" s="3108">
        <v>0.8</v>
      </c>
      <c r="F31" s="3105" t="s">
        <v>2465</v>
      </c>
      <c r="G31" s="3105"/>
    </row>
    <row r="32" spans="1:13" ht="19.5" customHeight="1">
      <c r="A32" s="3786"/>
      <c r="B32" s="3783"/>
      <c r="C32" s="3106" t="s">
        <v>2466</v>
      </c>
      <c r="D32" s="3107"/>
      <c r="E32" s="3108">
        <v>0.7</v>
      </c>
      <c r="F32" s="3105" t="s">
        <v>2467</v>
      </c>
      <c r="G32" s="3105"/>
    </row>
    <row r="33" spans="1:7" ht="19.5" customHeight="1">
      <c r="A33" s="3786"/>
      <c r="B33" s="3783"/>
      <c r="C33" s="3106" t="s">
        <v>2468</v>
      </c>
      <c r="D33" s="3107"/>
      <c r="E33" s="3108">
        <v>0.8</v>
      </c>
      <c r="F33" s="3105" t="s">
        <v>2469</v>
      </c>
      <c r="G33" s="3105"/>
    </row>
    <row r="34" spans="1:7" ht="19.5" customHeight="1">
      <c r="A34" s="3786"/>
      <c r="B34" s="3783"/>
      <c r="C34" s="3106" t="s">
        <v>2470</v>
      </c>
      <c r="D34" s="3107"/>
      <c r="E34" s="3108">
        <v>0.6</v>
      </c>
      <c r="F34" s="3105" t="s">
        <v>2471</v>
      </c>
      <c r="G34" s="3105"/>
    </row>
    <row r="35" spans="1:7" ht="19.5" customHeight="1">
      <c r="A35" s="3786"/>
      <c r="B35" s="3783"/>
      <c r="C35" s="3106" t="s">
        <v>2472</v>
      </c>
      <c r="D35" s="3107"/>
      <c r="E35" s="3108">
        <v>0.2</v>
      </c>
      <c r="F35" s="3105" t="s">
        <v>2473</v>
      </c>
      <c r="G35" s="3105"/>
    </row>
    <row r="36" spans="1:7" ht="19.5" customHeight="1">
      <c r="A36" s="3786"/>
      <c r="B36" s="3783"/>
      <c r="C36" s="3106" t="s">
        <v>2474</v>
      </c>
      <c r="D36" s="3107"/>
      <c r="E36" s="3108">
        <v>0.2</v>
      </c>
      <c r="F36" s="3105" t="s">
        <v>2475</v>
      </c>
      <c r="G36" s="3105"/>
    </row>
    <row r="37" spans="1:7" ht="19.5" customHeight="1">
      <c r="A37" s="3786"/>
      <c r="B37" s="3788" t="s">
        <v>2636</v>
      </c>
      <c r="C37" s="3106" t="s">
        <v>2476</v>
      </c>
      <c r="D37" s="3107"/>
      <c r="E37" s="3108">
        <v>0.6</v>
      </c>
      <c r="F37" s="3105" t="s">
        <v>2477</v>
      </c>
      <c r="G37" s="3105"/>
    </row>
    <row r="38" spans="1:7" ht="19.5" customHeight="1">
      <c r="A38" s="3786"/>
      <c r="B38" s="3783"/>
      <c r="C38" s="3106" t="s">
        <v>2478</v>
      </c>
      <c r="D38" s="3107"/>
      <c r="E38" s="3108">
        <v>0.6</v>
      </c>
      <c r="F38" s="3105" t="s">
        <v>2479</v>
      </c>
      <c r="G38" s="3105"/>
    </row>
    <row r="39" spans="1:7" ht="19.5" customHeight="1" thickBot="1">
      <c r="A39" s="3787"/>
      <c r="B39" s="3784"/>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9" t="s">
        <v>2614</v>
      </c>
      <c r="B41" s="3782" t="s">
        <v>2638</v>
      </c>
      <c r="C41" s="3102" t="s">
        <v>2483</v>
      </c>
      <c r="D41" s="3103"/>
      <c r="E41" s="3104">
        <v>1</v>
      </c>
      <c r="F41" s="3105" t="s">
        <v>2484</v>
      </c>
      <c r="G41" s="3105"/>
    </row>
    <row r="42" spans="1:7" ht="19.5" customHeight="1">
      <c r="A42" s="3790"/>
      <c r="B42" s="3783"/>
      <c r="C42" s="3106" t="s">
        <v>2485</v>
      </c>
      <c r="D42" s="3107"/>
      <c r="E42" s="3108">
        <v>1</v>
      </c>
      <c r="F42" s="3105" t="s">
        <v>2486</v>
      </c>
      <c r="G42" s="3105"/>
    </row>
    <row r="43" spans="1:7" ht="19.5" customHeight="1">
      <c r="A43" s="3790"/>
      <c r="B43" s="3792"/>
      <c r="C43" s="3106" t="s">
        <v>2487</v>
      </c>
      <c r="D43" s="3107"/>
      <c r="E43" s="3108">
        <v>1.5</v>
      </c>
      <c r="F43" s="3105" t="s">
        <v>2488</v>
      </c>
      <c r="G43" s="3105"/>
    </row>
    <row r="44" spans="1:7" ht="19.5" customHeight="1">
      <c r="A44" s="3790"/>
      <c r="B44" s="3117" t="s">
        <v>2639</v>
      </c>
      <c r="C44" s="3106" t="s">
        <v>2640</v>
      </c>
      <c r="D44" s="3107"/>
      <c r="E44" s="3108">
        <v>2</v>
      </c>
      <c r="F44" s="3105" t="s">
        <v>2489</v>
      </c>
      <c r="G44" s="3105"/>
    </row>
    <row r="45" spans="1:7" ht="19.5" customHeight="1">
      <c r="A45" s="3790"/>
      <c r="B45" s="3788" t="s">
        <v>2641</v>
      </c>
      <c r="C45" s="3106" t="s">
        <v>2490</v>
      </c>
      <c r="D45" s="3107"/>
      <c r="E45" s="3108">
        <v>1</v>
      </c>
      <c r="F45" s="3105" t="s">
        <v>2491</v>
      </c>
      <c r="G45" s="3105"/>
    </row>
    <row r="46" spans="1:7" ht="19.5" customHeight="1">
      <c r="A46" s="3790"/>
      <c r="B46" s="3783"/>
      <c r="C46" s="3106" t="s">
        <v>2492</v>
      </c>
      <c r="D46" s="3107"/>
      <c r="E46" s="3108">
        <v>1</v>
      </c>
      <c r="F46" s="3105" t="s">
        <v>2493</v>
      </c>
      <c r="G46" s="3105"/>
    </row>
    <row r="47" spans="1:7" ht="19.5" customHeight="1">
      <c r="A47" s="3790"/>
      <c r="B47" s="3783"/>
      <c r="C47" s="3106" t="s">
        <v>2494</v>
      </c>
      <c r="D47" s="3107"/>
      <c r="E47" s="3108">
        <v>1</v>
      </c>
      <c r="F47" s="3105" t="s">
        <v>2495</v>
      </c>
      <c r="G47" s="3105"/>
    </row>
    <row r="48" spans="1:7" ht="19.5" customHeight="1">
      <c r="A48" s="3790"/>
      <c r="B48" s="3783"/>
      <c r="C48" s="3106" t="s">
        <v>2496</v>
      </c>
      <c r="D48" s="3107"/>
      <c r="E48" s="3108">
        <v>1</v>
      </c>
      <c r="F48" s="3105" t="s">
        <v>2497</v>
      </c>
      <c r="G48" s="3105"/>
    </row>
    <row r="49" spans="1:7" ht="19.5" customHeight="1">
      <c r="A49" s="3790"/>
      <c r="B49" s="3783"/>
      <c r="C49" s="3106" t="s">
        <v>2498</v>
      </c>
      <c r="D49" s="3107"/>
      <c r="E49" s="3108">
        <v>1</v>
      </c>
      <c r="F49" s="3105" t="s">
        <v>2499</v>
      </c>
      <c r="G49" s="3105"/>
    </row>
    <row r="50" spans="1:7" ht="19.5" customHeight="1">
      <c r="A50" s="3790"/>
      <c r="B50" s="3783"/>
      <c r="C50" s="3106" t="s">
        <v>2500</v>
      </c>
      <c r="D50" s="3107"/>
      <c r="E50" s="3108">
        <v>1</v>
      </c>
      <c r="F50" s="3105" t="s">
        <v>2501</v>
      </c>
      <c r="G50" s="3105"/>
    </row>
    <row r="51" spans="1:7" ht="19.5" customHeight="1" thickBot="1">
      <c r="A51" s="3791"/>
      <c r="B51" s="3784"/>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8" t="s">
        <v>2655</v>
      </c>
      <c r="C73" s="3091" t="s">
        <v>2656</v>
      </c>
      <c r="D73" s="3091" t="s">
        <v>2657</v>
      </c>
      <c r="E73" s="3117">
        <v>0.2</v>
      </c>
      <c r="F73" s="3117">
        <v>25</v>
      </c>
    </row>
    <row r="74" spans="1:7" ht="24">
      <c r="A74" s="3117">
        <v>2</v>
      </c>
      <c r="B74" s="3783"/>
      <c r="C74" s="3091" t="s">
        <v>2658</v>
      </c>
      <c r="D74" s="3091" t="s">
        <v>2659</v>
      </c>
      <c r="E74" s="3117">
        <v>0.2</v>
      </c>
      <c r="F74" s="3117">
        <v>25</v>
      </c>
    </row>
    <row r="75" spans="1:7" ht="24">
      <c r="A75" s="3117">
        <v>3</v>
      </c>
      <c r="B75" s="3783"/>
      <c r="C75" s="3091" t="s">
        <v>2660</v>
      </c>
      <c r="D75" s="3091" t="s">
        <v>2661</v>
      </c>
      <c r="E75" s="3117">
        <v>0.2</v>
      </c>
      <c r="F75" s="3117">
        <v>25</v>
      </c>
    </row>
    <row r="76" spans="1:7" ht="13.5">
      <c r="A76" s="3117">
        <v>4</v>
      </c>
      <c r="B76" s="3783"/>
      <c r="C76" s="3091" t="s">
        <v>2662</v>
      </c>
      <c r="D76" s="3091" t="s">
        <v>2663</v>
      </c>
      <c r="E76" s="3117">
        <v>0.15</v>
      </c>
      <c r="F76" s="3117">
        <v>20</v>
      </c>
    </row>
    <row r="77" spans="1:7" ht="24">
      <c r="A77" s="3117">
        <v>5</v>
      </c>
      <c r="B77" s="3783"/>
      <c r="C77" s="3091" t="s">
        <v>2664</v>
      </c>
      <c r="D77" s="3091" t="s">
        <v>2665</v>
      </c>
      <c r="E77" s="3117">
        <v>0.15</v>
      </c>
      <c r="F77" s="3117">
        <v>20</v>
      </c>
    </row>
    <row r="78" spans="1:7" ht="24">
      <c r="A78" s="3117">
        <v>6</v>
      </c>
      <c r="B78" s="3783"/>
      <c r="C78" s="3091" t="s">
        <v>2666</v>
      </c>
      <c r="D78" s="3091" t="s">
        <v>2667</v>
      </c>
      <c r="E78" s="3117">
        <v>0.15</v>
      </c>
      <c r="F78" s="3117">
        <v>20</v>
      </c>
    </row>
    <row r="79" spans="1:7" ht="24">
      <c r="A79" s="3117">
        <v>7</v>
      </c>
      <c r="B79" s="3783"/>
      <c r="C79" s="3091" t="s">
        <v>2668</v>
      </c>
      <c r="D79" s="3091" t="s">
        <v>2669</v>
      </c>
      <c r="E79" s="3117">
        <v>0.15</v>
      </c>
      <c r="F79" s="3117">
        <v>20</v>
      </c>
    </row>
    <row r="80" spans="1:7" ht="24">
      <c r="A80" s="3117">
        <v>8</v>
      </c>
      <c r="B80" s="3783"/>
      <c r="C80" s="3091" t="s">
        <v>2670</v>
      </c>
      <c r="D80" s="3091" t="s">
        <v>2671</v>
      </c>
      <c r="E80" s="3117">
        <v>0.1</v>
      </c>
      <c r="F80" s="3117">
        <v>15</v>
      </c>
    </row>
    <row r="81" spans="1:6" ht="24">
      <c r="A81" s="3117">
        <v>9</v>
      </c>
      <c r="B81" s="3783"/>
      <c r="C81" s="3091" t="s">
        <v>2672</v>
      </c>
      <c r="D81" s="3091" t="s">
        <v>2673</v>
      </c>
      <c r="E81" s="3117">
        <v>0.1</v>
      </c>
      <c r="F81" s="3117">
        <v>15</v>
      </c>
    </row>
    <row r="82" spans="1:6" ht="24">
      <c r="A82" s="3117">
        <v>10</v>
      </c>
      <c r="B82" s="3783"/>
      <c r="C82" s="3091" t="s">
        <v>2674</v>
      </c>
      <c r="D82" s="3091" t="s">
        <v>2675</v>
      </c>
      <c r="E82" s="3117">
        <v>0.1</v>
      </c>
      <c r="F82" s="3117">
        <v>15</v>
      </c>
    </row>
    <row r="83" spans="1:6" ht="24">
      <c r="A83" s="3117">
        <v>11</v>
      </c>
      <c r="B83" s="3783"/>
      <c r="C83" s="3091" t="s">
        <v>2676</v>
      </c>
      <c r="D83" s="3091" t="s">
        <v>2677</v>
      </c>
      <c r="E83" s="3117">
        <v>0.1</v>
      </c>
      <c r="F83" s="3117">
        <v>15</v>
      </c>
    </row>
    <row r="84" spans="1:6" ht="24">
      <c r="A84" s="3117">
        <v>12</v>
      </c>
      <c r="B84" s="3783"/>
      <c r="C84" s="3091" t="s">
        <v>2678</v>
      </c>
      <c r="D84" s="3091" t="s">
        <v>2679</v>
      </c>
      <c r="E84" s="3117">
        <v>0.1</v>
      </c>
      <c r="F84" s="3117">
        <v>15</v>
      </c>
    </row>
    <row r="85" spans="1:6" ht="13.5">
      <c r="A85" s="3117">
        <v>13</v>
      </c>
      <c r="B85" s="3783"/>
      <c r="C85" s="3091" t="s">
        <v>2680</v>
      </c>
      <c r="D85" s="3091" t="s">
        <v>2681</v>
      </c>
      <c r="E85" s="3117">
        <v>0.1</v>
      </c>
      <c r="F85" s="3117">
        <v>15</v>
      </c>
    </row>
    <row r="86" spans="1:6" ht="13.5">
      <c r="A86" s="3117">
        <v>14</v>
      </c>
      <c r="B86" s="3783"/>
      <c r="C86" s="3091" t="s">
        <v>2682</v>
      </c>
      <c r="D86" s="3091" t="s">
        <v>2683</v>
      </c>
      <c r="E86" s="3117">
        <v>0.1</v>
      </c>
      <c r="F86" s="3117">
        <v>15</v>
      </c>
    </row>
    <row r="87" spans="1:6" ht="13.5">
      <c r="A87" s="3117">
        <v>15</v>
      </c>
      <c r="B87" s="3783"/>
      <c r="C87" s="3091" t="s">
        <v>2684</v>
      </c>
      <c r="D87" s="3091" t="s">
        <v>2685</v>
      </c>
      <c r="E87" s="3117">
        <v>0.1</v>
      </c>
      <c r="F87" s="3117">
        <v>15</v>
      </c>
    </row>
    <row r="88" spans="1:6" ht="24">
      <c r="A88" s="3117">
        <v>16</v>
      </c>
      <c r="B88" s="3783"/>
      <c r="C88" s="3091" t="s">
        <v>2686</v>
      </c>
      <c r="D88" s="3091" t="s">
        <v>2687</v>
      </c>
      <c r="E88" s="3117">
        <v>0.1</v>
      </c>
      <c r="F88" s="3117">
        <v>15</v>
      </c>
    </row>
    <row r="89" spans="1:6" ht="24">
      <c r="A89" s="3117">
        <v>17</v>
      </c>
      <c r="B89" s="3792"/>
      <c r="C89" s="3091" t="s">
        <v>2688</v>
      </c>
      <c r="D89" s="3091" t="s">
        <v>2689</v>
      </c>
      <c r="E89" s="3117">
        <v>0.1</v>
      </c>
      <c r="F89" s="3117">
        <v>15</v>
      </c>
    </row>
    <row r="90" spans="1:6" ht="13.5">
      <c r="A90" s="3117">
        <v>18</v>
      </c>
      <c r="B90" s="3788" t="s">
        <v>2690</v>
      </c>
      <c r="C90" s="3091" t="s">
        <v>2691</v>
      </c>
      <c r="D90" s="3091" t="s">
        <v>2692</v>
      </c>
      <c r="E90" s="3117">
        <v>0.2</v>
      </c>
      <c r="F90" s="3117">
        <v>25</v>
      </c>
    </row>
    <row r="91" spans="1:6" ht="24">
      <c r="A91" s="3117">
        <v>19</v>
      </c>
      <c r="B91" s="3783"/>
      <c r="C91" s="3091" t="s">
        <v>2693</v>
      </c>
      <c r="D91" s="3091" t="s">
        <v>2694</v>
      </c>
      <c r="E91" s="3117">
        <v>0.2</v>
      </c>
      <c r="F91" s="3117">
        <v>25</v>
      </c>
    </row>
    <row r="92" spans="1:6" ht="13.5">
      <c r="A92" s="3117">
        <v>20</v>
      </c>
      <c r="B92" s="3783"/>
      <c r="C92" s="3091" t="s">
        <v>2695</v>
      </c>
      <c r="D92" s="3091" t="s">
        <v>2696</v>
      </c>
      <c r="E92" s="3117">
        <v>0.15</v>
      </c>
      <c r="F92" s="3117">
        <v>20</v>
      </c>
    </row>
    <row r="93" spans="1:6" ht="13.5">
      <c r="A93" s="3117">
        <v>21</v>
      </c>
      <c r="B93" s="3783"/>
      <c r="C93" s="3091" t="s">
        <v>2697</v>
      </c>
      <c r="D93" s="3091" t="s">
        <v>2698</v>
      </c>
      <c r="E93" s="3117">
        <v>0.15</v>
      </c>
      <c r="F93" s="3117">
        <v>20</v>
      </c>
    </row>
    <row r="94" spans="1:6" ht="13.5">
      <c r="A94" s="3117">
        <v>22</v>
      </c>
      <c r="B94" s="3783"/>
      <c r="C94" s="3091" t="s">
        <v>2699</v>
      </c>
      <c r="D94" s="3091" t="s">
        <v>2700</v>
      </c>
      <c r="E94" s="3117">
        <v>0.15</v>
      </c>
      <c r="F94" s="3117">
        <v>20</v>
      </c>
    </row>
    <row r="95" spans="1:6" ht="36">
      <c r="A95" s="3117">
        <v>23</v>
      </c>
      <c r="B95" s="3783"/>
      <c r="C95" s="3091" t="s">
        <v>2701</v>
      </c>
      <c r="D95" s="3091" t="s">
        <v>2702</v>
      </c>
      <c r="E95" s="3117">
        <v>0.15</v>
      </c>
      <c r="F95" s="3117">
        <v>20</v>
      </c>
    </row>
    <row r="96" spans="1:6" ht="13.5">
      <c r="A96" s="3117">
        <v>24</v>
      </c>
      <c r="B96" s="3783"/>
      <c r="C96" s="3091" t="s">
        <v>2703</v>
      </c>
      <c r="D96" s="3091" t="s">
        <v>2704</v>
      </c>
      <c r="E96" s="3117">
        <v>0.1</v>
      </c>
      <c r="F96" s="3117">
        <v>15</v>
      </c>
    </row>
    <row r="97" spans="1:6" ht="13.5">
      <c r="A97" s="3117">
        <v>25</v>
      </c>
      <c r="B97" s="3783"/>
      <c r="C97" s="3091" t="s">
        <v>2705</v>
      </c>
      <c r="D97" s="3091" t="s">
        <v>2706</v>
      </c>
      <c r="E97" s="3117">
        <v>0.1</v>
      </c>
      <c r="F97" s="3117">
        <v>15</v>
      </c>
    </row>
    <row r="98" spans="1:6" ht="24">
      <c r="A98" s="3117">
        <v>26</v>
      </c>
      <c r="B98" s="3783"/>
      <c r="C98" s="3091" t="s">
        <v>2707</v>
      </c>
      <c r="D98" s="3091" t="s">
        <v>2708</v>
      </c>
      <c r="E98" s="3117">
        <v>0.1</v>
      </c>
      <c r="F98" s="3117">
        <v>15</v>
      </c>
    </row>
    <row r="99" spans="1:6" ht="24">
      <c r="A99" s="3117">
        <v>27</v>
      </c>
      <c r="B99" s="3783"/>
      <c r="C99" s="3091" t="s">
        <v>2709</v>
      </c>
      <c r="D99" s="3091" t="s">
        <v>2710</v>
      </c>
      <c r="E99" s="3117">
        <v>0.1</v>
      </c>
      <c r="F99" s="3117">
        <v>15</v>
      </c>
    </row>
    <row r="100" spans="1:6" ht="13.5">
      <c r="A100" s="3117">
        <v>28</v>
      </c>
      <c r="B100" s="3783"/>
      <c r="C100" s="3091" t="s">
        <v>2711</v>
      </c>
      <c r="D100" s="3091" t="s">
        <v>2712</v>
      </c>
      <c r="E100" s="3117">
        <v>0.1</v>
      </c>
      <c r="F100" s="3117">
        <v>15</v>
      </c>
    </row>
    <row r="101" spans="1:6" ht="13.5">
      <c r="A101" s="3117">
        <v>29</v>
      </c>
      <c r="B101" s="3783"/>
      <c r="C101" s="3091" t="s">
        <v>2713</v>
      </c>
      <c r="D101" s="3091" t="s">
        <v>2714</v>
      </c>
      <c r="E101" s="3117">
        <v>0.1</v>
      </c>
      <c r="F101" s="3117">
        <v>15</v>
      </c>
    </row>
    <row r="102" spans="1:6" ht="13.5">
      <c r="A102" s="3117">
        <v>30</v>
      </c>
      <c r="B102" s="3783"/>
      <c r="C102" s="3091" t="s">
        <v>2715</v>
      </c>
      <c r="D102" s="3091" t="s">
        <v>2716</v>
      </c>
      <c r="E102" s="3117">
        <v>0.1</v>
      </c>
      <c r="F102" s="3117">
        <v>15</v>
      </c>
    </row>
    <row r="103" spans="1:6" ht="24">
      <c r="A103" s="3117">
        <v>31</v>
      </c>
      <c r="B103" s="3783"/>
      <c r="C103" s="3091" t="s">
        <v>2717</v>
      </c>
      <c r="D103" s="3091" t="s">
        <v>2718</v>
      </c>
      <c r="E103" s="3117">
        <v>0.1</v>
      </c>
      <c r="F103" s="3117">
        <v>15</v>
      </c>
    </row>
    <row r="104" spans="1:6" ht="24">
      <c r="A104" s="3117">
        <v>32</v>
      </c>
      <c r="B104" s="3783"/>
      <c r="C104" s="3091" t="s">
        <v>2719</v>
      </c>
      <c r="D104" s="3091" t="s">
        <v>2720</v>
      </c>
      <c r="E104" s="3117">
        <v>0.1</v>
      </c>
      <c r="F104" s="3117">
        <v>15</v>
      </c>
    </row>
    <row r="105" spans="1:6" ht="24">
      <c r="A105" s="3117">
        <v>33</v>
      </c>
      <c r="B105" s="3783"/>
      <c r="C105" s="3091" t="s">
        <v>2721</v>
      </c>
      <c r="D105" s="3091" t="s">
        <v>2722</v>
      </c>
      <c r="E105" s="3117">
        <v>0.1</v>
      </c>
      <c r="F105" s="3117">
        <v>15</v>
      </c>
    </row>
    <row r="106" spans="1:6" ht="24">
      <c r="A106" s="3117">
        <v>34</v>
      </c>
      <c r="B106" s="3792"/>
      <c r="C106" s="3091" t="s">
        <v>2723</v>
      </c>
      <c r="D106" s="3091" t="s">
        <v>2724</v>
      </c>
      <c r="E106" s="3117">
        <v>0.1</v>
      </c>
      <c r="F106" s="3117">
        <v>15</v>
      </c>
    </row>
    <row r="107" spans="1:6" ht="24">
      <c r="A107" s="3117">
        <v>35</v>
      </c>
      <c r="B107" s="3788" t="s">
        <v>2725</v>
      </c>
      <c r="C107" s="3117" t="s">
        <v>2726</v>
      </c>
      <c r="D107" s="3091" t="s">
        <v>2727</v>
      </c>
      <c r="E107" s="3117">
        <v>0.15</v>
      </c>
      <c r="F107" s="3117">
        <v>20</v>
      </c>
    </row>
    <row r="108" spans="1:6" ht="13.5">
      <c r="A108" s="3117">
        <v>36</v>
      </c>
      <c r="B108" s="3783"/>
      <c r="C108" s="3117" t="s">
        <v>2728</v>
      </c>
      <c r="D108" s="3091" t="s">
        <v>2729</v>
      </c>
      <c r="E108" s="3117">
        <v>0.15</v>
      </c>
      <c r="F108" s="3117">
        <v>20</v>
      </c>
    </row>
    <row r="109" spans="1:6" ht="13.5">
      <c r="A109" s="3117">
        <v>37</v>
      </c>
      <c r="B109" s="3783"/>
      <c r="C109" s="3117" t="s">
        <v>2730</v>
      </c>
      <c r="D109" s="3091" t="s">
        <v>2731</v>
      </c>
      <c r="E109" s="3117">
        <v>0.15</v>
      </c>
      <c r="F109" s="3117">
        <v>20</v>
      </c>
    </row>
    <row r="110" spans="1:6" ht="13.5">
      <c r="A110" s="3117">
        <v>38</v>
      </c>
      <c r="B110" s="3783"/>
      <c r="C110" s="3117" t="s">
        <v>2732</v>
      </c>
      <c r="D110" s="3091" t="s">
        <v>2733</v>
      </c>
      <c r="E110" s="3117">
        <v>0.1</v>
      </c>
      <c r="F110" s="3117">
        <v>15</v>
      </c>
    </row>
    <row r="111" spans="1:6" ht="24">
      <c r="A111" s="3117">
        <v>39</v>
      </c>
      <c r="B111" s="3783"/>
      <c r="C111" s="3117" t="s">
        <v>2734</v>
      </c>
      <c r="D111" s="3091" t="s">
        <v>2735</v>
      </c>
      <c r="E111" s="3117">
        <v>0.1</v>
      </c>
      <c r="F111" s="3117">
        <v>15</v>
      </c>
    </row>
    <row r="112" spans="1:6" ht="24">
      <c r="A112" s="3117">
        <v>40</v>
      </c>
      <c r="B112" s="3792"/>
      <c r="C112" s="3117" t="s">
        <v>2736</v>
      </c>
      <c r="D112" s="3091" t="s">
        <v>2737</v>
      </c>
      <c r="E112" s="3117">
        <v>0.1</v>
      </c>
      <c r="F112" s="3117">
        <v>15</v>
      </c>
    </row>
    <row r="113" spans="1:6" ht="13.5">
      <c r="A113" s="3117">
        <v>41</v>
      </c>
      <c r="B113" s="3793" t="s">
        <v>2738</v>
      </c>
      <c r="C113" s="3117" t="s">
        <v>2739</v>
      </c>
      <c r="D113" s="3091" t="s">
        <v>2740</v>
      </c>
      <c r="E113" s="3117">
        <v>0.1</v>
      </c>
      <c r="F113" s="3117">
        <v>15</v>
      </c>
    </row>
    <row r="114" spans="1:6" ht="13.5">
      <c r="A114" s="3117">
        <v>42</v>
      </c>
      <c r="B114" s="3793"/>
      <c r="C114" s="3117" t="s">
        <v>2741</v>
      </c>
      <c r="D114" s="3091" t="s">
        <v>2742</v>
      </c>
      <c r="E114" s="3117">
        <v>0.1</v>
      </c>
      <c r="F114" s="3117">
        <v>15</v>
      </c>
    </row>
    <row r="115" spans="1:6" ht="24">
      <c r="A115" s="3117">
        <v>43</v>
      </c>
      <c r="B115" s="3793"/>
      <c r="C115" s="3117" t="s">
        <v>2743</v>
      </c>
      <c r="D115" s="3091" t="s">
        <v>2744</v>
      </c>
      <c r="E115" s="3117">
        <v>0.1</v>
      </c>
      <c r="F115" s="3117">
        <v>15</v>
      </c>
    </row>
    <row r="116" spans="1:6" ht="13.5">
      <c r="A116" s="3117">
        <v>44</v>
      </c>
      <c r="B116" s="3788" t="s">
        <v>2745</v>
      </c>
      <c r="C116" s="3117" t="s">
        <v>2746</v>
      </c>
      <c r="D116" s="3091" t="s">
        <v>2747</v>
      </c>
      <c r="E116" s="3117">
        <v>0.1</v>
      </c>
      <c r="F116" s="3117">
        <v>15</v>
      </c>
    </row>
    <row r="117" spans="1:6" ht="24">
      <c r="A117" s="3117">
        <v>45</v>
      </c>
      <c r="B117" s="3792"/>
      <c r="C117" s="3091" t="s">
        <v>2748</v>
      </c>
      <c r="D117" s="3091" t="s">
        <v>2749</v>
      </c>
      <c r="E117" s="3117">
        <v>0.1</v>
      </c>
      <c r="F117" s="3117">
        <v>15</v>
      </c>
    </row>
    <row r="118" spans="1:6" ht="24">
      <c r="A118" s="3117">
        <v>46</v>
      </c>
      <c r="B118" s="3788" t="s">
        <v>2750</v>
      </c>
      <c r="C118" s="3117" t="s">
        <v>2751</v>
      </c>
      <c r="D118" s="3091" t="s">
        <v>2752</v>
      </c>
      <c r="E118" s="3117">
        <v>0.1</v>
      </c>
      <c r="F118" s="3117">
        <v>15</v>
      </c>
    </row>
    <row r="119" spans="1:6" ht="24">
      <c r="A119" s="3117">
        <v>47</v>
      </c>
      <c r="B119" s="3792"/>
      <c r="C119" s="3117" t="s">
        <v>2753</v>
      </c>
      <c r="D119" s="3091" t="s">
        <v>2754</v>
      </c>
      <c r="E119" s="3117">
        <v>0.1</v>
      </c>
      <c r="F119" s="3117">
        <v>15</v>
      </c>
    </row>
    <row r="120" spans="1:6" ht="13.5">
      <c r="A120" s="3117">
        <v>48</v>
      </c>
      <c r="B120" s="3788" t="s">
        <v>2755</v>
      </c>
      <c r="C120" s="3117" t="s">
        <v>2756</v>
      </c>
      <c r="D120" s="3091" t="s">
        <v>2757</v>
      </c>
      <c r="E120" s="3117">
        <v>0.1</v>
      </c>
      <c r="F120" s="3117">
        <v>15</v>
      </c>
    </row>
    <row r="121" spans="1:6" ht="13.5">
      <c r="A121" s="3117">
        <v>49</v>
      </c>
      <c r="B121" s="3792"/>
      <c r="C121" s="3117" t="s">
        <v>2758</v>
      </c>
      <c r="D121" s="3091" t="s">
        <v>2759</v>
      </c>
      <c r="E121" s="3117">
        <v>0.1</v>
      </c>
      <c r="F121" s="3117">
        <v>15</v>
      </c>
    </row>
    <row r="122" spans="1:6" ht="24">
      <c r="A122" s="3117">
        <v>50</v>
      </c>
      <c r="B122" s="3793" t="s">
        <v>2760</v>
      </c>
      <c r="C122" s="3117" t="s">
        <v>2761</v>
      </c>
      <c r="D122" s="3091" t="s">
        <v>2762</v>
      </c>
      <c r="E122" s="3117">
        <v>0.1</v>
      </c>
      <c r="F122" s="3117">
        <v>15</v>
      </c>
    </row>
    <row r="123" spans="1:6" ht="24">
      <c r="A123" s="3117">
        <v>51</v>
      </c>
      <c r="B123" s="3793"/>
      <c r="C123" s="3117" t="s">
        <v>2763</v>
      </c>
      <c r="D123" s="3091" t="s">
        <v>2764</v>
      </c>
      <c r="E123" s="3117">
        <v>0.1</v>
      </c>
      <c r="F123" s="3117">
        <v>15</v>
      </c>
    </row>
    <row r="124" spans="1:6" ht="24">
      <c r="A124" s="3117">
        <v>52</v>
      </c>
      <c r="B124" s="3793" t="s">
        <v>2765</v>
      </c>
      <c r="C124" s="3117" t="s">
        <v>2766</v>
      </c>
      <c r="D124" s="3091" t="s">
        <v>2767</v>
      </c>
      <c r="E124" s="3117">
        <v>0.1</v>
      </c>
      <c r="F124" s="3117">
        <v>15</v>
      </c>
    </row>
    <row r="125" spans="1:6" ht="24">
      <c r="A125" s="3117">
        <v>53</v>
      </c>
      <c r="B125" s="3793"/>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93" t="s">
        <v>2773</v>
      </c>
      <c r="C127" s="3117" t="s">
        <v>2774</v>
      </c>
      <c r="D127" s="3091" t="s">
        <v>2775</v>
      </c>
      <c r="E127" s="3117">
        <v>0.1</v>
      </c>
      <c r="F127" s="3117">
        <v>15</v>
      </c>
    </row>
    <row r="128" spans="1:6" ht="13.5">
      <c r="A128" s="3117">
        <v>56</v>
      </c>
      <c r="B128" s="3793"/>
      <c r="C128" s="3117" t="s">
        <v>2776</v>
      </c>
      <c r="D128" s="3091" t="s">
        <v>2777</v>
      </c>
      <c r="E128" s="3117">
        <v>0.1</v>
      </c>
      <c r="F128" s="3117">
        <v>15</v>
      </c>
    </row>
    <row r="129" spans="1:6" ht="24">
      <c r="A129" s="3117">
        <v>57</v>
      </c>
      <c r="B129" s="3793"/>
      <c r="C129" s="3117" t="s">
        <v>2778</v>
      </c>
      <c r="D129" s="3091" t="s">
        <v>2779</v>
      </c>
      <c r="E129" s="3117">
        <v>0.1</v>
      </c>
      <c r="F129" s="3117">
        <v>15</v>
      </c>
    </row>
    <row r="130" spans="1:6" ht="24">
      <c r="A130" s="3117">
        <v>58</v>
      </c>
      <c r="B130" s="3793" t="s">
        <v>2780</v>
      </c>
      <c r="C130" s="3117" t="s">
        <v>2781</v>
      </c>
      <c r="D130" s="3091" t="s">
        <v>2782</v>
      </c>
      <c r="E130" s="3117">
        <v>0.1</v>
      </c>
      <c r="F130" s="3117">
        <v>15</v>
      </c>
    </row>
    <row r="131" spans="1:6" ht="13.5">
      <c r="A131" s="3117">
        <v>59</v>
      </c>
      <c r="B131" s="3793"/>
      <c r="C131" s="3117" t="s">
        <v>2783</v>
      </c>
      <c r="D131" s="3091" t="s">
        <v>2784</v>
      </c>
      <c r="E131" s="3117">
        <v>0.1</v>
      </c>
      <c r="F131" s="3117">
        <v>15</v>
      </c>
    </row>
    <row r="132" spans="1:6" ht="13.5">
      <c r="A132" s="3117">
        <v>60</v>
      </c>
      <c r="B132" s="3788" t="s">
        <v>2785</v>
      </c>
      <c r="C132" s="3117" t="s">
        <v>2786</v>
      </c>
      <c r="D132" s="3091" t="s">
        <v>2787</v>
      </c>
      <c r="E132" s="3117">
        <v>0.1</v>
      </c>
      <c r="F132" s="3117">
        <v>15</v>
      </c>
    </row>
    <row r="133" spans="1:6" ht="13.5">
      <c r="A133" s="3117">
        <v>61</v>
      </c>
      <c r="B133" s="3792"/>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93" t="s">
        <v>2793</v>
      </c>
      <c r="C135" s="3117" t="s">
        <v>2794</v>
      </c>
      <c r="D135" s="3091" t="s">
        <v>2795</v>
      </c>
      <c r="E135" s="3117">
        <v>0.1</v>
      </c>
      <c r="F135" s="3117">
        <v>15</v>
      </c>
    </row>
    <row r="136" spans="1:6" ht="13.5">
      <c r="A136" s="3117">
        <v>64</v>
      </c>
      <c r="B136" s="3793"/>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1.0185999999999999</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0.96889999999999998</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28316</v>
      </c>
      <c r="C2" s="2" t="s">
        <v>106</v>
      </c>
      <c r="D2" s="199"/>
      <c r="E2" s="199"/>
      <c r="F2" s="199"/>
      <c r="G2" s="199"/>
    </row>
    <row r="3" spans="1:7" s="200" customFormat="1" ht="18" customHeight="1" thickBot="1">
      <c r="A3" s="203" t="s">
        <v>58</v>
      </c>
      <c r="B3" s="204">
        <f ca="1">ROUND(B2*10000/'数据-汇总表'!E3,0)</f>
        <v>232695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1216.8699999999999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1216.8699999999999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v>
      </c>
      <c r="D37" s="217">
        <f>'数据-汇总表'!E3</f>
        <v>1216.8699999999999</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82</v>
      </c>
      <c r="D45" s="235">
        <f>C47</f>
        <v>3.0000000000000001E-3</v>
      </c>
      <c r="E45" s="236" t="s">
        <v>102</v>
      </c>
      <c r="F45" s="246"/>
      <c r="G45" s="247" t="s">
        <v>434</v>
      </c>
    </row>
    <row r="46" spans="1:7" s="214" customFormat="1" ht="13.5" customHeight="1">
      <c r="A46" s="780" t="s">
        <v>349</v>
      </c>
      <c r="B46" s="248" t="s">
        <v>427</v>
      </c>
      <c r="C46" s="249">
        <f>ROUND((C33+C39)*F27,0)</f>
        <v>82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489</v>
      </c>
      <c r="D51" s="232"/>
      <c r="E51" s="232"/>
      <c r="F51" s="264"/>
      <c r="G51" s="234" t="s">
        <v>37</v>
      </c>
    </row>
    <row r="52" spans="1:7" s="208" customFormat="1" ht="16.5" thickBot="1">
      <c r="A52" s="265" t="s">
        <v>38</v>
      </c>
      <c r="B52" s="266"/>
      <c r="C52" s="267">
        <f ca="1">C31+C51</f>
        <v>28316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2124</v>
      </c>
      <c r="E5" s="1490"/>
    </row>
    <row r="6" spans="1:5" ht="15.75">
      <c r="A6" s="1490"/>
      <c r="B6" s="3475"/>
      <c r="C6" s="1493" t="s">
        <v>911</v>
      </c>
      <c r="D6" s="850" t="str">
        <f ca="1">NUMBERSTRING(INT(D5*10000),2)&amp;"元整"</f>
        <v>贰仟壹佰贰拾肆万元整</v>
      </c>
      <c r="E6" s="1490"/>
    </row>
    <row r="7" spans="1:5" ht="15.75">
      <c r="A7" s="1490"/>
      <c r="B7" s="3480"/>
      <c r="C7" s="1494" t="s">
        <v>912</v>
      </c>
      <c r="D7" s="851">
        <f ca="1">结果表!H102</f>
        <v>17455</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2124</v>
      </c>
      <c r="E13" s="1490"/>
    </row>
    <row r="14" spans="1:5" ht="15.75">
      <c r="A14" s="1490"/>
      <c r="B14" s="3475"/>
      <c r="C14" s="1493" t="s">
        <v>911</v>
      </c>
      <c r="D14" s="850" t="str">
        <f ca="1">NUMBERSTRING(INT(D13*10000),2)&amp;"元整"</f>
        <v>贰仟壹佰贰拾肆万元整</v>
      </c>
      <c r="E14" s="1490"/>
    </row>
    <row r="15" spans="1:5" ht="15">
      <c r="A15" s="1490"/>
      <c r="B15" s="3480"/>
      <c r="C15" s="1494" t="s">
        <v>921</v>
      </c>
      <c r="D15" s="859">
        <f ca="1">结果表!H108</f>
        <v>17455</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6" t="s">
        <v>2845</v>
      </c>
      <c r="B1" s="3796"/>
      <c r="C1" s="3796"/>
      <c r="D1" s="3796"/>
      <c r="E1" s="3796"/>
      <c r="F1" s="3796"/>
      <c r="G1" s="3797"/>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94"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95"/>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3187</v>
      </c>
      <c r="B1" s="3798"/>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99" t="s">
        <v>3238</v>
      </c>
      <c r="B1" s="3799"/>
      <c r="C1" s="3799"/>
      <c r="D1" s="3799"/>
      <c r="E1" s="3799"/>
      <c r="F1" s="3800"/>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45124</v>
      </c>
      <c r="B1" s="3209" t="s">
        <v>2844</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01" t="s">
        <v>2832</v>
      </c>
      <c r="S21" s="3802"/>
      <c r="T21" s="3802"/>
      <c r="U21" s="3802"/>
      <c r="V21" s="3802"/>
      <c r="W21" s="3802"/>
      <c r="X21" s="3164"/>
      <c r="Y21" s="3801" t="s">
        <v>2833</v>
      </c>
      <c r="Z21" s="3802"/>
      <c r="AA21" s="3802"/>
      <c r="AB21" s="3802"/>
      <c r="AC21" s="3802"/>
      <c r="AD21" s="3802"/>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45124</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workbookViewId="0">
      <selection activeCell="B58" sqref="B58"/>
    </sheetView>
  </sheetViews>
  <sheetFormatPr defaultRowHeight="13.5"/>
  <sheetData>
    <row r="22" spans="3:5">
      <c r="C22" s="3465" t="s">
        <v>3602</v>
      </c>
      <c r="D22" s="3465" t="s">
        <v>3603</v>
      </c>
      <c r="E22" s="3465" t="s">
        <v>3604</v>
      </c>
    </row>
    <row r="23" spans="3:5">
      <c r="C23" s="3465" t="s">
        <v>3605</v>
      </c>
      <c r="D23" s="3465" t="s">
        <v>3606</v>
      </c>
      <c r="E23" s="3465" t="s">
        <v>3607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RowHeight="13.5"/>
  <cols>
    <col min="1" max="1" width="22.875" customWidth="1"/>
    <col min="8" max="8" width="13.125" customWidth="1"/>
    <col min="9" max="10" width="0" hidden="1" customWidth="1"/>
    <col min="16" max="16" width="12.625" customWidth="1"/>
  </cols>
  <sheetData>
    <row r="1" spans="1:19">
      <c r="A1" s="3449" t="s">
        <v>3414</v>
      </c>
      <c r="B1" s="3449" t="s">
        <v>3415</v>
      </c>
      <c r="C1" s="3449" t="s">
        <v>3416</v>
      </c>
      <c r="D1" s="3449" t="s">
        <v>3417</v>
      </c>
      <c r="E1" s="3449" t="s">
        <v>3418</v>
      </c>
      <c r="F1" s="3449" t="s">
        <v>3419</v>
      </c>
      <c r="G1" s="3449" t="s">
        <v>3420</v>
      </c>
      <c r="H1" s="3449" t="s">
        <v>3421</v>
      </c>
      <c r="I1" s="3449" t="s">
        <v>3422</v>
      </c>
      <c r="J1" s="3449" t="s">
        <v>3423</v>
      </c>
      <c r="K1" s="3449" t="s">
        <v>3424</v>
      </c>
      <c r="L1" s="3449" t="s">
        <v>3425</v>
      </c>
      <c r="M1" s="3449" t="s">
        <v>3426</v>
      </c>
      <c r="N1" s="3449" t="s">
        <v>3427</v>
      </c>
      <c r="O1" s="3449" t="s">
        <v>3428</v>
      </c>
      <c r="P1" s="3449" t="s">
        <v>3429</v>
      </c>
      <c r="Q1" s="3449" t="s">
        <v>3430</v>
      </c>
    </row>
    <row r="2" spans="1:19" s="3453" customFormat="1">
      <c r="A2" s="3452" t="s">
        <v>3431</v>
      </c>
      <c r="B2" s="3452" t="s">
        <v>3381</v>
      </c>
      <c r="C2" s="3452" t="s">
        <v>3432</v>
      </c>
      <c r="D2" s="3452">
        <v>15459.22</v>
      </c>
      <c r="E2" s="3452">
        <v>52599.12</v>
      </c>
      <c r="F2" s="3452">
        <f>E2/D2</f>
        <v>3.4024433315523037</v>
      </c>
      <c r="G2" s="3452" t="s">
        <v>3433</v>
      </c>
      <c r="H2" s="3452" t="s">
        <v>3434</v>
      </c>
      <c r="I2" s="3449">
        <v>0</v>
      </c>
      <c r="J2" s="3449" t="s">
        <v>3435</v>
      </c>
      <c r="K2" s="3452" t="s">
        <v>3435</v>
      </c>
      <c r="L2" s="3452">
        <v>53100</v>
      </c>
      <c r="M2" s="3452">
        <v>53100</v>
      </c>
      <c r="N2" s="3452">
        <v>10095.23</v>
      </c>
      <c r="O2" s="3452">
        <v>0</v>
      </c>
      <c r="P2" s="3452" t="s">
        <v>3436</v>
      </c>
      <c r="Q2" s="3452" t="s">
        <v>3437</v>
      </c>
      <c r="R2" s="3454" t="s">
        <v>3585</v>
      </c>
      <c r="S2" s="3454" t="s">
        <v>3586</v>
      </c>
    </row>
    <row r="3" spans="1:19">
      <c r="A3" s="3449" t="s">
        <v>3438</v>
      </c>
      <c r="B3" s="3449" t="s">
        <v>3381</v>
      </c>
      <c r="C3" s="3449" t="s">
        <v>3432</v>
      </c>
      <c r="D3" s="3449">
        <v>10610.35</v>
      </c>
      <c r="E3" s="3449">
        <v>47747</v>
      </c>
      <c r="F3" s="3449">
        <v>4.5</v>
      </c>
      <c r="G3" s="3449" t="s">
        <v>3433</v>
      </c>
      <c r="H3" s="3449" t="s">
        <v>3439</v>
      </c>
      <c r="I3" s="3449">
        <v>0</v>
      </c>
      <c r="J3" s="3449" t="s">
        <v>3435</v>
      </c>
      <c r="K3" s="3449" t="s">
        <v>3435</v>
      </c>
      <c r="L3" s="3449">
        <v>134000</v>
      </c>
      <c r="M3" s="3449">
        <v>134000</v>
      </c>
      <c r="N3" s="3449">
        <v>28064.59</v>
      </c>
      <c r="O3" s="3449">
        <v>0</v>
      </c>
      <c r="P3" s="3449" t="s">
        <v>3440</v>
      </c>
      <c r="Q3" s="3449" t="s">
        <v>3437</v>
      </c>
    </row>
    <row r="4" spans="1:19" hidden="1">
      <c r="A4" s="3449" t="s">
        <v>3441</v>
      </c>
      <c r="B4" s="3449" t="s">
        <v>3381</v>
      </c>
      <c r="C4" s="3449" t="s">
        <v>3432</v>
      </c>
      <c r="D4" s="3449">
        <v>67829.210000000006</v>
      </c>
      <c r="E4" s="3449">
        <v>298100</v>
      </c>
      <c r="F4" s="3449">
        <v>4.4000000000000004</v>
      </c>
      <c r="G4" s="3449" t="s">
        <v>3433</v>
      </c>
      <c r="H4" s="3449" t="s">
        <v>3442</v>
      </c>
      <c r="I4" s="3449">
        <v>0</v>
      </c>
      <c r="J4" s="3449" t="s">
        <v>3443</v>
      </c>
      <c r="K4" s="3449" t="s">
        <v>3443</v>
      </c>
      <c r="L4" s="3449">
        <v>680000</v>
      </c>
      <c r="M4" s="3449">
        <v>680000</v>
      </c>
      <c r="N4" s="3449">
        <v>22811.14</v>
      </c>
      <c r="O4" s="3449">
        <v>0</v>
      </c>
      <c r="P4" s="3449" t="s">
        <v>3444</v>
      </c>
      <c r="Q4" s="3449" t="s">
        <v>3437</v>
      </c>
    </row>
    <row r="5" spans="1:19" hidden="1">
      <c r="A5" s="3449" t="s">
        <v>3445</v>
      </c>
      <c r="B5" s="3449" t="s">
        <v>3381</v>
      </c>
      <c r="C5" s="3449" t="s">
        <v>3432</v>
      </c>
      <c r="D5" s="3449">
        <v>101190.07</v>
      </c>
      <c r="E5" s="3449">
        <v>198291</v>
      </c>
      <c r="F5" s="3449" t="s">
        <v>3446</v>
      </c>
      <c r="G5" s="3449" t="s">
        <v>3433</v>
      </c>
      <c r="H5" s="3449" t="s">
        <v>3447</v>
      </c>
      <c r="I5" s="3449">
        <v>0</v>
      </c>
      <c r="J5" s="3449" t="s">
        <v>3448</v>
      </c>
      <c r="K5" s="3449" t="s">
        <v>3448</v>
      </c>
      <c r="L5" s="3449">
        <v>100000</v>
      </c>
      <c r="M5" s="3449">
        <v>100000</v>
      </c>
      <c r="N5" s="3449">
        <v>5043.09</v>
      </c>
      <c r="O5" s="3449">
        <v>0</v>
      </c>
      <c r="P5" s="3449" t="s">
        <v>3449</v>
      </c>
      <c r="Q5" s="3449" t="s">
        <v>3450</v>
      </c>
    </row>
    <row r="6" spans="1:19" s="3453" customFormat="1">
      <c r="A6" s="3452" t="s">
        <v>3451</v>
      </c>
      <c r="B6" s="3452" t="s">
        <v>3381</v>
      </c>
      <c r="C6" s="3452" t="s">
        <v>3432</v>
      </c>
      <c r="D6" s="3452">
        <v>5500.65</v>
      </c>
      <c r="E6" s="3452">
        <v>15401.81</v>
      </c>
      <c r="F6" s="3452" t="s">
        <v>3452</v>
      </c>
      <c r="G6" s="3452" t="s">
        <v>3433</v>
      </c>
      <c r="H6" s="3452" t="s">
        <v>3439</v>
      </c>
      <c r="I6" s="3452">
        <v>0</v>
      </c>
      <c r="J6" s="3452" t="s">
        <v>3453</v>
      </c>
      <c r="K6" s="3452" t="s">
        <v>3453</v>
      </c>
      <c r="L6" s="3452">
        <v>17000</v>
      </c>
      <c r="M6" s="3452">
        <v>17000</v>
      </c>
      <c r="N6" s="3452">
        <v>11037.66</v>
      </c>
      <c r="O6" s="3452">
        <v>0</v>
      </c>
      <c r="P6" s="3452" t="s">
        <v>3454</v>
      </c>
      <c r="Q6" s="3452" t="s">
        <v>3437</v>
      </c>
      <c r="R6" s="3454" t="s">
        <v>3581</v>
      </c>
      <c r="S6" s="3454" t="s">
        <v>3582</v>
      </c>
    </row>
    <row r="7" spans="1:19" hidden="1">
      <c r="A7" s="3449" t="s">
        <v>3455</v>
      </c>
      <c r="B7" s="3449" t="s">
        <v>3381</v>
      </c>
      <c r="C7" s="3449" t="s">
        <v>3432</v>
      </c>
      <c r="D7" s="3449">
        <v>82500</v>
      </c>
      <c r="E7" s="3449">
        <v>165000</v>
      </c>
      <c r="F7" s="3449">
        <v>2</v>
      </c>
      <c r="G7" s="3449" t="s">
        <v>3433</v>
      </c>
      <c r="H7" s="3449" t="s">
        <v>3456</v>
      </c>
      <c r="I7" s="3449">
        <v>0</v>
      </c>
      <c r="J7" s="3449" t="s">
        <v>3457</v>
      </c>
      <c r="K7" s="3449" t="s">
        <v>3457</v>
      </c>
      <c r="L7" s="3449">
        <v>260700</v>
      </c>
      <c r="M7" s="3449">
        <v>260700</v>
      </c>
      <c r="N7" s="3449">
        <v>15800</v>
      </c>
      <c r="O7" s="3449">
        <v>0</v>
      </c>
      <c r="P7" s="3449" t="s">
        <v>3458</v>
      </c>
      <c r="Q7" s="3449" t="s">
        <v>3459</v>
      </c>
    </row>
    <row r="8" spans="1:19">
      <c r="A8" s="3449" t="s">
        <v>3460</v>
      </c>
      <c r="B8" s="3449" t="s">
        <v>3381</v>
      </c>
      <c r="C8" s="3449" t="s">
        <v>3432</v>
      </c>
      <c r="D8" s="3449">
        <v>62796.800000000003</v>
      </c>
      <c r="E8" s="3449">
        <v>275500</v>
      </c>
      <c r="F8" s="3449">
        <v>4.3899999999999997</v>
      </c>
      <c r="G8" s="3449" t="s">
        <v>3433</v>
      </c>
      <c r="H8" s="3449" t="s">
        <v>3439</v>
      </c>
      <c r="I8" s="3449">
        <v>0</v>
      </c>
      <c r="J8" s="3449" t="s">
        <v>3461</v>
      </c>
      <c r="K8" s="3449" t="s">
        <v>3461</v>
      </c>
      <c r="L8" s="3449">
        <v>635800</v>
      </c>
      <c r="M8" s="3449">
        <v>635800</v>
      </c>
      <c r="N8" s="3449">
        <v>23078.04</v>
      </c>
      <c r="O8" s="3449">
        <v>0</v>
      </c>
      <c r="P8" s="3449" t="s">
        <v>3462</v>
      </c>
      <c r="Q8" s="3449" t="s">
        <v>3459</v>
      </c>
    </row>
    <row r="9" spans="1:19" s="3451" customFormat="1" hidden="1">
      <c r="A9" s="3450" t="s">
        <v>3463</v>
      </c>
      <c r="B9" s="3450" t="s">
        <v>3381</v>
      </c>
      <c r="C9" s="3450" t="s">
        <v>3432</v>
      </c>
      <c r="D9" s="3450">
        <v>4800</v>
      </c>
      <c r="E9" s="3450">
        <v>1920</v>
      </c>
      <c r="F9" s="3450" t="s">
        <v>3464</v>
      </c>
      <c r="G9" s="3450" t="s">
        <v>3433</v>
      </c>
      <c r="H9" s="3450" t="s">
        <v>3465</v>
      </c>
      <c r="I9" s="3450">
        <v>0</v>
      </c>
      <c r="J9" s="3450" t="s">
        <v>3466</v>
      </c>
      <c r="K9" s="3450" t="s">
        <v>3466</v>
      </c>
      <c r="L9" s="3450">
        <v>5800</v>
      </c>
      <c r="M9" s="3450">
        <v>5800</v>
      </c>
      <c r="N9" s="3450">
        <v>30208.33</v>
      </c>
      <c r="O9" s="3450">
        <v>0</v>
      </c>
      <c r="P9" s="3450" t="s">
        <v>3467</v>
      </c>
      <c r="Q9" s="3450" t="s">
        <v>3450</v>
      </c>
    </row>
    <row r="10" spans="1:19">
      <c r="A10" s="3449" t="s">
        <v>3468</v>
      </c>
      <c r="B10" s="3449" t="s">
        <v>3381</v>
      </c>
      <c r="C10" s="3449" t="s">
        <v>3432</v>
      </c>
      <c r="D10" s="3449">
        <v>46654.62</v>
      </c>
      <c r="E10" s="3449">
        <v>88643.78</v>
      </c>
      <c r="F10" s="3449">
        <v>1.9</v>
      </c>
      <c r="G10" s="3449" t="s">
        <v>3433</v>
      </c>
      <c r="H10" s="3449" t="s">
        <v>3469</v>
      </c>
      <c r="I10" s="3449">
        <v>0</v>
      </c>
      <c r="J10" s="3449" t="s">
        <v>3470</v>
      </c>
      <c r="K10" s="3449" t="s">
        <v>3470</v>
      </c>
      <c r="L10" s="3449">
        <v>28000</v>
      </c>
      <c r="M10" s="3449">
        <v>28000</v>
      </c>
      <c r="N10" s="3449">
        <v>3158.71</v>
      </c>
      <c r="O10" s="3449">
        <v>0</v>
      </c>
      <c r="P10" s="3449" t="s">
        <v>3471</v>
      </c>
      <c r="Q10" s="3449" t="s">
        <v>3472</v>
      </c>
    </row>
    <row r="11" spans="1:19" hidden="1">
      <c r="A11" s="3449" t="s">
        <v>3473</v>
      </c>
      <c r="B11" s="3449" t="s">
        <v>3381</v>
      </c>
      <c r="C11" s="3449" t="s">
        <v>3432</v>
      </c>
      <c r="D11" s="3449">
        <v>64012.4</v>
      </c>
      <c r="E11" s="3449">
        <v>192037.19</v>
      </c>
      <c r="F11" s="3449">
        <v>3</v>
      </c>
      <c r="G11" s="3449" t="s">
        <v>3433</v>
      </c>
      <c r="H11" s="3449" t="s">
        <v>3474</v>
      </c>
      <c r="I11" s="3449">
        <v>0</v>
      </c>
      <c r="J11" s="3449" t="s">
        <v>3475</v>
      </c>
      <c r="K11" s="3449" t="s">
        <v>3475</v>
      </c>
      <c r="L11" s="3449">
        <v>177000</v>
      </c>
      <c r="M11" s="3449">
        <v>177000</v>
      </c>
      <c r="N11" s="3449">
        <v>9216.9599999999991</v>
      </c>
      <c r="O11" s="3449">
        <v>0</v>
      </c>
      <c r="P11" s="3449" t="s">
        <v>3476</v>
      </c>
      <c r="Q11" s="3449" t="s">
        <v>3459</v>
      </c>
    </row>
    <row r="12" spans="1:19" hidden="1">
      <c r="A12" s="3449" t="s">
        <v>3477</v>
      </c>
      <c r="B12" s="3449" t="s">
        <v>3381</v>
      </c>
      <c r="C12" s="3449" t="s">
        <v>3432</v>
      </c>
      <c r="D12" s="3449">
        <v>32733.22</v>
      </c>
      <c r="E12" s="3449">
        <v>72013.08</v>
      </c>
      <c r="F12" s="3449">
        <v>2.2000000000000002</v>
      </c>
      <c r="G12" s="3449" t="s">
        <v>3433</v>
      </c>
      <c r="H12" s="3449" t="s">
        <v>3447</v>
      </c>
      <c r="I12" s="3449">
        <v>0</v>
      </c>
      <c r="J12" s="3449" t="s">
        <v>3478</v>
      </c>
      <c r="K12" s="3449" t="s">
        <v>3478</v>
      </c>
      <c r="L12" s="3449">
        <v>149000</v>
      </c>
      <c r="M12" s="3449">
        <v>149000</v>
      </c>
      <c r="N12" s="3449">
        <v>20690.689999999999</v>
      </c>
      <c r="O12" s="3449">
        <v>0</v>
      </c>
      <c r="P12" s="3449" t="s">
        <v>3479</v>
      </c>
      <c r="Q12" s="3449" t="s">
        <v>3472</v>
      </c>
    </row>
    <row r="13" spans="1:19" hidden="1">
      <c r="A13" s="3449" t="s">
        <v>3480</v>
      </c>
      <c r="B13" s="3449" t="s">
        <v>3381</v>
      </c>
      <c r="C13" s="3449" t="s">
        <v>3432</v>
      </c>
      <c r="D13" s="3449">
        <v>29506.55</v>
      </c>
      <c r="E13" s="3449">
        <v>64914.41</v>
      </c>
      <c r="F13" s="3449">
        <v>2.2000000000000002</v>
      </c>
      <c r="G13" s="3449" t="s">
        <v>3433</v>
      </c>
      <c r="H13" s="3449" t="s">
        <v>3447</v>
      </c>
      <c r="I13" s="3449">
        <v>0</v>
      </c>
      <c r="J13" s="3449" t="s">
        <v>3478</v>
      </c>
      <c r="K13" s="3449" t="s">
        <v>3478</v>
      </c>
      <c r="L13" s="3449">
        <v>135000</v>
      </c>
      <c r="M13" s="3449">
        <v>135000</v>
      </c>
      <c r="N13" s="3449">
        <v>20796.62</v>
      </c>
      <c r="O13" s="3449">
        <v>0</v>
      </c>
      <c r="P13" s="3449" t="s">
        <v>3481</v>
      </c>
      <c r="Q13" s="3449" t="s">
        <v>3472</v>
      </c>
    </row>
    <row r="14" spans="1:19">
      <c r="A14" s="3449" t="s">
        <v>3482</v>
      </c>
      <c r="B14" s="3449" t="s">
        <v>3381</v>
      </c>
      <c r="C14" s="3449" t="s">
        <v>3432</v>
      </c>
      <c r="D14" s="3449">
        <v>12629.88</v>
      </c>
      <c r="E14" s="3449">
        <v>80000</v>
      </c>
      <c r="F14" s="3449" t="s">
        <v>3483</v>
      </c>
      <c r="G14" s="3449" t="s">
        <v>3433</v>
      </c>
      <c r="H14" s="3449" t="s">
        <v>3439</v>
      </c>
      <c r="I14" s="3449">
        <v>0</v>
      </c>
      <c r="J14" s="3449" t="s">
        <v>3484</v>
      </c>
      <c r="K14" s="3449" t="s">
        <v>3484</v>
      </c>
      <c r="L14" s="3449">
        <v>166000</v>
      </c>
      <c r="M14" s="3449">
        <v>166000</v>
      </c>
      <c r="N14" s="3449">
        <v>20750</v>
      </c>
      <c r="O14" s="3449">
        <v>0</v>
      </c>
      <c r="P14" s="3449" t="s">
        <v>3485</v>
      </c>
      <c r="Q14" s="3449" t="s">
        <v>3437</v>
      </c>
    </row>
    <row r="15" spans="1:19" hidden="1">
      <c r="A15" s="3449" t="s">
        <v>3486</v>
      </c>
      <c r="B15" s="3449" t="s">
        <v>3381</v>
      </c>
      <c r="C15" s="3449" t="s">
        <v>3432</v>
      </c>
      <c r="D15" s="3449">
        <v>5500</v>
      </c>
      <c r="E15" s="3449">
        <v>12100</v>
      </c>
      <c r="F15" s="3449" t="s">
        <v>3487</v>
      </c>
      <c r="G15" s="3449" t="s">
        <v>3433</v>
      </c>
      <c r="H15" s="3449" t="s">
        <v>3447</v>
      </c>
      <c r="I15" s="3449">
        <v>0</v>
      </c>
      <c r="J15" s="3449" t="s">
        <v>3488</v>
      </c>
      <c r="K15" s="3449" t="s">
        <v>3488</v>
      </c>
      <c r="L15" s="3449">
        <v>20000</v>
      </c>
      <c r="M15" s="3449">
        <v>20000</v>
      </c>
      <c r="N15" s="3449">
        <v>16528.93</v>
      </c>
      <c r="O15" s="3449">
        <v>0</v>
      </c>
      <c r="P15" s="3449" t="s">
        <v>3489</v>
      </c>
      <c r="Q15" s="3449" t="s">
        <v>3450</v>
      </c>
    </row>
    <row r="16" spans="1:19" hidden="1">
      <c r="A16" s="3449" t="s">
        <v>3490</v>
      </c>
      <c r="B16" s="3449" t="s">
        <v>3381</v>
      </c>
      <c r="C16" s="3449" t="s">
        <v>3432</v>
      </c>
      <c r="D16" s="3449">
        <v>10000</v>
      </c>
      <c r="E16" s="3449">
        <v>22000</v>
      </c>
      <c r="F16" s="3449" t="s">
        <v>3487</v>
      </c>
      <c r="G16" s="3449" t="s">
        <v>3433</v>
      </c>
      <c r="H16" s="3449" t="s">
        <v>3447</v>
      </c>
      <c r="I16" s="3449">
        <v>0</v>
      </c>
      <c r="J16" s="3449" t="s">
        <v>3491</v>
      </c>
      <c r="K16" s="3449" t="s">
        <v>3491</v>
      </c>
      <c r="L16" s="3449">
        <v>36400</v>
      </c>
      <c r="M16" s="3449">
        <v>36400</v>
      </c>
      <c r="N16" s="3449">
        <v>16545.45</v>
      </c>
      <c r="O16" s="3449">
        <v>0</v>
      </c>
      <c r="P16" s="3449" t="s">
        <v>3492</v>
      </c>
      <c r="Q16" s="3449" t="s">
        <v>3450</v>
      </c>
    </row>
    <row r="17" spans="1:19" hidden="1">
      <c r="A17" s="3449" t="s">
        <v>3493</v>
      </c>
      <c r="B17" s="3449" t="s">
        <v>3381</v>
      </c>
      <c r="C17" s="3449" t="s">
        <v>3432</v>
      </c>
      <c r="D17" s="3449">
        <v>16122.82</v>
      </c>
      <c r="E17" s="3449">
        <v>45143.91</v>
      </c>
      <c r="F17" s="3449" t="s">
        <v>3452</v>
      </c>
      <c r="G17" s="3449" t="s">
        <v>3433</v>
      </c>
      <c r="H17" s="3449" t="s">
        <v>3447</v>
      </c>
      <c r="I17" s="3449">
        <v>0</v>
      </c>
      <c r="J17" s="3449" t="s">
        <v>3494</v>
      </c>
      <c r="K17" s="3449" t="s">
        <v>3494</v>
      </c>
      <c r="L17" s="3449">
        <v>76000</v>
      </c>
      <c r="M17" s="3449">
        <v>76000</v>
      </c>
      <c r="N17" s="3449">
        <v>16835.05</v>
      </c>
      <c r="O17" s="3449">
        <v>0</v>
      </c>
      <c r="P17" s="3449" t="s">
        <v>3495</v>
      </c>
      <c r="Q17" s="3449" t="s">
        <v>3437</v>
      </c>
    </row>
    <row r="18" spans="1:19" hidden="1">
      <c r="A18" s="3449" t="s">
        <v>3496</v>
      </c>
      <c r="B18" s="3449" t="s">
        <v>3381</v>
      </c>
      <c r="C18" s="3449" t="s">
        <v>3432</v>
      </c>
      <c r="D18" s="3449">
        <v>17308.8</v>
      </c>
      <c r="E18" s="3449">
        <v>86544</v>
      </c>
      <c r="F18" s="3449" t="s">
        <v>3497</v>
      </c>
      <c r="G18" s="3449" t="s">
        <v>3433</v>
      </c>
      <c r="H18" s="3449" t="s">
        <v>3447</v>
      </c>
      <c r="I18" s="3449">
        <v>0</v>
      </c>
      <c r="J18" s="3449" t="s">
        <v>3498</v>
      </c>
      <c r="K18" s="3449" t="s">
        <v>3498</v>
      </c>
      <c r="L18" s="3449">
        <v>91400</v>
      </c>
      <c r="M18" s="3449">
        <v>91400</v>
      </c>
      <c r="N18" s="3449">
        <v>10561.1</v>
      </c>
      <c r="O18" s="3449">
        <v>0</v>
      </c>
      <c r="P18" s="3449" t="s">
        <v>3499</v>
      </c>
      <c r="Q18" s="3449" t="s">
        <v>3472</v>
      </c>
    </row>
    <row r="19" spans="1:19" hidden="1">
      <c r="A19" s="3449" t="s">
        <v>3500</v>
      </c>
      <c r="B19" s="3449" t="s">
        <v>3381</v>
      </c>
      <c r="C19" s="3449" t="s">
        <v>3432</v>
      </c>
      <c r="D19" s="3449">
        <v>59169.74</v>
      </c>
      <c r="E19" s="3449">
        <v>130173.43</v>
      </c>
      <c r="F19" s="3449" t="s">
        <v>3487</v>
      </c>
      <c r="G19" s="3449" t="s">
        <v>3433</v>
      </c>
      <c r="H19" s="3449" t="s">
        <v>3447</v>
      </c>
      <c r="I19" s="3449">
        <v>0</v>
      </c>
      <c r="J19" s="3449" t="s">
        <v>3501</v>
      </c>
      <c r="K19" s="3449" t="s">
        <v>3501</v>
      </c>
      <c r="L19" s="3449">
        <v>131600</v>
      </c>
      <c r="M19" s="3449">
        <v>131600</v>
      </c>
      <c r="N19" s="3449">
        <v>10109.59</v>
      </c>
      <c r="O19" s="3449">
        <v>0</v>
      </c>
      <c r="P19" s="3449" t="s">
        <v>3502</v>
      </c>
      <c r="Q19" s="3449" t="s">
        <v>3450</v>
      </c>
    </row>
    <row r="20" spans="1:19">
      <c r="A20" s="3449" t="s">
        <v>3503</v>
      </c>
      <c r="B20" s="3449" t="s">
        <v>3381</v>
      </c>
      <c r="C20" s="3449" t="s">
        <v>3432</v>
      </c>
      <c r="D20" s="3449">
        <v>12066.9</v>
      </c>
      <c r="E20" s="3449">
        <v>18100.349999999999</v>
      </c>
      <c r="F20" s="3449">
        <v>1.5</v>
      </c>
      <c r="G20" s="3449" t="s">
        <v>3433</v>
      </c>
      <c r="H20" s="3449" t="s">
        <v>3439</v>
      </c>
      <c r="I20" s="3449">
        <v>0</v>
      </c>
      <c r="J20" s="3449" t="s">
        <v>3504</v>
      </c>
      <c r="K20" s="3449" t="s">
        <v>3504</v>
      </c>
      <c r="L20" s="3449">
        <v>9400</v>
      </c>
      <c r="M20" s="3449">
        <v>9400</v>
      </c>
      <c r="N20" s="3449">
        <v>5193.2700000000004</v>
      </c>
      <c r="O20" s="3449">
        <v>0</v>
      </c>
      <c r="P20" s="3449" t="s">
        <v>3502</v>
      </c>
      <c r="Q20" s="3449" t="s">
        <v>3450</v>
      </c>
    </row>
    <row r="21" spans="1:19" hidden="1">
      <c r="A21" s="3449" t="s">
        <v>3505</v>
      </c>
      <c r="B21" s="3449" t="s">
        <v>3381</v>
      </c>
      <c r="C21" s="3449" t="s">
        <v>3432</v>
      </c>
      <c r="D21" s="3449">
        <v>15178.6</v>
      </c>
      <c r="E21" s="3449">
        <v>45535.8</v>
      </c>
      <c r="F21" s="3449">
        <v>3</v>
      </c>
      <c r="G21" s="3449" t="s">
        <v>3433</v>
      </c>
      <c r="H21" s="3449" t="s">
        <v>3447</v>
      </c>
      <c r="I21" s="3449">
        <v>0</v>
      </c>
      <c r="J21" s="3449" t="s">
        <v>3506</v>
      </c>
      <c r="K21" s="3449" t="s">
        <v>3506</v>
      </c>
      <c r="L21" s="3449">
        <v>58400</v>
      </c>
      <c r="M21" s="3449">
        <v>58400</v>
      </c>
      <c r="N21" s="3449">
        <v>12825.07</v>
      </c>
      <c r="O21" s="3449">
        <v>0</v>
      </c>
      <c r="P21" s="3449" t="s">
        <v>3507</v>
      </c>
      <c r="Q21" s="3449" t="s">
        <v>3459</v>
      </c>
    </row>
    <row r="22" spans="1:19" hidden="1">
      <c r="A22" s="3449" t="s">
        <v>3508</v>
      </c>
      <c r="B22" s="3449" t="s">
        <v>3381</v>
      </c>
      <c r="C22" s="3449" t="s">
        <v>3432</v>
      </c>
      <c r="D22" s="3449">
        <v>19258.580000000002</v>
      </c>
      <c r="E22" s="3449">
        <v>38517.17</v>
      </c>
      <c r="F22" s="3449">
        <v>2</v>
      </c>
      <c r="G22" s="3449" t="s">
        <v>3433</v>
      </c>
      <c r="H22" s="3449" t="s">
        <v>3447</v>
      </c>
      <c r="I22" s="3449">
        <v>0</v>
      </c>
      <c r="J22" s="3449" t="s">
        <v>3509</v>
      </c>
      <c r="K22" s="3449" t="s">
        <v>3509</v>
      </c>
      <c r="L22" s="3449">
        <v>28400</v>
      </c>
      <c r="M22" s="3449">
        <v>28400</v>
      </c>
      <c r="N22" s="3449">
        <v>7373.34</v>
      </c>
      <c r="O22" s="3449">
        <v>0</v>
      </c>
      <c r="P22" s="3449" t="s">
        <v>3510</v>
      </c>
      <c r="Q22" s="3449" t="s">
        <v>3450</v>
      </c>
    </row>
    <row r="23" spans="1:19" hidden="1">
      <c r="A23" s="3449" t="s">
        <v>3511</v>
      </c>
      <c r="B23" s="3449" t="s">
        <v>3381</v>
      </c>
      <c r="C23" s="3449" t="s">
        <v>3432</v>
      </c>
      <c r="D23" s="3449">
        <v>28547.88</v>
      </c>
      <c r="E23" s="3449">
        <v>51828.53</v>
      </c>
      <c r="F23" s="3449">
        <v>1.82</v>
      </c>
      <c r="G23" s="3449" t="s">
        <v>3433</v>
      </c>
      <c r="H23" s="3449" t="s">
        <v>3447</v>
      </c>
      <c r="I23" s="3449">
        <v>0</v>
      </c>
      <c r="J23" s="3449" t="s">
        <v>3509</v>
      </c>
      <c r="K23" s="3449" t="s">
        <v>3509</v>
      </c>
      <c r="L23" s="3449">
        <v>37700</v>
      </c>
      <c r="M23" s="3449">
        <v>37700</v>
      </c>
      <c r="N23" s="3449">
        <v>7273.99</v>
      </c>
      <c r="O23" s="3449">
        <v>0</v>
      </c>
      <c r="P23" s="3449" t="s">
        <v>3512</v>
      </c>
      <c r="Q23" s="3449" t="s">
        <v>3450</v>
      </c>
    </row>
    <row r="24" spans="1:19" hidden="1">
      <c r="A24" s="3449" t="s">
        <v>3513</v>
      </c>
      <c r="B24" s="3449" t="s">
        <v>3381</v>
      </c>
      <c r="C24" s="3449" t="s">
        <v>3432</v>
      </c>
      <c r="D24" s="3449">
        <v>29991.73</v>
      </c>
      <c r="E24" s="3449">
        <v>119966.93</v>
      </c>
      <c r="F24" s="3449">
        <v>4</v>
      </c>
      <c r="G24" s="3449" t="s">
        <v>3433</v>
      </c>
      <c r="H24" s="3449" t="s">
        <v>3447</v>
      </c>
      <c r="I24" s="3449">
        <v>0</v>
      </c>
      <c r="J24" s="3449" t="s">
        <v>3514</v>
      </c>
      <c r="K24" s="3449" t="s">
        <v>3514</v>
      </c>
      <c r="L24" s="3449">
        <v>165300</v>
      </c>
      <c r="M24" s="3449">
        <v>165300</v>
      </c>
      <c r="N24" s="3449">
        <v>13778.8</v>
      </c>
      <c r="O24" s="3449">
        <v>0</v>
      </c>
      <c r="P24" s="3449" t="s">
        <v>3515</v>
      </c>
      <c r="Q24" s="3449" t="s">
        <v>3437</v>
      </c>
    </row>
    <row r="25" spans="1:19" s="3451" customFormat="1" hidden="1">
      <c r="A25" s="3450" t="s">
        <v>3516</v>
      </c>
      <c r="B25" s="3450" t="s">
        <v>3381</v>
      </c>
      <c r="C25" s="3450" t="s">
        <v>3432</v>
      </c>
      <c r="D25" s="3450">
        <v>15197.52</v>
      </c>
      <c r="E25" s="3450">
        <v>30395.05</v>
      </c>
      <c r="F25" s="3450">
        <v>2</v>
      </c>
      <c r="G25" s="3450" t="s">
        <v>3433</v>
      </c>
      <c r="H25" s="3450" t="s">
        <v>3517</v>
      </c>
      <c r="I25" s="3450" t="s">
        <v>3518</v>
      </c>
      <c r="J25" s="3450" t="s">
        <v>3519</v>
      </c>
      <c r="K25" s="3450" t="s">
        <v>3519</v>
      </c>
      <c r="L25" s="3450">
        <v>42600</v>
      </c>
      <c r="M25" s="3450">
        <v>42600</v>
      </c>
      <c r="N25" s="3450">
        <v>14015.44</v>
      </c>
      <c r="O25" s="3450">
        <v>0</v>
      </c>
      <c r="P25" s="3450" t="s">
        <v>3520</v>
      </c>
      <c r="Q25" s="3450" t="s">
        <v>3459</v>
      </c>
    </row>
    <row r="26" spans="1:19" hidden="1">
      <c r="A26" s="3449" t="s">
        <v>3521</v>
      </c>
      <c r="B26" s="3449" t="s">
        <v>3381</v>
      </c>
      <c r="C26" s="3449" t="s">
        <v>3432</v>
      </c>
      <c r="D26" s="3449">
        <v>38252.550000000003</v>
      </c>
      <c r="E26" s="3449">
        <v>84155.61</v>
      </c>
      <c r="F26" s="3449">
        <v>2.2000000000000002</v>
      </c>
      <c r="G26" s="3449" t="s">
        <v>3433</v>
      </c>
      <c r="H26" s="3449" t="s">
        <v>3447</v>
      </c>
      <c r="I26" s="3449">
        <v>0</v>
      </c>
      <c r="J26" s="3449" t="s">
        <v>3522</v>
      </c>
      <c r="K26" s="3449" t="s">
        <v>3522</v>
      </c>
      <c r="L26" s="3449">
        <v>175000</v>
      </c>
      <c r="M26" s="3449">
        <v>175000</v>
      </c>
      <c r="N26" s="3449">
        <v>20794.810000000001</v>
      </c>
      <c r="O26" s="3449">
        <v>0</v>
      </c>
      <c r="P26" s="3449" t="s">
        <v>3523</v>
      </c>
      <c r="Q26" s="3449" t="s">
        <v>3472</v>
      </c>
    </row>
    <row r="27" spans="1:19" hidden="1">
      <c r="A27" s="3449" t="s">
        <v>3524</v>
      </c>
      <c r="B27" s="3449" t="s">
        <v>3381</v>
      </c>
      <c r="C27" s="3449" t="s">
        <v>3432</v>
      </c>
      <c r="D27" s="3449">
        <v>30025.18</v>
      </c>
      <c r="E27" s="3449">
        <v>66055.39</v>
      </c>
      <c r="F27" s="3449">
        <v>2.2000000000000002</v>
      </c>
      <c r="G27" s="3449" t="s">
        <v>3433</v>
      </c>
      <c r="H27" s="3449" t="s">
        <v>3447</v>
      </c>
      <c r="I27" s="3449">
        <v>0</v>
      </c>
      <c r="J27" s="3449" t="s">
        <v>3522</v>
      </c>
      <c r="K27" s="3449" t="s">
        <v>3522</v>
      </c>
      <c r="L27" s="3449">
        <v>137000</v>
      </c>
      <c r="M27" s="3449">
        <v>137000</v>
      </c>
      <c r="N27" s="3449">
        <v>20740.169999999998</v>
      </c>
      <c r="O27" s="3449">
        <v>0</v>
      </c>
      <c r="P27" s="3449" t="s">
        <v>3525</v>
      </c>
      <c r="Q27" s="3449" t="s">
        <v>3472</v>
      </c>
    </row>
    <row r="28" spans="1:19" hidden="1">
      <c r="A28" s="3449" t="s">
        <v>3526</v>
      </c>
      <c r="B28" s="3449" t="s">
        <v>3381</v>
      </c>
      <c r="C28" s="3449" t="s">
        <v>3432</v>
      </c>
      <c r="D28" s="3449">
        <v>204418.11</v>
      </c>
      <c r="E28" s="3449">
        <v>302000</v>
      </c>
      <c r="F28" s="3449">
        <v>1.5</v>
      </c>
      <c r="G28" s="3449" t="s">
        <v>3433</v>
      </c>
      <c r="H28" s="3449" t="s">
        <v>3447</v>
      </c>
      <c r="I28" s="3449">
        <v>0</v>
      </c>
      <c r="J28" s="3449" t="s">
        <v>3522</v>
      </c>
      <c r="K28" s="3449" t="s">
        <v>3522</v>
      </c>
      <c r="L28" s="3449">
        <v>506700</v>
      </c>
      <c r="M28" s="3449">
        <v>506700</v>
      </c>
      <c r="N28" s="3449">
        <v>16778.150000000001</v>
      </c>
      <c r="O28" s="3449">
        <v>0</v>
      </c>
      <c r="P28" s="3449" t="s">
        <v>3527</v>
      </c>
      <c r="Q28" s="3449" t="s">
        <v>3459</v>
      </c>
    </row>
    <row r="29" spans="1:19">
      <c r="A29" s="3449" t="s">
        <v>3528</v>
      </c>
      <c r="B29" s="3449" t="s">
        <v>3381</v>
      </c>
      <c r="C29" s="3449" t="s">
        <v>3432</v>
      </c>
      <c r="D29" s="3449">
        <v>12136.3</v>
      </c>
      <c r="E29" s="3449">
        <v>42477</v>
      </c>
      <c r="F29" s="3449">
        <v>3.5</v>
      </c>
      <c r="G29" s="3449" t="s">
        <v>3433</v>
      </c>
      <c r="H29" s="3449" t="s">
        <v>3439</v>
      </c>
      <c r="I29" s="3449">
        <v>0</v>
      </c>
      <c r="J29" s="3449" t="s">
        <v>3522</v>
      </c>
      <c r="K29" s="3449" t="s">
        <v>3522</v>
      </c>
      <c r="L29" s="3449">
        <v>71000</v>
      </c>
      <c r="M29" s="3449">
        <v>71000</v>
      </c>
      <c r="N29" s="3449">
        <v>16714.93</v>
      </c>
      <c r="O29" s="3449">
        <v>0</v>
      </c>
      <c r="P29" s="3449" t="s">
        <v>3529</v>
      </c>
      <c r="Q29" s="3449" t="s">
        <v>3459</v>
      </c>
    </row>
    <row r="30" spans="1:19" hidden="1">
      <c r="A30" s="3449" t="s">
        <v>3530</v>
      </c>
      <c r="B30" s="3449" t="s">
        <v>3381</v>
      </c>
      <c r="C30" s="3449" t="s">
        <v>3432</v>
      </c>
      <c r="D30" s="3449">
        <v>5907.54</v>
      </c>
      <c r="E30" s="3449">
        <v>21900</v>
      </c>
      <c r="F30" s="3449">
        <v>3.71</v>
      </c>
      <c r="G30" s="3449" t="s">
        <v>3433</v>
      </c>
      <c r="H30" s="3449" t="s">
        <v>3531</v>
      </c>
      <c r="I30" s="3449">
        <v>0</v>
      </c>
      <c r="J30" s="3449" t="s">
        <v>3522</v>
      </c>
      <c r="K30" s="3449" t="s">
        <v>3522</v>
      </c>
      <c r="L30" s="3449">
        <v>46000</v>
      </c>
      <c r="M30" s="3449">
        <v>46000</v>
      </c>
      <c r="N30" s="3449">
        <v>21004.57</v>
      </c>
      <c r="O30" s="3449">
        <v>0</v>
      </c>
      <c r="P30" s="3449" t="s">
        <v>3532</v>
      </c>
      <c r="Q30" s="3449" t="s">
        <v>3437</v>
      </c>
    </row>
    <row r="31" spans="1:19" hidden="1">
      <c r="A31" s="3449" t="s">
        <v>3533</v>
      </c>
      <c r="B31" s="3449" t="s">
        <v>3381</v>
      </c>
      <c r="C31" s="3449" t="s">
        <v>3432</v>
      </c>
      <c r="D31" s="3449">
        <v>25121.77</v>
      </c>
      <c r="E31" s="3449">
        <v>55267.89</v>
      </c>
      <c r="F31" s="3449">
        <v>2.2000000000000002</v>
      </c>
      <c r="G31" s="3449" t="s">
        <v>3433</v>
      </c>
      <c r="H31" s="3449" t="s">
        <v>3447</v>
      </c>
      <c r="I31" s="3449">
        <v>0</v>
      </c>
      <c r="J31" s="3449" t="s">
        <v>3522</v>
      </c>
      <c r="K31" s="3449" t="s">
        <v>3522</v>
      </c>
      <c r="L31" s="3449">
        <v>115000</v>
      </c>
      <c r="M31" s="3449">
        <v>115000</v>
      </c>
      <c r="N31" s="3449">
        <v>20807.740000000002</v>
      </c>
      <c r="O31" s="3449">
        <v>0</v>
      </c>
      <c r="P31" s="3449" t="s">
        <v>3534</v>
      </c>
      <c r="Q31" s="3449" t="s">
        <v>3472</v>
      </c>
    </row>
    <row r="32" spans="1:19" s="3453" customFormat="1">
      <c r="A32" s="3452" t="s">
        <v>3535</v>
      </c>
      <c r="B32" s="3452" t="s">
        <v>3381</v>
      </c>
      <c r="C32" s="3452" t="s">
        <v>3432</v>
      </c>
      <c r="D32" s="3452">
        <v>17147.95</v>
      </c>
      <c r="E32" s="3452">
        <v>53158.65</v>
      </c>
      <c r="F32" s="3452" t="s">
        <v>3536</v>
      </c>
      <c r="G32" s="3452" t="s">
        <v>3433</v>
      </c>
      <c r="H32" s="3452" t="s">
        <v>3537</v>
      </c>
      <c r="I32" s="3452">
        <v>0</v>
      </c>
      <c r="J32" s="3452" t="s">
        <v>3538</v>
      </c>
      <c r="K32" s="3452" t="s">
        <v>3538</v>
      </c>
      <c r="L32" s="3452">
        <v>69200</v>
      </c>
      <c r="M32" s="3452">
        <v>69200</v>
      </c>
      <c r="N32" s="3452">
        <v>13017.64</v>
      </c>
      <c r="O32" s="3452">
        <v>0</v>
      </c>
      <c r="P32" s="3452" t="s">
        <v>3539</v>
      </c>
      <c r="Q32" s="3452" t="s">
        <v>3459</v>
      </c>
      <c r="R32" s="3454" t="s">
        <v>3583</v>
      </c>
      <c r="S32" s="3454" t="s">
        <v>3584</v>
      </c>
    </row>
    <row r="33" spans="1:17" hidden="1">
      <c r="A33" s="3449" t="s">
        <v>3540</v>
      </c>
      <c r="B33" s="3449" t="s">
        <v>3381</v>
      </c>
      <c r="C33" s="3449" t="s">
        <v>3432</v>
      </c>
      <c r="D33" s="3449">
        <v>22058.78</v>
      </c>
      <c r="E33" s="3449">
        <v>47390</v>
      </c>
      <c r="F33" s="3449" t="s">
        <v>3541</v>
      </c>
      <c r="G33" s="3449" t="s">
        <v>3433</v>
      </c>
      <c r="H33" s="3449" t="s">
        <v>3447</v>
      </c>
      <c r="I33" s="3449">
        <v>0</v>
      </c>
      <c r="J33" s="3449" t="s">
        <v>3542</v>
      </c>
      <c r="K33" s="3449" t="s">
        <v>3542</v>
      </c>
      <c r="L33" s="3449">
        <v>32700</v>
      </c>
      <c r="M33" s="3449">
        <v>32700</v>
      </c>
      <c r="N33" s="3449">
        <v>6900.19</v>
      </c>
      <c r="O33" s="3449">
        <v>0</v>
      </c>
      <c r="P33" s="3449" t="s">
        <v>3543</v>
      </c>
      <c r="Q33" s="3449" t="s">
        <v>3437</v>
      </c>
    </row>
    <row r="34" spans="1:17">
      <c r="A34" s="3449" t="s">
        <v>3544</v>
      </c>
      <c r="B34" s="3449" t="s">
        <v>3381</v>
      </c>
      <c r="C34" s="3449" t="s">
        <v>3432</v>
      </c>
      <c r="D34" s="3449">
        <v>1676.22</v>
      </c>
      <c r="E34" s="3449">
        <v>753.4</v>
      </c>
      <c r="F34" s="3449" t="s">
        <v>3545</v>
      </c>
      <c r="G34" s="3449" t="s">
        <v>3433</v>
      </c>
      <c r="H34" s="3449" t="s">
        <v>3469</v>
      </c>
      <c r="I34" s="3449">
        <v>0</v>
      </c>
      <c r="J34" s="3449" t="s">
        <v>3546</v>
      </c>
      <c r="K34" s="3449" t="s">
        <v>3546</v>
      </c>
      <c r="L34" s="3449">
        <v>550</v>
      </c>
      <c r="M34" s="3449">
        <v>550</v>
      </c>
      <c r="N34" s="3449">
        <v>7300.24</v>
      </c>
      <c r="O34" s="3449">
        <v>0</v>
      </c>
      <c r="P34" s="3449" t="s">
        <v>3547</v>
      </c>
      <c r="Q34" s="3449" t="s">
        <v>3548</v>
      </c>
    </row>
    <row r="35" spans="1:17" hidden="1">
      <c r="A35" s="3449" t="s">
        <v>3549</v>
      </c>
      <c r="B35" s="3449" t="s">
        <v>3381</v>
      </c>
      <c r="C35" s="3449" t="s">
        <v>3432</v>
      </c>
      <c r="D35" s="3449">
        <v>25224.15</v>
      </c>
      <c r="E35" s="3449">
        <v>75672.45</v>
      </c>
      <c r="F35" s="3449" t="s">
        <v>3550</v>
      </c>
      <c r="G35" s="3449" t="s">
        <v>3433</v>
      </c>
      <c r="H35" s="3449" t="s">
        <v>3447</v>
      </c>
      <c r="I35" s="3449">
        <v>0</v>
      </c>
      <c r="J35" s="3449" t="s">
        <v>3551</v>
      </c>
      <c r="K35" s="3449" t="s">
        <v>3551</v>
      </c>
      <c r="L35" s="3449">
        <v>60800</v>
      </c>
      <c r="M35" s="3449">
        <v>60800</v>
      </c>
      <c r="N35" s="3449">
        <v>8034.63</v>
      </c>
      <c r="O35" s="3449">
        <v>0</v>
      </c>
      <c r="P35" s="3449" t="s">
        <v>3552</v>
      </c>
      <c r="Q35" s="3449" t="s">
        <v>3472</v>
      </c>
    </row>
    <row r="36" spans="1:17">
      <c r="A36" s="3449" t="s">
        <v>3553</v>
      </c>
      <c r="B36" s="3449" t="s">
        <v>3381</v>
      </c>
      <c r="C36" s="3449" t="s">
        <v>3432</v>
      </c>
      <c r="D36" s="3449">
        <v>28676.63</v>
      </c>
      <c r="E36" s="3449">
        <v>114706.51</v>
      </c>
      <c r="F36" s="3449" t="s">
        <v>3554</v>
      </c>
      <c r="G36" s="3449" t="s">
        <v>3433</v>
      </c>
      <c r="H36" s="3449" t="s">
        <v>3469</v>
      </c>
      <c r="I36" s="3449">
        <v>0</v>
      </c>
      <c r="J36" s="3449" t="s">
        <v>3555</v>
      </c>
      <c r="K36" s="3449" t="s">
        <v>3555</v>
      </c>
      <c r="L36" s="3449">
        <v>175500</v>
      </c>
      <c r="M36" s="3449">
        <v>175500</v>
      </c>
      <c r="N36" s="3449">
        <v>15299.92</v>
      </c>
      <c r="O36" s="3449">
        <v>0</v>
      </c>
      <c r="P36" s="3449" t="s">
        <v>3556</v>
      </c>
      <c r="Q36" s="3449" t="s">
        <v>3459</v>
      </c>
    </row>
    <row r="37" spans="1:17" hidden="1">
      <c r="A37" s="3449" t="s">
        <v>3557</v>
      </c>
      <c r="B37" s="3449" t="s">
        <v>3381</v>
      </c>
      <c r="C37" s="3449" t="s">
        <v>3432</v>
      </c>
      <c r="D37" s="3449">
        <v>26197.17</v>
      </c>
      <c r="E37" s="3449">
        <v>26500</v>
      </c>
      <c r="F37" s="3449" t="s">
        <v>3558</v>
      </c>
      <c r="G37" s="3449" t="s">
        <v>3559</v>
      </c>
      <c r="H37" s="3449" t="s">
        <v>3447</v>
      </c>
      <c r="I37" s="3449">
        <v>0</v>
      </c>
      <c r="J37" s="3449" t="s">
        <v>3560</v>
      </c>
      <c r="K37" s="3449" t="s">
        <v>3561</v>
      </c>
      <c r="L37" s="3449" t="s">
        <v>633</v>
      </c>
      <c r="M37" s="3449">
        <v>20986.799999999999</v>
      </c>
      <c r="N37" s="3449">
        <v>7919.55</v>
      </c>
      <c r="O37" s="3449" t="s">
        <v>633</v>
      </c>
      <c r="P37" s="3449" t="s">
        <v>3562</v>
      </c>
      <c r="Q37" s="3449" t="s">
        <v>3548</v>
      </c>
    </row>
    <row r="38" spans="1:17">
      <c r="A38" s="3449" t="s">
        <v>3563</v>
      </c>
      <c r="B38" s="3449" t="s">
        <v>3381</v>
      </c>
      <c r="C38" s="3449" t="s">
        <v>3432</v>
      </c>
      <c r="D38" s="3449">
        <v>51788.13</v>
      </c>
      <c r="E38" s="3449">
        <v>184800</v>
      </c>
      <c r="F38" s="3449" t="s">
        <v>3564</v>
      </c>
      <c r="G38" s="3449" t="s">
        <v>3433</v>
      </c>
      <c r="H38" s="3449" t="s">
        <v>3439</v>
      </c>
      <c r="I38" s="3449">
        <v>0</v>
      </c>
      <c r="J38" s="3449" t="s">
        <v>3565</v>
      </c>
      <c r="K38" s="3449" t="s">
        <v>3565</v>
      </c>
      <c r="L38" s="3449">
        <v>570500</v>
      </c>
      <c r="M38" s="3449">
        <v>579500</v>
      </c>
      <c r="N38" s="3449">
        <v>31358.23</v>
      </c>
      <c r="O38" s="3449">
        <v>1.58</v>
      </c>
      <c r="P38" s="3449" t="s">
        <v>3566</v>
      </c>
      <c r="Q38" s="3449" t="s">
        <v>3459</v>
      </c>
    </row>
    <row r="39" spans="1:17" hidden="1">
      <c r="A39" s="3449" t="s">
        <v>3567</v>
      </c>
      <c r="B39" s="3449" t="s">
        <v>3381</v>
      </c>
      <c r="C39" s="3449" t="s">
        <v>3432</v>
      </c>
      <c r="D39" s="3449">
        <v>63225.37</v>
      </c>
      <c r="E39" s="3449">
        <v>120200</v>
      </c>
      <c r="F39" s="3449" t="s">
        <v>3568</v>
      </c>
      <c r="G39" s="3449" t="s">
        <v>3433</v>
      </c>
      <c r="H39" s="3449" t="s">
        <v>3447</v>
      </c>
      <c r="I39" s="3449">
        <v>0</v>
      </c>
      <c r="J39" s="3449" t="s">
        <v>3569</v>
      </c>
      <c r="K39" s="3449" t="s">
        <v>3569</v>
      </c>
      <c r="L39" s="3449">
        <v>88100</v>
      </c>
      <c r="M39" s="3449">
        <v>88100</v>
      </c>
      <c r="N39" s="3449">
        <v>7329.45</v>
      </c>
      <c r="O39" s="3449">
        <v>0</v>
      </c>
      <c r="P39" s="3449" t="s">
        <v>3570</v>
      </c>
      <c r="Q39" s="3449" t="s">
        <v>3450</v>
      </c>
    </row>
    <row r="40" spans="1:17">
      <c r="A40" s="3449" t="s">
        <v>3571</v>
      </c>
      <c r="B40" s="3449" t="s">
        <v>3381</v>
      </c>
      <c r="C40" s="3449" t="s">
        <v>3432</v>
      </c>
      <c r="D40" s="3449">
        <v>5352.65</v>
      </c>
      <c r="E40" s="3449">
        <v>843</v>
      </c>
      <c r="F40" s="3449" t="s">
        <v>3572</v>
      </c>
      <c r="G40" s="3449" t="s">
        <v>3433</v>
      </c>
      <c r="H40" s="3449" t="s">
        <v>3469</v>
      </c>
      <c r="I40" s="3449">
        <v>0</v>
      </c>
      <c r="J40" s="3449" t="s">
        <v>3573</v>
      </c>
      <c r="K40" s="3449" t="s">
        <v>3573</v>
      </c>
      <c r="L40" s="3449">
        <v>1310</v>
      </c>
      <c r="M40" s="3449">
        <v>1310</v>
      </c>
      <c r="N40" s="3449">
        <v>15539.74</v>
      </c>
      <c r="O40" s="3449">
        <v>0</v>
      </c>
      <c r="P40" s="3449" t="s">
        <v>3547</v>
      </c>
      <c r="Q40" s="3449" t="s">
        <v>3548</v>
      </c>
    </row>
    <row r="41" spans="1:17" hidden="1">
      <c r="A41" s="3449" t="s">
        <v>3574</v>
      </c>
      <c r="B41" s="3449" t="s">
        <v>3381</v>
      </c>
      <c r="C41" s="3449" t="s">
        <v>3432</v>
      </c>
      <c r="D41" s="3449">
        <v>36823.82</v>
      </c>
      <c r="E41" s="3449">
        <v>25187</v>
      </c>
      <c r="F41" s="3449" t="s">
        <v>3575</v>
      </c>
      <c r="G41" s="3449" t="s">
        <v>3433</v>
      </c>
      <c r="H41" s="3449" t="s">
        <v>3447</v>
      </c>
      <c r="I41" s="3449">
        <v>0</v>
      </c>
      <c r="J41" s="3449" t="s">
        <v>3573</v>
      </c>
      <c r="K41" s="3449" t="s">
        <v>3573</v>
      </c>
      <c r="L41" s="3449">
        <v>29500</v>
      </c>
      <c r="M41" s="3449">
        <v>29500</v>
      </c>
      <c r="N41" s="3449">
        <v>11712.39</v>
      </c>
      <c r="O41" s="3449">
        <v>0</v>
      </c>
      <c r="P41" s="3449" t="s">
        <v>3576</v>
      </c>
      <c r="Q41" s="3449" t="s">
        <v>3450</v>
      </c>
    </row>
    <row r="42" spans="1:17" hidden="1">
      <c r="A42" s="3449" t="s">
        <v>3577</v>
      </c>
      <c r="B42" s="3449" t="s">
        <v>3381</v>
      </c>
      <c r="C42" s="3449" t="s">
        <v>3432</v>
      </c>
      <c r="D42" s="3449">
        <v>265269.8</v>
      </c>
      <c r="E42" s="3449">
        <v>665975.69999999995</v>
      </c>
      <c r="F42" s="3449" t="s">
        <v>3578</v>
      </c>
      <c r="G42" s="3449" t="s">
        <v>3433</v>
      </c>
      <c r="H42" s="3449" t="s">
        <v>3447</v>
      </c>
      <c r="I42" s="3449">
        <v>0</v>
      </c>
      <c r="J42" s="3449" t="s">
        <v>3579</v>
      </c>
      <c r="K42" s="3449" t="s">
        <v>3579</v>
      </c>
      <c r="L42" s="3449">
        <v>699300</v>
      </c>
      <c r="M42" s="3449">
        <v>699300</v>
      </c>
      <c r="N42" s="3449">
        <v>10500.38</v>
      </c>
      <c r="O42" s="3449">
        <v>0</v>
      </c>
      <c r="P42" s="3449" t="s">
        <v>3580</v>
      </c>
      <c r="Q42" s="3449" t="s">
        <v>3459</v>
      </c>
    </row>
  </sheetData>
  <autoFilter ref="A1:Q42">
    <filterColumn colId="7">
      <filters>
        <filter val="B1商业用地"/>
        <filter val="B2商务用地"/>
        <filter val="B4综合性商业金融服务业用地"/>
        <filter val="F3*其他类多功能用地"/>
      </filters>
    </filterColumn>
  </autoFilter>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0" sqref="A6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北京市房地产</v>
      </c>
      <c r="B4" s="854">
        <f>项目基本情况!C17</f>
        <v>1216.8699999999999</v>
      </c>
      <c r="C4" s="854">
        <f>项目基本情况!C18</f>
        <v>527.48</v>
      </c>
      <c r="D4" s="854">
        <f ca="1">结果表!D118</f>
        <v>1531</v>
      </c>
      <c r="E4" s="854">
        <f ca="1">结果表!E118</f>
        <v>12582</v>
      </c>
      <c r="F4" s="854">
        <f ca="1">结果表!F118</f>
        <v>593</v>
      </c>
      <c r="G4" s="854">
        <f ca="1">结果表!G118</f>
        <v>4873</v>
      </c>
      <c r="H4" s="854">
        <f ca="1">结果表!H118</f>
        <v>2124</v>
      </c>
      <c r="I4" s="854">
        <f ca="1">结果表!I118</f>
        <v>17455</v>
      </c>
    </row>
    <row r="5" spans="1:9" ht="30" customHeight="1">
      <c r="A5" s="3486" t="s">
        <v>927</v>
      </c>
      <c r="B5" s="3486"/>
      <c r="C5" s="3486"/>
      <c r="D5" s="3486" t="str">
        <f ca="1">结果表!D119</f>
        <v>壹仟伍佰叁拾壹万元整</v>
      </c>
      <c r="E5" s="3486"/>
      <c r="F5" s="3486" t="str">
        <f ca="1">结果表!F119</f>
        <v>伍佰玖拾叁万元整</v>
      </c>
      <c r="G5" s="3486"/>
      <c r="H5" s="3486" t="str">
        <f ca="1">结果表!H119</f>
        <v>贰仟壹佰贰拾肆万元整</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f ca="1">结果表!D122</f>
        <v>2124</v>
      </c>
      <c r="E8" s="3487"/>
      <c r="F8" s="3487"/>
      <c r="G8" s="3487"/>
      <c r="H8" s="3487"/>
      <c r="I8" s="3487"/>
    </row>
    <row r="9" spans="1:9" ht="15">
      <c r="A9" s="3486" t="s">
        <v>927</v>
      </c>
      <c r="B9" s="3486"/>
      <c r="C9" s="3486"/>
      <c r="D9" s="3486" t="str">
        <f ca="1">结果表!D123</f>
        <v>贰仟壹佰贰拾肆万元整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2"/>
      <c r="E18" s="3512" t="s">
        <v>2162</v>
      </c>
      <c r="F18" s="3511"/>
      <c r="G18" s="351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2023-07-18T07:21:08Z</dcterms:modified>
</cp:coreProperties>
</file>