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75" windowWidth="11310" windowHeight="104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市调" sheetId="80" r:id="rId46"/>
    <sheet name="土地案例" sheetId="81" state="hidden" r:id="rId47"/>
    <sheet name="Sheet1" sheetId="82" r:id="rId48"/>
  </sheets>
  <externalReferences>
    <externalReference r:id="rId49"/>
    <externalReference r:id="rId50"/>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46" hidden="1">土地案例!$A$1:$Q$42</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N22" i="1"/>
  <c r="D3" i="4" l="1"/>
  <c r="I41" i="39" l="1"/>
  <c r="G41" i="39"/>
  <c r="E41" i="39"/>
  <c r="I38" i="39"/>
  <c r="G38" i="39"/>
  <c r="E38" i="39"/>
  <c r="I34" i="39"/>
  <c r="G34" i="39"/>
  <c r="E34" i="39"/>
  <c r="F2" i="81"/>
  <c r="I7" i="39"/>
  <c r="G7" i="39"/>
  <c r="E7" i="39"/>
  <c r="I5" i="39"/>
  <c r="G5" i="39"/>
  <c r="E5" i="39"/>
  <c r="X21" i="1"/>
  <c r="X22" i="1"/>
  <c r="X23" i="1"/>
  <c r="X20" i="1"/>
  <c r="V24" i="1"/>
  <c r="X24" i="1" l="1"/>
  <c r="W24" i="1" s="1"/>
  <c r="B21" i="1"/>
  <c r="Y6" i="1"/>
  <c r="N20"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L25" i="79"/>
  <c r="I25" i="79"/>
  <c r="AD25"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V3" i="79" s="1"/>
  <c r="N5" i="79"/>
  <c r="M5" i="79"/>
  <c r="P5" i="79" s="1"/>
  <c r="L5" i="79"/>
  <c r="K5" i="79"/>
  <c r="K3" i="79" s="1"/>
  <c r="I5" i="79"/>
  <c r="AB3" i="79"/>
  <c r="O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L23" i="79"/>
  <c r="U23" i="79"/>
  <c r="AD29" i="79"/>
  <c r="T23" i="79"/>
  <c r="W23" i="79" s="1"/>
  <c r="S30" i="79"/>
  <c r="U30" i="79"/>
  <c r="AD31" i="79"/>
  <c r="T31" i="79"/>
  <c r="W31" i="79" s="1"/>
  <c r="S32" i="79"/>
  <c r="U32" i="79"/>
  <c r="AD33" i="79"/>
  <c r="T33" i="79"/>
  <c r="W33" i="79" s="1"/>
  <c r="S34" i="79"/>
  <c r="U34" i="79"/>
  <c r="AD35" i="79"/>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B15" i="72" s="1"/>
  <c r="A15" i="62"/>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N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c r="F60" i="71" s="1"/>
  <c r="V60" i="71" s="1"/>
  <c r="P57" i="71"/>
  <c r="E58" i="71"/>
  <c r="E59" i="71" s="1"/>
  <c r="E60" i="71" s="1"/>
  <c r="U60" i="71" s="1"/>
  <c r="O57" i="71"/>
  <c r="C58" i="71"/>
  <c r="D58"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AA38" i="71" s="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Q35" i="71"/>
  <c r="P35" i="71"/>
  <c r="O35" i="71"/>
  <c r="Y35" i="71" s="1"/>
  <c r="Z35" i="71" s="1"/>
  <c r="N35" i="71"/>
  <c r="X35" i="71" s="1"/>
  <c r="Q34" i="71"/>
  <c r="P34" i="71"/>
  <c r="O34" i="71"/>
  <c r="N34" i="71"/>
  <c r="X34" i="71" s="1"/>
  <c r="Q33" i="71"/>
  <c r="F34" i="71" s="1"/>
  <c r="P33" i="71"/>
  <c r="AA32" i="71" s="1"/>
  <c r="O33" i="71"/>
  <c r="N33" i="71"/>
  <c r="D33" i="71"/>
  <c r="Q32" i="71"/>
  <c r="AB32" i="71" s="1"/>
  <c r="P32" i="71"/>
  <c r="O32" i="71"/>
  <c r="Y32" i="71" s="1"/>
  <c r="Z32" i="71" s="1"/>
  <c r="N32" i="71"/>
  <c r="Q31" i="71"/>
  <c r="AB26" i="71" s="1"/>
  <c r="P31" i="71"/>
  <c r="O31" i="71"/>
  <c r="Y31" i="71" s="1"/>
  <c r="Z31" i="71" s="1"/>
  <c r="N31" i="71"/>
  <c r="Q30" i="71"/>
  <c r="P30" i="71"/>
  <c r="O30" i="71"/>
  <c r="N30" i="71"/>
  <c r="X30" i="71" s="1"/>
  <c r="Q29" i="71"/>
  <c r="P29" i="71"/>
  <c r="AA29" i="71" s="1"/>
  <c r="O29" i="71"/>
  <c r="N29" i="71"/>
  <c r="X26" i="71" s="1"/>
  <c r="D29" i="71"/>
  <c r="O28" i="71"/>
  <c r="Y25" i="71" s="1"/>
  <c r="Z25" i="71" s="1"/>
  <c r="N28" i="71"/>
  <c r="B30" i="71"/>
  <c r="B31" i="71" s="1"/>
  <c r="B32" i="71" s="1"/>
  <c r="S32" i="71" s="1"/>
  <c r="B34" i="71"/>
  <c r="B35" i="71" s="1"/>
  <c r="B36" i="71" s="1"/>
  <c r="S36" i="71" s="1"/>
  <c r="X37" i="71"/>
  <c r="AA37" i="71"/>
  <c r="E34" i="71"/>
  <c r="E35" i="71" s="1"/>
  <c r="E36" i="71" s="1"/>
  <c r="U36" i="71" s="1"/>
  <c r="C30" i="71"/>
  <c r="X31" i="71"/>
  <c r="C34" i="71"/>
  <c r="C35" i="71" s="1"/>
  <c r="AB33" i="71"/>
  <c r="AA34" i="71"/>
  <c r="AA35" i="71"/>
  <c r="AA36" i="71"/>
  <c r="C38" i="71"/>
  <c r="C39" i="71" s="1"/>
  <c r="Y37" i="71"/>
  <c r="Z37" i="71" s="1"/>
  <c r="AB37" i="71"/>
  <c r="X38" i="71"/>
  <c r="F51" i="71"/>
  <c r="F52" i="71" s="1"/>
  <c r="V52" i="71" s="1"/>
  <c r="C28" i="71"/>
  <c r="C27" i="71" s="1"/>
  <c r="Y26" i="71"/>
  <c r="Z26" i="71" s="1"/>
  <c r="Y28" i="71"/>
  <c r="Z28" i="71" s="1"/>
  <c r="B28" i="71"/>
  <c r="B27" i="71" s="1"/>
  <c r="B26" i="71" s="1"/>
  <c r="X25" i="71"/>
  <c r="X27" i="71"/>
  <c r="C31" i="71"/>
  <c r="C32" i="71" s="1"/>
  <c r="D30" i="71"/>
  <c r="D34" i="71"/>
  <c r="D38" i="71"/>
  <c r="P28" i="71"/>
  <c r="AA3" i="71" s="1"/>
  <c r="E63" i="71"/>
  <c r="E64" i="71" s="1"/>
  <c r="U64" i="71" s="1"/>
  <c r="Q65" i="71"/>
  <c r="E67" i="71"/>
  <c r="P67" i="71" s="1"/>
  <c r="Q28" i="71"/>
  <c r="F28" i="71" s="1"/>
  <c r="F27" i="71" s="1"/>
  <c r="F26" i="71" s="1"/>
  <c r="C55" i="71"/>
  <c r="C56" i="71" s="1"/>
  <c r="C59" i="71"/>
  <c r="C60" i="71" s="1"/>
  <c r="C63" i="71"/>
  <c r="D63" i="71" s="1"/>
  <c r="Q67" i="71"/>
  <c r="T68" i="71"/>
  <c r="O68" i="71"/>
  <c r="D68" i="71"/>
  <c r="C67" i="71"/>
  <c r="C66" i="71" s="1"/>
  <c r="Q68" i="71"/>
  <c r="C71" i="71"/>
  <c r="D71" i="71" s="1"/>
  <c r="E71" i="71"/>
  <c r="E70" i="71" s="1"/>
  <c r="D72" i="71"/>
  <c r="C75" i="71"/>
  <c r="E75" i="71"/>
  <c r="E74" i="71" s="1"/>
  <c r="D76" i="71"/>
  <c r="C79" i="71"/>
  <c r="C78" i="71" s="1"/>
  <c r="D78" i="71" s="1"/>
  <c r="E79" i="71"/>
  <c r="E78" i="71" s="1"/>
  <c r="D80" i="71"/>
  <c r="C83" i="71"/>
  <c r="D83" i="71" s="1"/>
  <c r="C87" i="71"/>
  <c r="C86" i="71" s="1"/>
  <c r="D86" i="71" s="1"/>
  <c r="S28" i="71"/>
  <c r="AB28" i="71"/>
  <c r="AA25" i="71"/>
  <c r="AA27" i="71"/>
  <c r="D28" i="71"/>
  <c r="U28" i="71" s="1"/>
  <c r="O67" i="71"/>
  <c r="C64" i="71"/>
  <c r="D64" i="71" s="1"/>
  <c r="C82" i="71"/>
  <c r="D82" i="71" s="1"/>
  <c r="D75" i="71"/>
  <c r="C74" i="71"/>
  <c r="D74" i="71" s="1"/>
  <c r="D79" i="71"/>
  <c r="C70" i="71"/>
  <c r="D70" i="71" s="1"/>
  <c r="D59" i="71"/>
  <c r="D55" i="71"/>
  <c r="E66" i="71"/>
  <c r="P65" i="71" s="1"/>
  <c r="D31"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F94" i="40"/>
  <c r="H25" i="40"/>
  <c r="AB25" i="40" s="1"/>
  <c r="G94" i="40"/>
  <c r="J25" i="40"/>
  <c r="AC25" i="40" s="1"/>
  <c r="H29" i="39"/>
  <c r="AB29" i="39" s="1"/>
  <c r="J29" i="39"/>
  <c r="AC29" i="39" s="1"/>
  <c r="J18" i="36"/>
  <c r="AC18" i="36" s="1"/>
  <c r="F68" i="35"/>
  <c r="G68" i="35" s="1"/>
  <c r="H18" i="35"/>
  <c r="AB18" i="35" s="1"/>
  <c r="S18" i="35"/>
  <c r="J18" i="35"/>
  <c r="AC18" i="35" s="1"/>
  <c r="H21" i="37"/>
  <c r="F21" i="37"/>
  <c r="AA21" i="37" s="1"/>
  <c r="H21" i="34"/>
  <c r="AB21" i="34" s="1"/>
  <c r="H21" i="33"/>
  <c r="U21" i="33" s="1"/>
  <c r="F21" i="33"/>
  <c r="S21" i="33" s="1"/>
  <c r="E83" i="21"/>
  <c r="F83" i="21" s="1"/>
  <c r="S21" i="21"/>
  <c r="H1" i="69"/>
  <c r="W25" i="40"/>
  <c r="U25" i="40"/>
  <c r="U29" i="39"/>
  <c r="W29" i="39"/>
  <c r="W18" i="36"/>
  <c r="AB21" i="37"/>
  <c r="U21" i="37"/>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8" i="43"/>
  <c r="D56" i="43"/>
  <c r="D54" i="43"/>
  <c r="D51" i="43"/>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AZ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D33" i="43" s="1"/>
  <c r="D1" i="4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E113" i="33" s="1"/>
  <c r="F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s="1"/>
  <c r="B68" i="37"/>
  <c r="H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B71" i="36"/>
  <c r="D70" i="36"/>
  <c r="H22" i="36"/>
  <c r="AB22" i="36"/>
  <c r="D68" i="36"/>
  <c r="E68" i="36"/>
  <c r="F68" i="36" s="1"/>
  <c r="G68" i="36" s="1"/>
  <c r="D64" i="36"/>
  <c r="E64" i="36"/>
  <c r="F64" i="36" s="1"/>
  <c r="G64" i="36" s="1"/>
  <c r="J16" i="36"/>
  <c r="W16" i="36" s="1"/>
  <c r="D62" i="36"/>
  <c r="E62" i="36" s="1"/>
  <c r="F62" i="36" s="1"/>
  <c r="G62" i="36" s="1"/>
  <c r="B59" i="36"/>
  <c r="B57" i="36"/>
  <c r="J12" i="36" s="1"/>
  <c r="B55" i="36"/>
  <c r="H11" i="36" s="1"/>
  <c r="U11"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B57" i="35"/>
  <c r="B61" i="35"/>
  <c r="B59" i="35"/>
  <c r="J12" i="35" s="1"/>
  <c r="B131" i="34"/>
  <c r="B129" i="34"/>
  <c r="B127" i="34"/>
  <c r="B99" i="34"/>
  <c r="B97" i="34"/>
  <c r="B95" i="34"/>
  <c r="B93" i="34"/>
  <c r="B75" i="34"/>
  <c r="B73" i="34"/>
  <c r="B71" i="34"/>
  <c r="J12" i="34" s="1"/>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c r="G125" i="21" s="1"/>
  <c r="D123" i="21"/>
  <c r="E123" i="21" s="1"/>
  <c r="F123" i="21"/>
  <c r="G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B126" i="21"/>
  <c r="B98" i="21"/>
  <c r="B96" i="21"/>
  <c r="B94" i="21"/>
  <c r="J29" i="21"/>
  <c r="AC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35" i="39"/>
  <c r="AC35" i="39" s="1"/>
  <c r="F35" i="39"/>
  <c r="AA35" i="39" s="1"/>
  <c r="U9" i="39"/>
  <c r="W40" i="39"/>
  <c r="U30" i="37"/>
  <c r="E103" i="37"/>
  <c r="F103" i="37" s="1"/>
  <c r="G103" i="37" s="1"/>
  <c r="H103" i="37" s="1"/>
  <c r="I103" i="37" s="1"/>
  <c r="J103" i="37" s="1"/>
  <c r="K103" i="37" s="1"/>
  <c r="L103" i="37" s="1"/>
  <c r="M103" i="37" s="1"/>
  <c r="F39" i="37"/>
  <c r="S39" i="37" s="1"/>
  <c r="F29" i="36"/>
  <c r="AA29" i="36" s="1"/>
  <c r="F16" i="36"/>
  <c r="AA16" i="36"/>
  <c r="W28" i="36"/>
  <c r="J33" i="36"/>
  <c r="AC33" i="36" s="1"/>
  <c r="H22" i="35"/>
  <c r="AB22" i="35"/>
  <c r="AC27" i="35"/>
  <c r="W28" i="35"/>
  <c r="S34" i="35"/>
  <c r="W22" i="35"/>
  <c r="S31" i="35"/>
  <c r="F36" i="34"/>
  <c r="J35" i="34"/>
  <c r="H39" i="33"/>
  <c r="AB39" i="33" s="1"/>
  <c r="F26" i="33"/>
  <c r="U33" i="33"/>
  <c r="S40" i="33"/>
  <c r="W39" i="33"/>
  <c r="H39" i="37"/>
  <c r="AB39" i="37" s="1"/>
  <c r="S27" i="35"/>
  <c r="F11" i="40"/>
  <c r="AA11" i="40" s="1"/>
  <c r="H11" i="40"/>
  <c r="AB11" i="40" s="1"/>
  <c r="W8" i="40"/>
  <c r="AA9" i="40"/>
  <c r="AC9" i="40"/>
  <c r="U9" i="40"/>
  <c r="S34" i="40"/>
  <c r="U34" i="40"/>
  <c r="U40" i="40"/>
  <c r="F42" i="39"/>
  <c r="AA42" i="39" s="1"/>
  <c r="F41" i="39"/>
  <c r="S41" i="39" s="1"/>
  <c r="H40" i="39"/>
  <c r="AB40" i="39" s="1"/>
  <c r="H39" i="39"/>
  <c r="U39" i="39" s="1"/>
  <c r="H34" i="39"/>
  <c r="U34" i="39" s="1"/>
  <c r="E108" i="39"/>
  <c r="F108" i="39" s="1"/>
  <c r="G108" i="39" s="1"/>
  <c r="H108" i="39" s="1"/>
  <c r="I108" i="39" s="1"/>
  <c r="J108" i="39" s="1"/>
  <c r="K108" i="39" s="1"/>
  <c r="L108" i="39" s="1"/>
  <c r="M108" i="39" s="1"/>
  <c r="E100" i="39"/>
  <c r="H27" i="39" s="1"/>
  <c r="H19" i="39"/>
  <c r="AB19" i="39" s="1"/>
  <c r="F19" i="39"/>
  <c r="AA19" i="39" s="1"/>
  <c r="H17" i="39"/>
  <c r="AB17" i="39" s="1"/>
  <c r="F17" i="39"/>
  <c r="AA17" i="39" s="1"/>
  <c r="J23" i="40"/>
  <c r="AC23" i="40" s="1"/>
  <c r="F21" i="40"/>
  <c r="AA21" i="40" s="1"/>
  <c r="J21" i="40"/>
  <c r="W21" i="40" s="1"/>
  <c r="H42" i="39"/>
  <c r="AB42" i="39" s="1"/>
  <c r="J34" i="39"/>
  <c r="AC34" i="39" s="1"/>
  <c r="F100" i="39"/>
  <c r="J19" i="39"/>
  <c r="AC19" i="39" s="1"/>
  <c r="J17" i="39"/>
  <c r="J27" i="39"/>
  <c r="AC27" i="39" s="1"/>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J33" i="37"/>
  <c r="AC33" i="37" s="1"/>
  <c r="U42" i="34"/>
  <c r="H40" i="34"/>
  <c r="U40" i="34" s="1"/>
  <c r="E114" i="34"/>
  <c r="F114" i="34" s="1"/>
  <c r="H36" i="34"/>
  <c r="U36" i="34" s="1"/>
  <c r="F37" i="34"/>
  <c r="AA37" i="34" s="1"/>
  <c r="F28" i="34"/>
  <c r="AA28" i="34"/>
  <c r="F25" i="34"/>
  <c r="S25" i="34" s="1"/>
  <c r="H23" i="34"/>
  <c r="U23" i="34" s="1"/>
  <c r="J23" i="34"/>
  <c r="W23" i="34" s="1"/>
  <c r="F19" i="34"/>
  <c r="S19" i="34" s="1"/>
  <c r="H17" i="34"/>
  <c r="U17" i="34" s="1"/>
  <c r="F15" i="34"/>
  <c r="AA15" i="34" s="1"/>
  <c r="J15" i="34"/>
  <c r="AC15" i="34" s="1"/>
  <c r="H15" i="34"/>
  <c r="AB15" i="34" s="1"/>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S34" i="37"/>
  <c r="J43" i="34"/>
  <c r="AB42" i="34"/>
  <c r="J40"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S41" i="33"/>
  <c r="G113" i="33"/>
  <c r="H113" i="33" s="1"/>
  <c r="I113" i="33" s="1"/>
  <c r="J113" i="33" s="1"/>
  <c r="K113" i="33" s="1"/>
  <c r="L113" i="33" s="1"/>
  <c r="M113" i="33" s="1"/>
  <c r="H37" i="33"/>
  <c r="AB37" i="33" s="1"/>
  <c r="H15" i="33"/>
  <c r="AB15" i="33" s="1"/>
  <c r="H11" i="33"/>
  <c r="AB11" i="33" s="1"/>
  <c r="F28" i="40"/>
  <c r="AA28" i="40" s="1"/>
  <c r="AA29" i="35"/>
  <c r="S42" i="34"/>
  <c r="AC38" i="34"/>
  <c r="AA38" i="34"/>
  <c r="J37" i="34"/>
  <c r="AC37" i="34" s="1"/>
  <c r="J11" i="33"/>
  <c r="W11" i="33" s="1"/>
  <c r="S28" i="34"/>
  <c r="U23" i="40"/>
  <c r="H123" i="21"/>
  <c r="I123" i="21" s="1"/>
  <c r="J123" i="21" s="1"/>
  <c r="K123" i="21" s="1"/>
  <c r="L123" i="21" s="1"/>
  <c r="M123" i="21" s="1"/>
  <c r="J42" i="21"/>
  <c r="AC42" i="21" s="1"/>
  <c r="H42" i="21"/>
  <c r="U42" i="21" s="1"/>
  <c r="J44" i="34"/>
  <c r="F44" i="34"/>
  <c r="AA44" i="34" s="1"/>
  <c r="J10" i="35"/>
  <c r="AC10" i="35" s="1"/>
  <c r="BL587" i="3"/>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s="1"/>
  <c r="H28" i="36"/>
  <c r="U28" i="36" s="1"/>
  <c r="H32" i="36"/>
  <c r="AB32" i="36" s="1"/>
  <c r="J32" i="36"/>
  <c r="W32" i="36" s="1"/>
  <c r="J11" i="36"/>
  <c r="AC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W12" i="40"/>
  <c r="H30" i="33"/>
  <c r="AB30" i="33" s="1"/>
  <c r="F30" i="33"/>
  <c r="H44" i="33"/>
  <c r="J29" i="34"/>
  <c r="J25" i="36"/>
  <c r="W25" i="36"/>
  <c r="F25" i="36"/>
  <c r="S25" i="36"/>
  <c r="H25" i="36"/>
  <c r="AB25" i="36"/>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37"/>
  <c r="AC14" i="37"/>
  <c r="J27" i="37"/>
  <c r="AC27" i="37"/>
  <c r="J36" i="37"/>
  <c r="AC36" i="37" s="1"/>
  <c r="G105" i="37"/>
  <c r="J10" i="36"/>
  <c r="AC10" i="36" s="1"/>
  <c r="AA14" i="37"/>
  <c r="W13" i="36"/>
  <c r="AB46" i="34"/>
  <c r="AC30" i="34"/>
  <c r="AA14" i="34"/>
  <c r="S45" i="33"/>
  <c r="AB45" i="33"/>
  <c r="AB31" i="33"/>
  <c r="U31" i="33"/>
  <c r="W29" i="33"/>
  <c r="S44" i="34"/>
  <c r="BA585" i="3"/>
  <c r="F17" i="21"/>
  <c r="AA17" i="21" s="1"/>
  <c r="H17" i="21"/>
  <c r="AB17" i="21" s="1"/>
  <c r="F15" i="21"/>
  <c r="S15" i="21" s="1"/>
  <c r="J41" i="39"/>
  <c r="W41" i="39" s="1"/>
  <c r="AC45" i="39"/>
  <c r="W35" i="39"/>
  <c r="S35" i="39"/>
  <c r="G544"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4" i="3"/>
  <c r="BL530" i="3"/>
  <c r="BL526" i="3"/>
  <c r="BL522" i="3"/>
  <c r="BL516" i="3"/>
  <c r="BL512" i="3"/>
  <c r="BL506" i="3"/>
  <c r="BL502" i="3"/>
  <c r="BL498" i="3"/>
  <c r="BL494" i="3"/>
  <c r="BL582" i="3"/>
  <c r="BL574" i="3"/>
  <c r="BL566" i="3"/>
  <c r="BL556" i="3"/>
  <c r="BL544" i="3"/>
  <c r="BL536" i="3"/>
  <c r="G533" i="3"/>
  <c r="BL532" i="3"/>
  <c r="G529" i="3"/>
  <c r="BL528" i="3"/>
  <c r="G525" i="3"/>
  <c r="BL524" i="3"/>
  <c r="BL518" i="3"/>
  <c r="BL514" i="3"/>
  <c r="BL510" i="3"/>
  <c r="BL504" i="3"/>
  <c r="BL500" i="3"/>
  <c r="BL496" i="3"/>
  <c r="G493" i="3"/>
  <c r="BA584" i="3"/>
  <c r="BA558" i="3"/>
  <c r="BA556" i="3"/>
  <c r="BA554" i="3"/>
  <c r="AZ554" i="3" s="1"/>
  <c r="BA552" i="3"/>
  <c r="BA548" i="3"/>
  <c r="BA544" i="3"/>
  <c r="AZ544" i="3" s="1"/>
  <c r="BA542" i="3"/>
  <c r="BA540" i="3"/>
  <c r="BA538" i="3"/>
  <c r="BA536" i="3"/>
  <c r="BA534" i="3"/>
  <c r="AZ534" i="3" s="1"/>
  <c r="BA532" i="3"/>
  <c r="BA530" i="3"/>
  <c r="BA528" i="3"/>
  <c r="AZ528" i="3" s="1"/>
  <c r="BA526" i="3"/>
  <c r="AZ526" i="3" s="1"/>
  <c r="BA524" i="3"/>
  <c r="AZ524" i="3" s="1"/>
  <c r="BA522" i="3"/>
  <c r="BA520" i="3"/>
  <c r="BA518" i="3"/>
  <c r="AZ518" i="3" s="1"/>
  <c r="BA516" i="3"/>
  <c r="AZ516" i="3" s="1"/>
  <c r="BA514" i="3"/>
  <c r="BA512" i="3"/>
  <c r="BA510" i="3"/>
  <c r="AZ510" i="3" s="1"/>
  <c r="BA508" i="3"/>
  <c r="BA506" i="3"/>
  <c r="BA504" i="3"/>
  <c r="BA502" i="3"/>
  <c r="BA500" i="3"/>
  <c r="BA498" i="3"/>
  <c r="AZ498" i="3" s="1"/>
  <c r="BA496" i="3"/>
  <c r="BA494" i="3"/>
  <c r="BA587" i="3"/>
  <c r="AZ587" i="3" s="1"/>
  <c r="BA583" i="3"/>
  <c r="BA577" i="3"/>
  <c r="BA573" i="3"/>
  <c r="BA569" i="3"/>
  <c r="BA565" i="3"/>
  <c r="BA561" i="3"/>
  <c r="BA555" i="3"/>
  <c r="BA549" i="3"/>
  <c r="BA545" i="3"/>
  <c r="BA541" i="3"/>
  <c r="BA537" i="3"/>
  <c r="BA535" i="3"/>
  <c r="BA533" i="3"/>
  <c r="BA531" i="3"/>
  <c r="BA529" i="3"/>
  <c r="BA527" i="3"/>
  <c r="BA525" i="3"/>
  <c r="BA523" i="3"/>
  <c r="BA519" i="3"/>
  <c r="BA517" i="3"/>
  <c r="BA515" i="3"/>
  <c r="BA513" i="3"/>
  <c r="BA511" i="3"/>
  <c r="BA507" i="3"/>
  <c r="BA505" i="3"/>
  <c r="BA503" i="3"/>
  <c r="BA501" i="3"/>
  <c r="BA499" i="3"/>
  <c r="BA497" i="3"/>
  <c r="BA495" i="3"/>
  <c r="BA493" i="3"/>
  <c r="G583" i="3"/>
  <c r="G579" i="3"/>
  <c r="G575" i="3"/>
  <c r="G571" i="3"/>
  <c r="G567" i="3"/>
  <c r="G563" i="3"/>
  <c r="BL558" i="3"/>
  <c r="AC557" i="3"/>
  <c r="G557" i="3" s="1"/>
  <c r="BQ557" i="3"/>
  <c r="BL557" i="3" s="1"/>
  <c r="BQ583" i="3"/>
  <c r="BL583" i="3" s="1"/>
  <c r="BQ581" i="3"/>
  <c r="BQ579" i="3"/>
  <c r="BQ577" i="3"/>
  <c r="BL577" i="3" s="1"/>
  <c r="BQ575" i="3"/>
  <c r="BQ573" i="3"/>
  <c r="BL573" i="3" s="1"/>
  <c r="BQ571" i="3"/>
  <c r="BQ569" i="3"/>
  <c r="BL569" i="3" s="1"/>
  <c r="BQ567" i="3"/>
  <c r="BQ565" i="3"/>
  <c r="BL565" i="3"/>
  <c r="BQ563" i="3"/>
  <c r="BQ561" i="3"/>
  <c r="BQ559" i="3"/>
  <c r="BL559" i="3"/>
  <c r="G559" i="3"/>
  <c r="G553" i="3"/>
  <c r="G547" i="3"/>
  <c r="G543" i="3"/>
  <c r="G539" i="3"/>
  <c r="G537" i="3"/>
  <c r="BQ555" i="3"/>
  <c r="BQ553" i="3"/>
  <c r="BL553" i="3" s="1"/>
  <c r="BQ551" i="3"/>
  <c r="BQ549" i="3"/>
  <c r="BQ547" i="3"/>
  <c r="BL547" i="3" s="1"/>
  <c r="BQ545" i="3"/>
  <c r="BQ543" i="3"/>
  <c r="BL543" i="3"/>
  <c r="BQ541" i="3"/>
  <c r="BL541" i="3" s="1"/>
  <c r="BQ539" i="3"/>
  <c r="BL539" i="3" s="1"/>
  <c r="BQ537" i="3"/>
  <c r="BL537" i="3" s="1"/>
  <c r="AZ537" i="3" s="1"/>
  <c r="BQ535" i="3"/>
  <c r="BL535" i="3" s="1"/>
  <c r="AZ535" i="3" s="1"/>
  <c r="BQ533" i="3"/>
  <c r="BL533" i="3" s="1"/>
  <c r="BQ531" i="3"/>
  <c r="BL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s="1"/>
  <c r="BQ517" i="3"/>
  <c r="BL517" i="3" s="1"/>
  <c r="AZ517" i="3" s="1"/>
  <c r="BQ515" i="3"/>
  <c r="BL515" i="3" s="1"/>
  <c r="BQ513" i="3"/>
  <c r="BL513" i="3" s="1"/>
  <c r="AZ513" i="3" s="1"/>
  <c r="BQ511" i="3"/>
  <c r="BL511" i="3"/>
  <c r="BA509" i="3"/>
  <c r="AC509" i="3"/>
  <c r="BQ509" i="3"/>
  <c r="BL509" i="3" s="1"/>
  <c r="AZ509" i="3" s="1"/>
  <c r="BL508" i="3"/>
  <c r="G507" i="3"/>
  <c r="G505" i="3"/>
  <c r="G503" i="3"/>
  <c r="G501" i="3"/>
  <c r="G499" i="3"/>
  <c r="G497" i="3"/>
  <c r="G495" i="3"/>
  <c r="BQ507" i="3"/>
  <c r="BL507" i="3" s="1"/>
  <c r="AZ507" i="3" s="1"/>
  <c r="BQ505" i="3"/>
  <c r="BL505" i="3" s="1"/>
  <c r="AZ505" i="3" s="1"/>
  <c r="BQ503" i="3"/>
  <c r="BL503" i="3" s="1"/>
  <c r="AZ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W14" i="37"/>
  <c r="U33" i="37"/>
  <c r="U39" i="37"/>
  <c r="AA13" i="33"/>
  <c r="AC31" i="33"/>
  <c r="AC45"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H19" i="40"/>
  <c r="U19" i="40" s="1"/>
  <c r="F88" i="40"/>
  <c r="G88" i="40" s="1"/>
  <c r="F19" i="40"/>
  <c r="S19" i="40" s="1"/>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AB34" i="39"/>
  <c r="U40" i="39"/>
  <c r="S42" i="39"/>
  <c r="AA41" i="39"/>
  <c r="W9" i="39"/>
  <c r="J19" i="40"/>
  <c r="AC19" i="40" s="1"/>
  <c r="J50" i="40"/>
  <c r="H103" i="9"/>
  <c r="D8" i="53" s="1"/>
  <c r="B16" i="53"/>
  <c r="B33" i="72" s="1"/>
  <c r="C7" i="37"/>
  <c r="C7" i="34"/>
  <c r="C7" i="36"/>
  <c r="W35" i="40"/>
  <c r="A118" i="9"/>
  <c r="A4" i="52"/>
  <c r="B41" i="72" s="1"/>
  <c r="G4" i="4"/>
  <c r="I4" i="4"/>
  <c r="A2" i="9"/>
  <c r="F61" i="43"/>
  <c r="H64" i="43" s="1"/>
  <c r="G64" i="43" s="1"/>
  <c r="K64" i="43" s="1"/>
  <c r="J64" i="43" s="1"/>
  <c r="AZ24" i="3"/>
  <c r="AZ28" i="3"/>
  <c r="BL549" i="3"/>
  <c r="AZ549" i="3" s="1"/>
  <c r="AZ494" i="3"/>
  <c r="AZ502" i="3"/>
  <c r="AZ514" i="3"/>
  <c r="AZ522" i="3"/>
  <c r="AZ530" i="3"/>
  <c r="G546" i="3"/>
  <c r="G524" i="3"/>
  <c r="G303" i="3"/>
  <c r="BL304" i="3"/>
  <c r="G305" i="3"/>
  <c r="BL306" i="3"/>
  <c r="BA308" i="3"/>
  <c r="AZ308" i="3" s="1"/>
  <c r="BA309" i="3"/>
  <c r="BL309" i="3"/>
  <c r="G310" i="3"/>
  <c r="BA311" i="3"/>
  <c r="AZ311" i="3" s="1"/>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BL116" i="3"/>
  <c r="G117" i="3"/>
  <c r="BA119" i="3"/>
  <c r="BL120" i="3"/>
  <c r="G121" i="3"/>
  <c r="BA123" i="3"/>
  <c r="BL124" i="3"/>
  <c r="G125" i="3"/>
  <c r="BA127" i="3"/>
  <c r="AZ127" i="3" s="1"/>
  <c r="BL128" i="3"/>
  <c r="G129" i="3"/>
  <c r="BA131" i="3"/>
  <c r="AZ131" i="3" s="1"/>
  <c r="BL132" i="3"/>
  <c r="G133" i="3"/>
  <c r="BA135" i="3"/>
  <c r="AZ135" i="3" s="1"/>
  <c r="BL136" i="3"/>
  <c r="G137" i="3"/>
  <c r="BA139" i="3"/>
  <c r="AZ139" i="3" s="1"/>
  <c r="BL140" i="3"/>
  <c r="AZ140" i="3" s="1"/>
  <c r="G141" i="3"/>
  <c r="BA143" i="3"/>
  <c r="BL144" i="3"/>
  <c r="G145" i="3"/>
  <c r="BA147" i="3"/>
  <c r="AZ147" i="3" s="1"/>
  <c r="BL148" i="3"/>
  <c r="G149" i="3"/>
  <c r="BA151" i="3"/>
  <c r="BL152" i="3"/>
  <c r="G153" i="3"/>
  <c r="BA155" i="3"/>
  <c r="BL156" i="3"/>
  <c r="AZ156" i="3"/>
  <c r="G157" i="3"/>
  <c r="BA159" i="3"/>
  <c r="AZ159" i="3" s="1"/>
  <c r="BL160" i="3"/>
  <c r="G161" i="3"/>
  <c r="BA163" i="3"/>
  <c r="AZ163" i="3" s="1"/>
  <c r="BL164" i="3"/>
  <c r="G165" i="3"/>
  <c r="BA167" i="3"/>
  <c r="AZ167" i="3" s="1"/>
  <c r="BL168" i="3"/>
  <c r="G169" i="3"/>
  <c r="BA171" i="3"/>
  <c r="AZ171" i="3" s="1"/>
  <c r="BL172" i="3"/>
  <c r="AZ172" i="3" s="1"/>
  <c r="G173" i="3"/>
  <c r="BA175" i="3"/>
  <c r="AZ175" i="3" s="1"/>
  <c r="BL176" i="3"/>
  <c r="AZ176" i="3" s="1"/>
  <c r="G177" i="3"/>
  <c r="BA179" i="3"/>
  <c r="BL180" i="3"/>
  <c r="G181" i="3"/>
  <c r="BA183" i="3"/>
  <c r="BL184" i="3"/>
  <c r="AZ184" i="3" s="1"/>
  <c r="G185" i="3"/>
  <c r="BA187" i="3"/>
  <c r="BL188" i="3"/>
  <c r="AZ188" i="3" s="1"/>
  <c r="G189" i="3"/>
  <c r="BA191" i="3"/>
  <c r="AZ191" i="3" s="1"/>
  <c r="BL192" i="3"/>
  <c r="G193" i="3"/>
  <c r="BA195" i="3"/>
  <c r="AZ195" i="3" s="1"/>
  <c r="BL196" i="3"/>
  <c r="G197" i="3"/>
  <c r="BA199" i="3"/>
  <c r="AZ199" i="3" s="1"/>
  <c r="BL200" i="3"/>
  <c r="AZ200" i="3" s="1"/>
  <c r="G201" i="3"/>
  <c r="BA203" i="3"/>
  <c r="AZ203" i="3" s="1"/>
  <c r="BL204" i="3"/>
  <c r="AZ204" i="3" s="1"/>
  <c r="AZ39" i="3"/>
  <c r="AZ59" i="3"/>
  <c r="AZ63" i="3"/>
  <c r="AZ75" i="3"/>
  <c r="AZ79" i="3"/>
  <c r="AZ168" i="3"/>
  <c r="AZ93" i="3"/>
  <c r="AZ101"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66" i="3"/>
  <c r="AZ170" i="3"/>
  <c r="AZ174" i="3"/>
  <c r="AZ198" i="3"/>
  <c r="AZ202" i="3"/>
  <c r="AZ206" i="3"/>
  <c r="AZ500" i="3"/>
  <c r="BA16" i="3"/>
  <c r="BL303" i="3"/>
  <c r="G304" i="3"/>
  <c r="BA306" i="3"/>
  <c r="AZ306" i="3" s="1"/>
  <c r="BL307" i="3"/>
  <c r="G308" i="3"/>
  <c r="BA310" i="3"/>
  <c r="AZ310" i="3" s="1"/>
  <c r="BL311" i="3"/>
  <c r="G312" i="3"/>
  <c r="BA314" i="3"/>
  <c r="BL315" i="3"/>
  <c r="G316" i="3"/>
  <c r="BA318" i="3"/>
  <c r="AZ318" i="3" s="1"/>
  <c r="BL319" i="3"/>
  <c r="AZ319" i="3" s="1"/>
  <c r="G320" i="3"/>
  <c r="BA322" i="3"/>
  <c r="AZ322" i="3" s="1"/>
  <c r="BL323" i="3"/>
  <c r="AZ323" i="3" s="1"/>
  <c r="G324" i="3"/>
  <c r="BA326" i="3"/>
  <c r="BL327" i="3"/>
  <c r="AZ327" i="3" s="1"/>
  <c r="G328" i="3"/>
  <c r="BA330" i="3"/>
  <c r="AZ330" i="3" s="1"/>
  <c r="BL331" i="3"/>
  <c r="G332" i="3"/>
  <c r="BA334" i="3"/>
  <c r="AZ334" i="3" s="1"/>
  <c r="BL335" i="3"/>
  <c r="G336" i="3"/>
  <c r="BA338" i="3"/>
  <c r="AZ338" i="3" s="1"/>
  <c r="BL339" i="3"/>
  <c r="G340" i="3"/>
  <c r="BL343" i="3"/>
  <c r="G344" i="3"/>
  <c r="G348" i="3"/>
  <c r="G355" i="3"/>
  <c r="AZ209" i="3"/>
  <c r="G342" i="3"/>
  <c r="BL345" i="3"/>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G375" i="3"/>
  <c r="BA377" i="3"/>
  <c r="AZ377" i="3" s="1"/>
  <c r="AZ233" i="3"/>
  <c r="AZ237" i="3"/>
  <c r="AZ245" i="3"/>
  <c r="BA379" i="3"/>
  <c r="AZ379" i="3" s="1"/>
  <c r="BL380" i="3"/>
  <c r="G381" i="3"/>
  <c r="BA383" i="3"/>
  <c r="AZ383" i="3" s="1"/>
  <c r="BL384" i="3"/>
  <c r="G385" i="3"/>
  <c r="BA387" i="3"/>
  <c r="AZ387" i="3" s="1"/>
  <c r="BL388" i="3"/>
  <c r="G389" i="3"/>
  <c r="BA391" i="3"/>
  <c r="BL392" i="3"/>
  <c r="G393" i="3"/>
  <c r="BO5" i="3"/>
  <c r="BM5" i="3"/>
  <c r="BJ5" i="3"/>
  <c r="BH5" i="3"/>
  <c r="BF5" i="3"/>
  <c r="BD5" i="3"/>
  <c r="AZ309" i="3"/>
  <c r="AZ325" i="3"/>
  <c r="AZ333" i="3"/>
  <c r="AZ341" i="3"/>
  <c r="BQ5" i="3"/>
  <c r="AC5" i="3"/>
  <c r="AZ506" i="3"/>
  <c r="AZ496" i="3"/>
  <c r="G548" i="3"/>
  <c r="G538" i="3"/>
  <c r="G520" i="3"/>
  <c r="G502" i="3"/>
  <c r="BS5" i="3"/>
  <c r="BP5" i="3"/>
  <c r="BN5" i="3"/>
  <c r="BK5" i="3"/>
  <c r="BI5" i="3"/>
  <c r="BG5" i="3"/>
  <c r="BE5" i="3"/>
  <c r="BC5" i="3"/>
  <c r="G17" i="3"/>
  <c r="BA17" i="3"/>
  <c r="BT5" i="3"/>
  <c r="AZ364" i="3"/>
  <c r="BA15" i="3"/>
  <c r="AZ15" i="3" s="1"/>
  <c r="BB5" i="3"/>
  <c r="BR5" i="3"/>
  <c r="AZ380"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6" i="39"/>
  <c r="F96" i="39" s="1"/>
  <c r="G96" i="39" s="1"/>
  <c r="AZ386" i="3"/>
  <c r="C40" i="11"/>
  <c r="AZ235" i="3"/>
  <c r="AZ240" i="3"/>
  <c r="AZ248" i="3"/>
  <c r="AZ133" i="3"/>
  <c r="AZ21" i="3"/>
  <c r="AZ37" i="3"/>
  <c r="AZ58" i="3"/>
  <c r="AZ61" i="3"/>
  <c r="AZ77"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AC12" i="39"/>
  <c r="W12" i="39"/>
  <c r="AZ428" i="3"/>
  <c r="AZ473" i="3"/>
  <c r="AZ490" i="3"/>
  <c r="F28" i="6"/>
  <c r="BL14" i="3"/>
  <c r="U30" i="33"/>
  <c r="F12" i="33"/>
  <c r="H12" i="39"/>
  <c r="AB12" i="39" s="1"/>
  <c r="F39" i="40"/>
  <c r="BA14" i="3"/>
  <c r="AZ367" i="3"/>
  <c r="AZ238" i="3"/>
  <c r="AZ250" i="3"/>
  <c r="AZ165" i="3"/>
  <c r="AZ197" i="3"/>
  <c r="AZ19" i="3"/>
  <c r="AZ26" i="3"/>
  <c r="AZ4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U25" i="39"/>
  <c r="J21" i="39"/>
  <c r="W21" i="39" s="1"/>
  <c r="F21" i="39"/>
  <c r="H21" i="39"/>
  <c r="AB21" i="39" s="1"/>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U29" i="35"/>
  <c r="U28" i="35"/>
  <c r="AB27" i="35"/>
  <c r="U32" i="35"/>
  <c r="AA33" i="35"/>
  <c r="AC30" i="35"/>
  <c r="S32" i="35"/>
  <c r="AA36" i="35"/>
  <c r="S28" i="35"/>
  <c r="AB16" i="35"/>
  <c r="U22" i="35"/>
  <c r="S20" i="35"/>
  <c r="AC20" i="35"/>
  <c r="S22" i="35"/>
  <c r="U14" i="35"/>
  <c r="AA11" i="35"/>
  <c r="AC9" i="35"/>
  <c r="W9" i="35"/>
  <c r="F9" i="35"/>
  <c r="S9" i="35" s="1"/>
  <c r="H9" i="35"/>
  <c r="U9" i="35" s="1"/>
  <c r="AB40" i="37"/>
  <c r="W27" i="37"/>
  <c r="AC29" i="37"/>
  <c r="U29" i="37"/>
  <c r="S32" i="37"/>
  <c r="AB31" i="37"/>
  <c r="W30" i="37"/>
  <c r="S36" i="37"/>
  <c r="U32" i="37"/>
  <c r="AC35" i="37"/>
  <c r="S30" i="37"/>
  <c r="S37" i="37"/>
  <c r="AC15" i="37"/>
  <c r="J17" i="37"/>
  <c r="W17" i="37" s="1"/>
  <c r="F17" i="37"/>
  <c r="AA17" i="37" s="1"/>
  <c r="AB17" i="37"/>
  <c r="F19" i="37"/>
  <c r="F23" i="37"/>
  <c r="S23" i="37" s="1"/>
  <c r="U23" i="37"/>
  <c r="U15" i="37"/>
  <c r="AC13" i="37"/>
  <c r="AA13" i="37"/>
  <c r="H10" i="37"/>
  <c r="AB10" i="37" s="1"/>
  <c r="F63" i="37"/>
  <c r="F11" i="37"/>
  <c r="S11" i="37" s="1"/>
  <c r="W25" i="34"/>
  <c r="AA33" i="34"/>
  <c r="U43" i="34"/>
  <c r="AC39" i="34"/>
  <c r="AC42" i="34"/>
  <c r="AB35" i="34"/>
  <c r="U39" i="34"/>
  <c r="AB41" i="34"/>
  <c r="AA25" i="34"/>
  <c r="U28" i="34"/>
  <c r="S17" i="34"/>
  <c r="U27" i="34"/>
  <c r="S2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W43" i="33"/>
  <c r="S43" i="33"/>
  <c r="F91" i="33"/>
  <c r="H27" i="33"/>
  <c r="AB27" i="33" s="1"/>
  <c r="F87" i="33"/>
  <c r="H25" i="33"/>
  <c r="AB25" i="33" s="1"/>
  <c r="F25" i="33"/>
  <c r="J23" i="33"/>
  <c r="W23" i="33" s="1"/>
  <c r="F85" i="33"/>
  <c r="H23" i="33"/>
  <c r="U23" i="33" s="1"/>
  <c r="F81" i="33"/>
  <c r="F19" i="33"/>
  <c r="S19" i="33" s="1"/>
  <c r="W19" i="33"/>
  <c r="J17" i="33"/>
  <c r="AC17" i="33" s="1"/>
  <c r="F79" i="33"/>
  <c r="S15" i="33"/>
  <c r="W15" i="33"/>
  <c r="U9" i="33"/>
  <c r="J10" i="33"/>
  <c r="W10" i="33" s="1"/>
  <c r="H10" i="33"/>
  <c r="U10" i="33" s="1"/>
  <c r="AC11" i="33"/>
  <c r="W43" i="21"/>
  <c r="W36" i="21"/>
  <c r="W41" i="21"/>
  <c r="AB39" i="21"/>
  <c r="AA43" i="21"/>
  <c r="S39" i="21"/>
  <c r="AA38" i="21"/>
  <c r="AA36" i="21"/>
  <c r="AC40" i="21"/>
  <c r="J15" i="21"/>
  <c r="W15" i="21"/>
  <c r="F23" i="21"/>
  <c r="S23" i="21"/>
  <c r="E85" i="21"/>
  <c r="D120" i="9"/>
  <c r="D121" i="9" s="1"/>
  <c r="D7" i="52" s="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G67" i="43" s="1"/>
  <c r="K67" i="43" s="1"/>
  <c r="J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W25" i="39"/>
  <c r="AC25" i="39"/>
  <c r="U13" i="39"/>
  <c r="AB13" i="39"/>
  <c r="AA13" i="39"/>
  <c r="S13" i="39"/>
  <c r="S14" i="39"/>
  <c r="AA14" i="39"/>
  <c r="U43" i="39"/>
  <c r="AB43" i="39"/>
  <c r="W17" i="39"/>
  <c r="AC17" i="39"/>
  <c r="AA45" i="39"/>
  <c r="AB39" i="39"/>
  <c r="S8" i="39"/>
  <c r="S20" i="36"/>
  <c r="AC25" i="36"/>
  <c r="U32" i="36"/>
  <c r="W29" i="36"/>
  <c r="AC20" i="36"/>
  <c r="U25" i="36"/>
  <c r="AB28" i="36"/>
  <c r="AA13" i="36"/>
  <c r="W9" i="36"/>
  <c r="W22" i="36"/>
  <c r="W23" i="36"/>
  <c r="S9" i="36"/>
  <c r="AB20" i="35"/>
  <c r="S24" i="35"/>
  <c r="U24" i="35"/>
  <c r="AA16" i="35"/>
  <c r="AA35" i="37"/>
  <c r="W36" i="37"/>
  <c r="S27" i="37"/>
  <c r="W32" i="37"/>
  <c r="U36" i="37"/>
  <c r="S40" i="37"/>
  <c r="AB37" i="37"/>
  <c r="AC34" i="37"/>
  <c r="AB35" i="37"/>
  <c r="AA31" i="37"/>
  <c r="U19" i="37"/>
  <c r="AA29" i="37"/>
  <c r="U8" i="37"/>
  <c r="AB40" i="34"/>
  <c r="U19" i="34"/>
  <c r="W19" i="34"/>
  <c r="AA30" i="34"/>
  <c r="U25" i="34"/>
  <c r="AB36" i="34"/>
  <c r="W33" i="34"/>
  <c r="AC14" i="34"/>
  <c r="AC32" i="34"/>
  <c r="AC29" i="34"/>
  <c r="W29" i="34"/>
  <c r="W46" i="34"/>
  <c r="AC46" i="34"/>
  <c r="S32" i="34"/>
  <c r="AA32" i="34"/>
  <c r="U30" i="34"/>
  <c r="AB30" i="34"/>
  <c r="S37" i="34"/>
  <c r="U38" i="34"/>
  <c r="AC40" i="34"/>
  <c r="W40" i="34"/>
  <c r="AA19" i="34"/>
  <c r="AA36" i="34"/>
  <c r="S36" i="34"/>
  <c r="AA8" i="34"/>
  <c r="S8" i="34"/>
  <c r="S46" i="34"/>
  <c r="AA46" i="34"/>
  <c r="U32" i="34"/>
  <c r="AB32" i="34"/>
  <c r="U14" i="34"/>
  <c r="AB14" i="34"/>
  <c r="AC43" i="34"/>
  <c r="W4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F33" i="21"/>
  <c r="AA33" i="21" s="1"/>
  <c r="J33" i="21"/>
  <c r="AC33" i="21" s="1"/>
  <c r="H33" i="21"/>
  <c r="AB33" i="21" s="1"/>
  <c r="F37" i="21"/>
  <c r="AA37" i="21" s="1"/>
  <c r="AA26" i="21"/>
  <c r="AB46" i="21"/>
  <c r="U40" i="21"/>
  <c r="AC15" i="21"/>
  <c r="S35" i="21"/>
  <c r="J37" i="21"/>
  <c r="W37" i="21" s="1"/>
  <c r="H15" i="21"/>
  <c r="U15" i="21" s="1"/>
  <c r="J17" i="21"/>
  <c r="AC17" i="21" s="1"/>
  <c r="AC19" i="21"/>
  <c r="W39" i="21"/>
  <c r="S46" i="21"/>
  <c r="H45" i="21"/>
  <c r="U45" i="21" s="1"/>
  <c r="F29" i="21"/>
  <c r="S29" i="21" s="1"/>
  <c r="F13" i="21"/>
  <c r="AA13" i="21" s="1"/>
  <c r="AC38" i="21"/>
  <c r="H32" i="21"/>
  <c r="AB32" i="21" s="1"/>
  <c r="H9" i="21"/>
  <c r="J9" i="21"/>
  <c r="W9" i="21" s="1"/>
  <c r="J32" i="21"/>
  <c r="W32" i="21" s="1"/>
  <c r="F32" i="21"/>
  <c r="AA32" i="21" s="1"/>
  <c r="U17" i="21"/>
  <c r="W29" i="21"/>
  <c r="S19" i="21"/>
  <c r="K141" i="21"/>
  <c r="K144" i="21"/>
  <c r="K143" i="21"/>
  <c r="U27" i="21"/>
  <c r="AB25" i="21"/>
  <c r="AB44" i="21"/>
  <c r="W13" i="21"/>
  <c r="W42" i="21"/>
  <c r="F10" i="21"/>
  <c r="AA10" i="21" s="1"/>
  <c r="K145" i="21"/>
  <c r="W17" i="21"/>
  <c r="W25" i="21"/>
  <c r="AA29" i="21"/>
  <c r="S27" i="21"/>
  <c r="S17" i="21"/>
  <c r="AA15"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A21" i="39"/>
  <c r="S21" i="39"/>
  <c r="AC17" i="37"/>
  <c r="J19" i="37"/>
  <c r="AC19" i="37" s="1"/>
  <c r="S19" i="37"/>
  <c r="AA19" i="37"/>
  <c r="AA23" i="37"/>
  <c r="J23" i="37"/>
  <c r="J10" i="37"/>
  <c r="W10" i="37" s="1"/>
  <c r="G63" i="37"/>
  <c r="H11" i="37"/>
  <c r="AB11" i="37" s="1"/>
  <c r="G70" i="34"/>
  <c r="H11" i="34"/>
  <c r="U11" i="34" s="1"/>
  <c r="J10" i="34"/>
  <c r="AC10" i="34" s="1"/>
  <c r="AB41" i="33"/>
  <c r="U41" i="33"/>
  <c r="AC35" i="33"/>
  <c r="J36" i="33"/>
  <c r="W36" i="33" s="1"/>
  <c r="H36" i="33"/>
  <c r="U36" i="33" s="1"/>
  <c r="S36" i="33"/>
  <c r="AC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S23" i="33" s="1"/>
  <c r="G85" i="33"/>
  <c r="AC23" i="33"/>
  <c r="AA19" i="33"/>
  <c r="H19" i="33"/>
  <c r="G81" i="33"/>
  <c r="G79" i="33"/>
  <c r="H17" i="33"/>
  <c r="AB17" i="33" s="1"/>
  <c r="F17" i="33"/>
  <c r="W17" i="33"/>
  <c r="S37" i="21"/>
  <c r="AA23" i="21"/>
  <c r="AB15" i="21"/>
  <c r="J23" i="21"/>
  <c r="F85" i="21"/>
  <c r="G85" i="21" s="1"/>
  <c r="H23" i="21"/>
  <c r="AB23" i="21" s="1"/>
  <c r="D6" i="52"/>
  <c r="AP7" i="1"/>
  <c r="AB45" i="21"/>
  <c r="AB9" i="21"/>
  <c r="U9" i="21"/>
  <c r="S32" i="21"/>
  <c r="AC9" i="21"/>
  <c r="U32" i="21"/>
  <c r="U32" i="39"/>
  <c r="AC32" i="39"/>
  <c r="W19" i="37"/>
  <c r="W23" i="37"/>
  <c r="AC23" i="37"/>
  <c r="H63" i="37"/>
  <c r="I63" i="37" s="1"/>
  <c r="J63" i="37" s="1"/>
  <c r="K63" i="37" s="1"/>
  <c r="L63" i="37" s="1"/>
  <c r="M63" i="37" s="1"/>
  <c r="J11" i="37"/>
  <c r="AC11" i="37" s="1"/>
  <c r="H70" i="34"/>
  <c r="I70" i="34" s="1"/>
  <c r="J70" i="34" s="1"/>
  <c r="K70" i="34" s="1"/>
  <c r="L70" i="34" s="1"/>
  <c r="M70" i="34" s="1"/>
  <c r="J11" i="34"/>
  <c r="W11" i="34" s="1"/>
  <c r="W27" i="33"/>
  <c r="AC27" i="33"/>
  <c r="W25" i="33"/>
  <c r="AC25" i="33"/>
  <c r="AA23" i="33"/>
  <c r="AB19" i="33"/>
  <c r="U19" i="33"/>
  <c r="AA17" i="33"/>
  <c r="S17" i="33"/>
  <c r="U17" i="33"/>
  <c r="AC23" i="21"/>
  <c r="W23" i="21"/>
  <c r="H109" i="9"/>
  <c r="H112" i="9"/>
  <c r="D21" i="53" s="1"/>
  <c r="B39" i="72" s="1"/>
  <c r="H111" i="9"/>
  <c r="D126" i="9" s="1"/>
  <c r="AD3" i="71"/>
  <c r="J1" i="73"/>
  <c r="H69" i="43"/>
  <c r="G69" i="43" s="1"/>
  <c r="K69" i="43" s="1"/>
  <c r="J69"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73"/>
  <c r="L47" i="15"/>
  <c r="M24" i="67"/>
  <c r="M23" i="15"/>
  <c r="M26" i="15"/>
  <c r="F13" i="15"/>
  <c r="F26" i="67"/>
  <c r="F42" i="67"/>
  <c r="F5" i="73"/>
  <c r="B11" i="76"/>
  <c r="F37" i="67"/>
  <c r="F20" i="31"/>
  <c r="E11" i="76"/>
  <c r="F40" i="67"/>
  <c r="E8" i="76"/>
  <c r="J15" i="15"/>
  <c r="F4" i="73"/>
  <c r="M29" i="67"/>
  <c r="E12" i="76"/>
  <c r="B10" i="76"/>
  <c r="F9" i="15"/>
  <c r="M8" i="67"/>
  <c r="F8" i="67"/>
  <c r="B9" i="76"/>
  <c r="D7" i="73"/>
  <c r="F6" i="15"/>
  <c r="F16" i="15"/>
  <c r="E2" i="68"/>
  <c r="AO13" i="1"/>
  <c r="M6" i="15"/>
  <c r="B13" i="76"/>
  <c r="F6" i="73"/>
  <c r="E10" i="76"/>
  <c r="F3" i="73"/>
  <c r="B12" i="76"/>
  <c r="E7" i="76"/>
  <c r="C76" i="67"/>
  <c r="M6" i="67"/>
  <c r="M9" i="15"/>
  <c r="B8" i="76"/>
  <c r="F6" i="67"/>
  <c r="B7" i="76"/>
  <c r="M23" i="67"/>
  <c r="M29" i="15"/>
  <c r="F43" i="15"/>
  <c r="E9" i="76"/>
  <c r="F42" i="15"/>
  <c r="F7" i="67"/>
  <c r="M22" i="15"/>
  <c r="M28" i="15"/>
  <c r="F36" i="15"/>
  <c r="E13" i="76"/>
  <c r="M22" i="67"/>
  <c r="E2" i="69"/>
  <c r="D3" i="73"/>
  <c r="W41" i="34" l="1"/>
  <c r="AA41" i="34"/>
  <c r="U44" i="34"/>
  <c r="U27" i="39"/>
  <c r="AB27" i="39"/>
  <c r="AB13" i="21"/>
  <c r="U13" i="21"/>
  <c r="AC24" i="35"/>
  <c r="W24" i="35"/>
  <c r="AA32" i="36"/>
  <c r="S32" i="36"/>
  <c r="W40" i="40"/>
  <c r="AC40" i="40"/>
  <c r="S12" i="21"/>
  <c r="AA12" i="21"/>
  <c r="AB24" i="36"/>
  <c r="U24" i="36"/>
  <c r="U34" i="36"/>
  <c r="AB34" i="36"/>
  <c r="U33" i="36"/>
  <c r="AB33" i="36"/>
  <c r="C21" i="71"/>
  <c r="AZ14" i="3"/>
  <c r="AZ391" i="3"/>
  <c r="AZ345" i="3"/>
  <c r="AZ326" i="3"/>
  <c r="AZ363" i="3"/>
  <c r="AZ351" i="3"/>
  <c r="AZ337" i="3"/>
  <c r="AZ360" i="3"/>
  <c r="AZ343" i="3"/>
  <c r="AZ495" i="3"/>
  <c r="AZ499" i="3"/>
  <c r="AZ531" i="3"/>
  <c r="AZ541" i="3"/>
  <c r="BL548" i="3"/>
  <c r="F27" i="39"/>
  <c r="F35" i="34"/>
  <c r="J36" i="35"/>
  <c r="H12" i="36"/>
  <c r="F34" i="39"/>
  <c r="AA34" i="39" s="1"/>
  <c r="F40" i="40"/>
  <c r="G566" i="3"/>
  <c r="G562" i="3"/>
  <c r="G561" i="3"/>
  <c r="G545" i="3"/>
  <c r="G541" i="3"/>
  <c r="G540" i="3"/>
  <c r="G400" i="3"/>
  <c r="BL401" i="3"/>
  <c r="G402" i="3"/>
  <c r="BA403" i="3"/>
  <c r="AZ403" i="3" s="1"/>
  <c r="BL405" i="3"/>
  <c r="G406" i="3"/>
  <c r="BL407" i="3"/>
  <c r="G408" i="3"/>
  <c r="BA409" i="3"/>
  <c r="BL409" i="3"/>
  <c r="BA410" i="3"/>
  <c r="AZ410" i="3" s="1"/>
  <c r="BA412" i="3"/>
  <c r="BL412" i="3"/>
  <c r="BA413" i="3"/>
  <c r="AZ413" i="3" s="1"/>
  <c r="BA415" i="3"/>
  <c r="AZ415" i="3" s="1"/>
  <c r="BL415" i="3"/>
  <c r="BA416" i="3"/>
  <c r="AZ416" i="3" s="1"/>
  <c r="BA417" i="3"/>
  <c r="AZ417" i="3" s="1"/>
  <c r="BA418" i="3"/>
  <c r="AZ418" i="3" s="1"/>
  <c r="BL418" i="3"/>
  <c r="BA420" i="3"/>
  <c r="BL420" i="3"/>
  <c r="BA421" i="3"/>
  <c r="AZ421" i="3" s="1"/>
  <c r="BA422" i="3"/>
  <c r="BL422" i="3"/>
  <c r="BA423" i="3"/>
  <c r="AZ423" i="3" s="1"/>
  <c r="BL425" i="3"/>
  <c r="G426" i="3"/>
  <c r="G430" i="3"/>
  <c r="BA431" i="3"/>
  <c r="BL431" i="3"/>
  <c r="BA432" i="3"/>
  <c r="AZ432" i="3" s="1"/>
  <c r="BA433" i="3"/>
  <c r="AZ433" i="3" s="1"/>
  <c r="BA434" i="3"/>
  <c r="BL434" i="3"/>
  <c r="BA436" i="3"/>
  <c r="BL436" i="3"/>
  <c r="BA438" i="3"/>
  <c r="AZ438" i="3" s="1"/>
  <c r="BL440" i="3"/>
  <c r="G441" i="3"/>
  <c r="G443" i="3"/>
  <c r="G445" i="3"/>
  <c r="G447" i="3"/>
  <c r="BA448" i="3"/>
  <c r="BL448" i="3"/>
  <c r="BA449" i="3"/>
  <c r="AZ449" i="3" s="1"/>
  <c r="BA450" i="3"/>
  <c r="AZ450" i="3" s="1"/>
  <c r="BL450" i="3"/>
  <c r="BA452" i="3"/>
  <c r="BL452" i="3"/>
  <c r="BA453" i="3"/>
  <c r="AZ453" i="3" s="1"/>
  <c r="BA454" i="3"/>
  <c r="BL454" i="3"/>
  <c r="BA455" i="3"/>
  <c r="AZ455" i="3" s="1"/>
  <c r="BA457" i="3"/>
  <c r="AZ457" i="3" s="1"/>
  <c r="BL457" i="3"/>
  <c r="G460" i="3"/>
  <c r="BA461" i="3"/>
  <c r="BL461" i="3"/>
  <c r="BA463" i="3"/>
  <c r="BL463" i="3"/>
  <c r="BA464" i="3"/>
  <c r="AZ464" i="3" s="1"/>
  <c r="BA465" i="3"/>
  <c r="AZ465" i="3" s="1"/>
  <c r="BL467" i="3"/>
  <c r="G468" i="3"/>
  <c r="BL469" i="3"/>
  <c r="G470" i="3"/>
  <c r="G473" i="3"/>
  <c r="G476" i="3"/>
  <c r="G478" i="3"/>
  <c r="BA479" i="3"/>
  <c r="BL479" i="3"/>
  <c r="BA480" i="3"/>
  <c r="AZ480" i="3" s="1"/>
  <c r="BA481" i="3"/>
  <c r="BL481" i="3"/>
  <c r="BA482" i="3"/>
  <c r="AZ482" i="3" s="1"/>
  <c r="BL484" i="3"/>
  <c r="G485" i="3"/>
  <c r="G490" i="3"/>
  <c r="G492" i="3"/>
  <c r="BA303" i="3"/>
  <c r="AZ303" i="3" s="1"/>
  <c r="BA307" i="3"/>
  <c r="AZ307" i="3" s="1"/>
  <c r="BL314" i="3"/>
  <c r="AZ314" i="3" s="1"/>
  <c r="G315" i="3"/>
  <c r="BA317" i="3"/>
  <c r="AZ317" i="3" s="1"/>
  <c r="G323" i="3"/>
  <c r="BL324" i="3"/>
  <c r="AZ324" i="3" s="1"/>
  <c r="G327" i="3"/>
  <c r="BA335" i="3"/>
  <c r="AZ335" i="3" s="1"/>
  <c r="BA339" i="3"/>
  <c r="AZ339" i="3" s="1"/>
  <c r="G347" i="3"/>
  <c r="BL348" i="3"/>
  <c r="G349" i="3"/>
  <c r="BA350" i="3"/>
  <c r="AZ350" i="3" s="1"/>
  <c r="BA353" i="3"/>
  <c r="AZ353" i="3" s="1"/>
  <c r="BL353" i="3"/>
  <c r="G358" i="3"/>
  <c r="BL359" i="3"/>
  <c r="AZ359" i="3" s="1"/>
  <c r="G362" i="3"/>
  <c r="G369" i="3"/>
  <c r="BA370" i="3"/>
  <c r="AZ370" i="3" s="1"/>
  <c r="BA374" i="3"/>
  <c r="AZ374" i="3" s="1"/>
  <c r="G380" i="3"/>
  <c r="BA388" i="3"/>
  <c r="AZ388" i="3" s="1"/>
  <c r="BA392" i="3"/>
  <c r="AZ392" i="3" s="1"/>
  <c r="G395" i="3"/>
  <c r="BL396" i="3"/>
  <c r="G397" i="3"/>
  <c r="G211" i="3"/>
  <c r="BA212" i="3"/>
  <c r="BL212" i="3"/>
  <c r="BA214" i="3"/>
  <c r="BL214" i="3"/>
  <c r="BL216" i="3"/>
  <c r="G217" i="3"/>
  <c r="G219" i="3"/>
  <c r="BA220" i="3"/>
  <c r="AZ220" i="3" s="1"/>
  <c r="BL220" i="3"/>
  <c r="BA221" i="3"/>
  <c r="AZ221" i="3" s="1"/>
  <c r="BA222" i="3"/>
  <c r="AZ222" i="3" s="1"/>
  <c r="BA223" i="3"/>
  <c r="AZ223" i="3" s="1"/>
  <c r="BA224" i="3"/>
  <c r="AZ224" i="3" s="1"/>
  <c r="BL226" i="3"/>
  <c r="G227" i="3"/>
  <c r="BA228" i="3"/>
  <c r="AZ228" i="3" s="1"/>
  <c r="BL228" i="3"/>
  <c r="BL230" i="3"/>
  <c r="G231" i="3"/>
  <c r="G233" i="3"/>
  <c r="G235" i="3"/>
  <c r="G240" i="3"/>
  <c r="G242" i="3"/>
  <c r="BL243" i="3"/>
  <c r="G244" i="3"/>
  <c r="G248" i="3"/>
  <c r="G250" i="3"/>
  <c r="G252" i="3"/>
  <c r="BL253" i="3"/>
  <c r="G254" i="3"/>
  <c r="BA255" i="3"/>
  <c r="BL255" i="3"/>
  <c r="BA257" i="3"/>
  <c r="BL257" i="3"/>
  <c r="BA258" i="3"/>
  <c r="AZ258" i="3" s="1"/>
  <c r="BA259" i="3"/>
  <c r="AZ259" i="3" s="1"/>
  <c r="BA261" i="3"/>
  <c r="BL261" i="3"/>
  <c r="BA262" i="3"/>
  <c r="AZ262" i="3" s="1"/>
  <c r="BA263" i="3"/>
  <c r="AZ263" i="3" s="1"/>
  <c r="BA265" i="3"/>
  <c r="BL265" i="3"/>
  <c r="BL267" i="3"/>
  <c r="G268" i="3"/>
  <c r="BL269" i="3"/>
  <c r="G270" i="3"/>
  <c r="G272" i="3"/>
  <c r="BL273" i="3"/>
  <c r="G274" i="3"/>
  <c r="G276" i="3"/>
  <c r="BA277" i="3"/>
  <c r="BL277" i="3"/>
  <c r="BA278" i="3"/>
  <c r="AZ278" i="3" s="1"/>
  <c r="BA279" i="3"/>
  <c r="AZ279" i="3" s="1"/>
  <c r="BA280" i="3"/>
  <c r="AZ280" i="3" s="1"/>
  <c r="BA281" i="3"/>
  <c r="AZ281" i="3" s="1"/>
  <c r="BA283" i="3"/>
  <c r="BL283" i="3"/>
  <c r="BA284" i="3"/>
  <c r="AZ284" i="3" s="1"/>
  <c r="BA285" i="3"/>
  <c r="AZ285" i="3" s="1"/>
  <c r="BA286" i="3"/>
  <c r="AZ286" i="3" s="1"/>
  <c r="BA287" i="3"/>
  <c r="AZ287" i="3" s="1"/>
  <c r="BA288" i="3"/>
  <c r="AZ288" i="3" s="1"/>
  <c r="BL290" i="3"/>
  <c r="G291" i="3"/>
  <c r="BA292" i="3"/>
  <c r="BL292" i="3"/>
  <c r="BA293" i="3"/>
  <c r="AZ293" i="3" s="1"/>
  <c r="BA295" i="3"/>
  <c r="BL295" i="3"/>
  <c r="BA297" i="3"/>
  <c r="BL297" i="3"/>
  <c r="BA298" i="3"/>
  <c r="AZ298" i="3" s="1"/>
  <c r="BA299" i="3"/>
  <c r="AZ299" i="3" s="1"/>
  <c r="BL301" i="3"/>
  <c r="G302" i="3"/>
  <c r="BA113" i="3"/>
  <c r="AZ113" i="3" s="1"/>
  <c r="BL113" i="3"/>
  <c r="BL115" i="3"/>
  <c r="AZ115" i="3" s="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AZ146" i="3" s="1"/>
  <c r="BL146" i="3"/>
  <c r="BA148" i="3"/>
  <c r="AZ148" i="3" s="1"/>
  <c r="BL150" i="3"/>
  <c r="G151" i="3"/>
  <c r="BA152" i="3"/>
  <c r="AZ152" i="3" s="1"/>
  <c r="BL154" i="3"/>
  <c r="G155" i="3"/>
  <c r="G156" i="3"/>
  <c r="BA157" i="3"/>
  <c r="BL157" i="3"/>
  <c r="G158" i="3"/>
  <c r="BL158" i="3"/>
  <c r="AZ158" i="3" s="1"/>
  <c r="BA160" i="3"/>
  <c r="AZ160" i="3" s="1"/>
  <c r="G163" i="3"/>
  <c r="BA164" i="3"/>
  <c r="AZ164" i="3" s="1"/>
  <c r="G174" i="3"/>
  <c r="BA177" i="3"/>
  <c r="BL177" i="3"/>
  <c r="BL179" i="3"/>
  <c r="AZ179" i="3" s="1"/>
  <c r="G180" i="3"/>
  <c r="BA181" i="3"/>
  <c r="AZ181" i="3" s="1"/>
  <c r="BA182" i="3"/>
  <c r="AZ182" i="3" s="1"/>
  <c r="BL183" i="3"/>
  <c r="AZ183" i="3" s="1"/>
  <c r="BA185" i="3"/>
  <c r="AZ185" i="3" s="1"/>
  <c r="BA186" i="3"/>
  <c r="AZ186" i="3" s="1"/>
  <c r="BL187" i="3"/>
  <c r="AZ187" i="3" s="1"/>
  <c r="BA190" i="3"/>
  <c r="AZ190" i="3" s="1"/>
  <c r="BL190" i="3"/>
  <c r="BA192" i="3"/>
  <c r="AZ192" i="3" s="1"/>
  <c r="G195" i="3"/>
  <c r="G206" i="3"/>
  <c r="G19" i="3"/>
  <c r="G21" i="3"/>
  <c r="G24" i="3"/>
  <c r="G28" i="3"/>
  <c r="G30" i="3"/>
  <c r="BL31" i="3"/>
  <c r="G32" i="3"/>
  <c r="BL33" i="3"/>
  <c r="G34" i="3"/>
  <c r="G36" i="3"/>
  <c r="G39" i="3"/>
  <c r="BL42" i="3"/>
  <c r="G43" i="3"/>
  <c r="BA44" i="3"/>
  <c r="AZ44" i="3" s="1"/>
  <c r="BL44" i="3"/>
  <c r="BA46" i="3"/>
  <c r="AZ46" i="3" s="1"/>
  <c r="BA47" i="3"/>
  <c r="AZ47" i="3" s="1"/>
  <c r="BL49" i="3"/>
  <c r="G50" i="3"/>
  <c r="BL51" i="3"/>
  <c r="G52" i="3"/>
  <c r="G54" i="3"/>
  <c r="BL55" i="3"/>
  <c r="G56" i="3"/>
  <c r="G61" i="3"/>
  <c r="G65" i="3"/>
  <c r="BL66" i="3"/>
  <c r="G67" i="3"/>
  <c r="BA68" i="3"/>
  <c r="BL68" i="3"/>
  <c r="BL70" i="3"/>
  <c r="G71" i="3"/>
  <c r="BL72" i="3"/>
  <c r="G73" i="3"/>
  <c r="G75" i="3"/>
  <c r="G79" i="3"/>
  <c r="G81" i="3"/>
  <c r="BL82" i="3"/>
  <c r="D66" i="71"/>
  <c r="O65" i="71"/>
  <c r="O66" i="71"/>
  <c r="T60" i="71"/>
  <c r="D60" i="71"/>
  <c r="T32" i="71"/>
  <c r="D32" i="71"/>
  <c r="T56" i="71"/>
  <c r="D56" i="71"/>
  <c r="C21" i="68"/>
  <c r="C25" i="40"/>
  <c r="E23" i="71"/>
  <c r="E22" i="71" s="1"/>
  <c r="E21" i="71" s="1"/>
  <c r="E20" i="71" s="1"/>
  <c r="G83" i="3"/>
  <c r="BL84" i="3"/>
  <c r="G85" i="3"/>
  <c r="BA86" i="3"/>
  <c r="AZ86" i="3" s="1"/>
  <c r="BA88" i="3"/>
  <c r="AZ88" i="3" s="1"/>
  <c r="BL88" i="3"/>
  <c r="BL90" i="3"/>
  <c r="G91" i="3"/>
  <c r="G96" i="3"/>
  <c r="BL97" i="3"/>
  <c r="G98" i="3"/>
  <c r="G101" i="3"/>
  <c r="G103" i="3"/>
  <c r="BA104" i="3"/>
  <c r="BL104" i="3"/>
  <c r="BL106" i="3"/>
  <c r="G107" i="3"/>
  <c r="BA108" i="3"/>
  <c r="BL108" i="3"/>
  <c r="BA110" i="3"/>
  <c r="BL110" i="3"/>
  <c r="BL112" i="3"/>
  <c r="F3" i="35"/>
  <c r="T64" i="71"/>
  <c r="P66" i="71"/>
  <c r="D87" i="71"/>
  <c r="D67" i="71"/>
  <c r="AA28" i="71"/>
  <c r="AA26" i="71"/>
  <c r="E28" i="71"/>
  <c r="E27" i="71" s="1"/>
  <c r="E26" i="71" s="1"/>
  <c r="T28" i="71"/>
  <c r="U68" i="71"/>
  <c r="X28" i="71"/>
  <c r="Y27" i="71"/>
  <c r="Z27" i="71" s="1"/>
  <c r="X36" i="71"/>
  <c r="Y33" i="71"/>
  <c r="Z33" i="71" s="1"/>
  <c r="E30" i="71"/>
  <c r="E31" i="71" s="1"/>
  <c r="E32" i="71" s="1"/>
  <c r="U32" i="71" s="1"/>
  <c r="Y29" i="71"/>
  <c r="Z29" i="71" s="1"/>
  <c r="Y30" i="71"/>
  <c r="Z30" i="71" s="1"/>
  <c r="AB30" i="71"/>
  <c r="X32" i="71"/>
  <c r="Y34" i="71"/>
  <c r="Z34" i="71" s="1"/>
  <c r="AB34" i="71"/>
  <c r="B63" i="71"/>
  <c r="B64" i="71" s="1"/>
  <c r="S64" i="71" s="1"/>
  <c r="M64" i="43"/>
  <c r="N64" i="43" s="1"/>
  <c r="M67" i="43"/>
  <c r="N67" i="43" s="1"/>
  <c r="M69" i="43"/>
  <c r="N69" i="43" s="1"/>
  <c r="I7" i="34"/>
  <c r="E7" i="34"/>
  <c r="G7" i="34"/>
  <c r="AB8" i="34"/>
  <c r="AA40" i="34"/>
  <c r="AC36" i="34"/>
  <c r="AB23" i="34"/>
  <c r="U21" i="34"/>
  <c r="S21" i="34"/>
  <c r="U15" i="34"/>
  <c r="W15" i="34"/>
  <c r="W9" i="34"/>
  <c r="W8" i="34"/>
  <c r="U41" i="39"/>
  <c r="W34" i="39"/>
  <c r="S34" i="39"/>
  <c r="W27" i="39"/>
  <c r="S23" i="39"/>
  <c r="U21" i="39"/>
  <c r="W19" i="39"/>
  <c r="S19" i="39"/>
  <c r="W8" i="39"/>
  <c r="C18" i="9"/>
  <c r="D18" i="9" s="1"/>
  <c r="H50" i="43"/>
  <c r="G50" i="43" s="1"/>
  <c r="K50" i="43" s="1"/>
  <c r="J50" i="43" s="1"/>
  <c r="U9" i="34"/>
  <c r="AB9" i="34"/>
  <c r="W12" i="35"/>
  <c r="AC12" i="35"/>
  <c r="AC39" i="37"/>
  <c r="W39" i="37"/>
  <c r="W27" i="21"/>
  <c r="AC27" i="21"/>
  <c r="AA9" i="21"/>
  <c r="S9" i="21"/>
  <c r="AB36" i="35"/>
  <c r="U36" i="35"/>
  <c r="M54" i="43"/>
  <c r="N54" i="43" s="1"/>
  <c r="K54" i="43"/>
  <c r="J54" i="43" s="1"/>
  <c r="AZ511" i="3"/>
  <c r="AZ515" i="3"/>
  <c r="AZ519" i="3"/>
  <c r="AZ565" i="3"/>
  <c r="AZ573" i="3"/>
  <c r="BL586" i="3"/>
  <c r="B73" i="43"/>
  <c r="B79" i="43"/>
  <c r="B76" i="43"/>
  <c r="B75" i="43"/>
  <c r="F12" i="34"/>
  <c r="F12" i="35"/>
  <c r="G581" i="3"/>
  <c r="G580" i="3"/>
  <c r="G570" i="3"/>
  <c r="G569" i="3"/>
  <c r="G565" i="3"/>
  <c r="G564" i="3"/>
  <c r="G556" i="3"/>
  <c r="G555" i="3"/>
  <c r="G554" i="3"/>
  <c r="M50" i="43"/>
  <c r="N50" i="43" s="1"/>
  <c r="U23" i="21"/>
  <c r="AB36" i="33"/>
  <c r="S13" i="21"/>
  <c r="S17" i="37"/>
  <c r="AB33" i="34"/>
  <c r="AA35" i="33"/>
  <c r="S43" i="34"/>
  <c r="AA27" i="40"/>
  <c r="AB27" i="40"/>
  <c r="AA39" i="34"/>
  <c r="F29" i="6"/>
  <c r="AZ361" i="3"/>
  <c r="AZ347" i="3"/>
  <c r="AZ344" i="3"/>
  <c r="AZ313" i="3"/>
  <c r="AZ378" i="3"/>
  <c r="U43" i="33"/>
  <c r="AZ497" i="3"/>
  <c r="AZ501" i="3"/>
  <c r="AZ525" i="3"/>
  <c r="AZ533" i="3"/>
  <c r="AZ504" i="3"/>
  <c r="AZ508" i="3"/>
  <c r="AZ512" i="3"/>
  <c r="AZ520" i="3"/>
  <c r="AZ542" i="3"/>
  <c r="AZ548" i="3"/>
  <c r="AZ558" i="3"/>
  <c r="S11" i="36"/>
  <c r="BA550" i="3"/>
  <c r="BL540" i="3"/>
  <c r="AZ540" i="3" s="1"/>
  <c r="BA539" i="3"/>
  <c r="AZ539" i="3" s="1"/>
  <c r="BL538" i="3"/>
  <c r="AZ538" i="3" s="1"/>
  <c r="G549" i="3"/>
  <c r="G526" i="3"/>
  <c r="BL16" i="3"/>
  <c r="AZ16" i="3" s="1"/>
  <c r="G6" i="1"/>
  <c r="I24" i="43"/>
  <c r="C24" i="43" s="1"/>
  <c r="G399" i="3"/>
  <c r="BL399" i="3"/>
  <c r="BA400" i="3"/>
  <c r="AZ400" i="3" s="1"/>
  <c r="BA401" i="3"/>
  <c r="AZ401" i="3" s="1"/>
  <c r="BA402" i="3"/>
  <c r="BL402" i="3"/>
  <c r="G404" i="3"/>
  <c r="BL404" i="3"/>
  <c r="AZ404" i="3" s="1"/>
  <c r="BA405" i="3"/>
  <c r="AZ405" i="3" s="1"/>
  <c r="BA406" i="3"/>
  <c r="AZ406" i="3" s="1"/>
  <c r="BL406" i="3"/>
  <c r="BA407" i="3"/>
  <c r="AZ407" i="3" s="1"/>
  <c r="BA408" i="3"/>
  <c r="AZ408" i="3" s="1"/>
  <c r="G411" i="3"/>
  <c r="BL411" i="3"/>
  <c r="G414" i="3"/>
  <c r="BL414" i="3"/>
  <c r="G417" i="3"/>
  <c r="G418" i="3"/>
  <c r="G422" i="3"/>
  <c r="G424" i="3"/>
  <c r="BL424" i="3"/>
  <c r="AZ424" i="3" s="1"/>
  <c r="BA425" i="3"/>
  <c r="AZ425" i="3" s="1"/>
  <c r="G428" i="3"/>
  <c r="G429" i="3"/>
  <c r="BL429" i="3"/>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G489" i="3"/>
  <c r="BL489" i="3"/>
  <c r="AZ489" i="3" s="1"/>
  <c r="BL491" i="3"/>
  <c r="AZ491" i="3" s="1"/>
  <c r="BA492" i="3"/>
  <c r="AZ492" i="3" s="1"/>
  <c r="G313" i="3"/>
  <c r="BA315" i="3"/>
  <c r="AZ315" i="3" s="1"/>
  <c r="BL316" i="3"/>
  <c r="G318" i="3"/>
  <c r="G329" i="3"/>
  <c r="BA331" i="3"/>
  <c r="AZ331" i="3" s="1"/>
  <c r="BL332" i="3"/>
  <c r="G334" i="3"/>
  <c r="BL346" i="3"/>
  <c r="AZ346" i="3" s="1"/>
  <c r="AZ399" i="3"/>
  <c r="AZ411" i="3"/>
  <c r="AZ414" i="3"/>
  <c r="AZ419" i="3"/>
  <c r="AZ429" i="3"/>
  <c r="AZ435" i="3"/>
  <c r="AZ439" i="3"/>
  <c r="AZ451" i="3"/>
  <c r="AZ458" i="3"/>
  <c r="AZ462" i="3"/>
  <c r="AZ466" i="3"/>
  <c r="AZ469" i="3"/>
  <c r="AZ472" i="3"/>
  <c r="AZ475" i="3"/>
  <c r="AZ483" i="3"/>
  <c r="AZ316" i="3"/>
  <c r="AZ332" i="3"/>
  <c r="G247" i="3"/>
  <c r="BL247" i="3"/>
  <c r="BL249" i="3"/>
  <c r="AZ249" i="3" s="1"/>
  <c r="BL251" i="3"/>
  <c r="AZ251" i="3" s="1"/>
  <c r="BA252" i="3"/>
  <c r="AZ252" i="3" s="1"/>
  <c r="BA253" i="3"/>
  <c r="AZ253" i="3" s="1"/>
  <c r="BA254" i="3"/>
  <c r="AZ254" i="3" s="1"/>
  <c r="BL256" i="3"/>
  <c r="AZ256" i="3" s="1"/>
  <c r="G259" i="3"/>
  <c r="G260" i="3"/>
  <c r="BL260" i="3"/>
  <c r="AZ260" i="3" s="1"/>
  <c r="G263" i="3"/>
  <c r="G264" i="3"/>
  <c r="BL264" i="3"/>
  <c r="AZ264" i="3" s="1"/>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G286" i="3"/>
  <c r="G287" i="3"/>
  <c r="G288" i="3"/>
  <c r="G289" i="3"/>
  <c r="BL289" i="3"/>
  <c r="AZ289" i="3" s="1"/>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AZ247" i="3"/>
  <c r="AZ282" i="3"/>
  <c r="G160" i="3"/>
  <c r="BL162" i="3"/>
  <c r="AZ162"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G37" i="3"/>
  <c r="G38" i="3"/>
  <c r="BL38" i="3"/>
  <c r="G41" i="3"/>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J51" i="15"/>
  <c r="C40" i="71"/>
  <c r="D39" i="71"/>
  <c r="C51" i="71"/>
  <c r="D50" i="71"/>
  <c r="AA30" i="71"/>
  <c r="AA33" i="71"/>
  <c r="S21" i="37"/>
  <c r="C29" i="39"/>
  <c r="B68" i="43"/>
  <c r="B77" i="43"/>
  <c r="AB27" i="71"/>
  <c r="AB25" i="71"/>
  <c r="AB29" i="71"/>
  <c r="X29" i="71"/>
  <c r="AB31" i="71"/>
  <c r="F35" i="71"/>
  <c r="F36" i="71" s="1"/>
  <c r="V36" i="71" s="1"/>
  <c r="X33" i="71"/>
  <c r="AB35" i="71"/>
  <c r="F39" i="71"/>
  <c r="F40" i="71" s="1"/>
  <c r="V40" i="71" s="1"/>
  <c r="B55" i="71"/>
  <c r="B56" i="71" s="1"/>
  <c r="S56" i="71" s="1"/>
  <c r="V24" i="71"/>
  <c r="C28" i="67"/>
  <c r="C40" i="69"/>
  <c r="E19" i="71"/>
  <c r="E18" i="71" s="1"/>
  <c r="E17" i="71" s="1"/>
  <c r="E16" i="71" s="1"/>
  <c r="V20" i="71"/>
  <c r="AZ521" i="3"/>
  <c r="D19" i="53"/>
  <c r="B38" i="72" s="1"/>
  <c r="D16" i="53"/>
  <c r="B34" i="72" s="1"/>
  <c r="G28" i="6"/>
  <c r="BA586" i="3"/>
  <c r="AZ586" i="3" s="1"/>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J26" i="37"/>
  <c r="H26" i="37"/>
  <c r="F26" i="37"/>
  <c r="H44" i="39"/>
  <c r="F44" i="39"/>
  <c r="J44" i="39"/>
  <c r="AC31" i="40"/>
  <c r="W31" i="40"/>
  <c r="J39" i="40"/>
  <c r="H39" i="40"/>
  <c r="AB34" i="37"/>
  <c r="U34" i="37"/>
  <c r="BL576" i="3"/>
  <c r="BA576" i="3"/>
  <c r="AZ576" i="3" s="1"/>
  <c r="BL575" i="3"/>
  <c r="BA575" i="3"/>
  <c r="AZ575" i="3" s="1"/>
  <c r="BA574" i="3"/>
  <c r="AZ574" i="3" s="1"/>
  <c r="BA572" i="3"/>
  <c r="AZ572" i="3" s="1"/>
  <c r="BL571" i="3"/>
  <c r="BA571" i="3"/>
  <c r="AZ571" i="3" s="1"/>
  <c r="BL570" i="3"/>
  <c r="BA570" i="3"/>
  <c r="AZ570" i="3" s="1"/>
  <c r="BL561" i="3"/>
  <c r="AZ561" i="3" s="1"/>
  <c r="BL560" i="3"/>
  <c r="BA560" i="3"/>
  <c r="BA559" i="3"/>
  <c r="AZ559" i="3" s="1"/>
  <c r="BA557" i="3"/>
  <c r="AZ557" i="3" s="1"/>
  <c r="BA551" i="3"/>
  <c r="BA547" i="3"/>
  <c r="AZ547" i="3" s="1"/>
  <c r="BL546" i="3"/>
  <c r="BA546" i="3"/>
  <c r="BL545" i="3"/>
  <c r="AZ545" i="3" s="1"/>
  <c r="BA543" i="3"/>
  <c r="AZ543" i="3" s="1"/>
  <c r="AZ409" i="3"/>
  <c r="G5" i="3"/>
  <c r="B3" i="3" s="1"/>
  <c r="E77" i="3" s="1"/>
  <c r="AZ569" i="3"/>
  <c r="AZ577" i="3"/>
  <c r="AZ583" i="3"/>
  <c r="AZ532" i="3"/>
  <c r="AZ536" i="3"/>
  <c r="AZ556" i="3"/>
  <c r="AB26" i="33"/>
  <c r="W11" i="35"/>
  <c r="AC11" i="35"/>
  <c r="AA26" i="33"/>
  <c r="S26" i="33"/>
  <c r="BL585" i="3"/>
  <c r="AZ585" i="3" s="1"/>
  <c r="H28" i="21"/>
  <c r="F28" i="21"/>
  <c r="J28" i="21"/>
  <c r="H31" i="21"/>
  <c r="J31" i="21"/>
  <c r="F31" i="21"/>
  <c r="F9" i="33"/>
  <c r="AA9" i="33" s="1"/>
  <c r="AB35" i="33"/>
  <c r="U35" i="33"/>
  <c r="J27" i="34"/>
  <c r="F27" i="34"/>
  <c r="AB34" i="35"/>
  <c r="U34" i="35"/>
  <c r="H23" i="35"/>
  <c r="J23" i="35"/>
  <c r="F23" i="35"/>
  <c r="AB9" i="36"/>
  <c r="U9" i="36"/>
  <c r="J24" i="36"/>
  <c r="F24" i="36"/>
  <c r="AB31" i="36"/>
  <c r="U31" i="36"/>
  <c r="AC31" i="37"/>
  <c r="W31" i="37"/>
  <c r="AB14" i="37"/>
  <c r="U14" i="37"/>
  <c r="F28" i="37"/>
  <c r="J28" i="37"/>
  <c r="H28" i="37"/>
  <c r="H38" i="37"/>
  <c r="J38" i="37"/>
  <c r="F38" i="37"/>
  <c r="H25" i="37"/>
  <c r="J25" i="37"/>
  <c r="F25" i="37"/>
  <c r="U8" i="39"/>
  <c r="AB8" i="39"/>
  <c r="H31" i="39"/>
  <c r="F31" i="39"/>
  <c r="J31" i="39"/>
  <c r="H14" i="40"/>
  <c r="J14" i="40"/>
  <c r="F14" i="40"/>
  <c r="F38" i="40"/>
  <c r="J38" i="40"/>
  <c r="H38" i="40"/>
  <c r="AB31" i="35"/>
  <c r="U31" i="35"/>
  <c r="F36" i="39"/>
  <c r="H36" i="39"/>
  <c r="J36" i="39"/>
  <c r="BL584" i="3"/>
  <c r="AZ584" i="3" s="1"/>
  <c r="BA582" i="3"/>
  <c r="AZ582" i="3" s="1"/>
  <c r="BL581" i="3"/>
  <c r="BA581" i="3"/>
  <c r="BA580" i="3"/>
  <c r="AZ580" i="3" s="1"/>
  <c r="BL579" i="3"/>
  <c r="BA579" i="3"/>
  <c r="BL578" i="3"/>
  <c r="BA578" i="3"/>
  <c r="BL568" i="3"/>
  <c r="BA568" i="3"/>
  <c r="BL567" i="3"/>
  <c r="BA567" i="3"/>
  <c r="BA566" i="3"/>
  <c r="AZ566" i="3" s="1"/>
  <c r="BA564" i="3"/>
  <c r="AZ564" i="3" s="1"/>
  <c r="BL563" i="3"/>
  <c r="BA563" i="3"/>
  <c r="BL562" i="3"/>
  <c r="BA562" i="3"/>
  <c r="BL555" i="3"/>
  <c r="AZ555" i="3" s="1"/>
  <c r="BA553" i="3"/>
  <c r="AZ553" i="3" s="1"/>
  <c r="BL552" i="3"/>
  <c r="AZ552" i="3" s="1"/>
  <c r="BL551" i="3"/>
  <c r="BL550" i="3"/>
  <c r="AZ550" i="3" s="1"/>
  <c r="AZ420" i="3"/>
  <c r="AZ426" i="3"/>
  <c r="AZ431" i="3"/>
  <c r="AZ436" i="3"/>
  <c r="AZ448" i="3"/>
  <c r="AZ452" i="3"/>
  <c r="AZ461" i="3"/>
  <c r="AZ463" i="3"/>
  <c r="AZ468" i="3"/>
  <c r="AZ470" i="3"/>
  <c r="AZ479" i="3"/>
  <c r="AZ485" i="3"/>
  <c r="AZ385" i="3"/>
  <c r="AZ210" i="3"/>
  <c r="AZ225" i="3"/>
  <c r="AZ239" i="3"/>
  <c r="AZ255" i="3"/>
  <c r="AZ270" i="3"/>
  <c r="AZ274" i="3"/>
  <c r="AZ277" i="3"/>
  <c r="AZ294" i="3"/>
  <c r="AZ300" i="3"/>
  <c r="AZ118" i="3"/>
  <c r="AZ121" i="3"/>
  <c r="AZ134" i="3"/>
  <c r="AZ137" i="3"/>
  <c r="AZ145" i="3"/>
  <c r="AZ161" i="3"/>
  <c r="AZ177" i="3"/>
  <c r="AZ193" i="3"/>
  <c r="AZ38" i="3"/>
  <c r="AZ48" i="3"/>
  <c r="AZ60" i="3"/>
  <c r="AZ64" i="3"/>
  <c r="AZ78" i="3"/>
  <c r="AZ91" i="3"/>
  <c r="AZ98" i="3"/>
  <c r="AZ104" i="3"/>
  <c r="AZ108" i="3"/>
  <c r="C26" i="71"/>
  <c r="D26" i="71" s="1"/>
  <c r="D27" i="71"/>
  <c r="D35" i="71"/>
  <c r="C36" i="71"/>
  <c r="C43" i="71"/>
  <c r="D42" i="71"/>
  <c r="C47" i="71"/>
  <c r="D47" i="71" s="1"/>
  <c r="D46" i="71"/>
  <c r="AB21" i="21"/>
  <c r="AC21" i="34"/>
  <c r="U18" i="36"/>
  <c r="F30" i="71"/>
  <c r="F31" i="71" s="1"/>
  <c r="F32" i="71" s="1"/>
  <c r="V32" i="71" s="1"/>
  <c r="Y9" i="71"/>
  <c r="Z9" i="71" s="1"/>
  <c r="Y10" i="71"/>
  <c r="Z10" i="71" s="1"/>
  <c r="AA9" i="71"/>
  <c r="AA10" i="71"/>
  <c r="S68" i="71"/>
  <c r="B67" i="71"/>
  <c r="X22" i="71"/>
  <c r="AA24" i="71"/>
  <c r="Y21" i="71"/>
  <c r="Z21" i="71" s="1"/>
  <c r="AB23" i="71"/>
  <c r="AB21" i="71"/>
  <c r="AA21" i="71"/>
  <c r="X21" i="71"/>
  <c r="X17" i="71"/>
  <c r="Y17" i="71"/>
  <c r="Z17" i="71" s="1"/>
  <c r="AA17" i="71"/>
  <c r="AB18" i="71"/>
  <c r="Y14" i="71"/>
  <c r="Z14" i="71" s="1"/>
  <c r="V28" i="71"/>
  <c r="AA31" i="71"/>
  <c r="X9" i="71"/>
  <c r="X10" i="71"/>
  <c r="Y39" i="71"/>
  <c r="Z39" i="71" s="1"/>
  <c r="AA39" i="71"/>
  <c r="AB9" i="71"/>
  <c r="AB10" i="71"/>
  <c r="AB24" i="71"/>
  <c r="AA23" i="71"/>
  <c r="AA22" i="71"/>
  <c r="Y18" i="71"/>
  <c r="Z18" i="71" s="1"/>
  <c r="X18" i="71"/>
  <c r="AA18" i="71"/>
  <c r="X14" i="71"/>
  <c r="AA12" i="71"/>
  <c r="X24" i="71"/>
  <c r="Y24" i="71"/>
  <c r="Z24" i="71" s="1"/>
  <c r="AB15" i="71"/>
  <c r="AB17" i="71"/>
  <c r="AB11" i="71"/>
  <c r="AB14" i="71"/>
  <c r="Y12" i="71"/>
  <c r="Z12" i="71" s="1"/>
  <c r="Y13" i="71"/>
  <c r="Z13" i="71" s="1"/>
  <c r="X11" i="71"/>
  <c r="Y23" i="71"/>
  <c r="Z23" i="71" s="1"/>
  <c r="Y22" i="71"/>
  <c r="Z22" i="71" s="1"/>
  <c r="X15" i="71"/>
  <c r="AA15" i="71"/>
  <c r="AB12" i="71"/>
  <c r="AB13" i="71"/>
  <c r="Y11" i="71"/>
  <c r="Z11" i="71" s="1"/>
  <c r="X12" i="71"/>
  <c r="X13" i="71"/>
  <c r="AA11" i="71"/>
  <c r="AA13" i="71"/>
  <c r="AA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s="1"/>
  <c r="H58" i="43"/>
  <c r="G58" i="43" s="1"/>
  <c r="H51" i="43"/>
  <c r="G51" i="43" s="1"/>
  <c r="H56" i="43"/>
  <c r="G56" i="43" s="1"/>
  <c r="H65" i="43"/>
  <c r="G65" i="43" s="1"/>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4" i="43"/>
  <c r="D62" i="43"/>
  <c r="D67" i="43"/>
  <c r="D65"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B29" i="1" s="1"/>
  <c r="D9" i="11"/>
  <c r="C9" i="11" s="1"/>
  <c r="D19" i="12"/>
  <c r="C19" i="12" s="1"/>
  <c r="AZ13" i="3"/>
  <c r="O9" i="1"/>
  <c r="P9" i="1" s="1"/>
  <c r="O12" i="1"/>
  <c r="P12" i="1" s="1"/>
  <c r="O8" i="1"/>
  <c r="P8" i="1" s="1"/>
  <c r="H73" i="43"/>
  <c r="H90" i="43"/>
  <c r="C23" i="43"/>
  <c r="O23" i="43"/>
  <c r="I18" i="43"/>
  <c r="E17" i="43" s="1"/>
  <c r="C17" i="43" s="1"/>
  <c r="H26" i="43"/>
  <c r="F26" i="43"/>
  <c r="J26" i="43"/>
  <c r="G26" i="43"/>
  <c r="E26" i="43"/>
  <c r="A1" i="79"/>
  <c r="H55" i="43"/>
  <c r="G55" i="43" s="1"/>
  <c r="H86" i="43"/>
  <c r="H87" i="43"/>
  <c r="N370" i="46"/>
  <c r="N94" i="46"/>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B20" i="31"/>
  <c r="B21" i="31" s="1"/>
  <c r="I1" i="73"/>
  <c r="B39" i="1" s="1"/>
  <c r="F51" i="67"/>
  <c r="F65" i="67"/>
  <c r="F71" i="15"/>
  <c r="L59" i="15"/>
  <c r="N59" i="15"/>
  <c r="M59" i="15"/>
  <c r="Q71" i="67"/>
  <c r="F64" i="15"/>
  <c r="C27" i="67"/>
  <c r="B13" i="70"/>
  <c r="M7" i="67"/>
  <c r="F50" i="67"/>
  <c r="F68" i="67"/>
  <c r="D9" i="69"/>
  <c r="F27" i="69"/>
  <c r="C36" i="69"/>
  <c r="C36" i="68"/>
  <c r="D9" i="68"/>
  <c r="D6" i="73"/>
  <c r="C16" i="15"/>
  <c r="M9" i="67"/>
  <c r="F37" i="15"/>
  <c r="F9" i="67"/>
  <c r="L48" i="67"/>
  <c r="F36" i="67"/>
  <c r="F38" i="67"/>
  <c r="M24" i="15"/>
  <c r="L48" i="15"/>
  <c r="F26" i="15"/>
  <c r="M28" i="67"/>
  <c r="M26" i="67"/>
  <c r="L47" i="67"/>
  <c r="M8" i="15"/>
  <c r="F8" i="15"/>
  <c r="F16" i="67"/>
  <c r="C76" i="15"/>
  <c r="F38" i="15"/>
  <c r="D4" i="73"/>
  <c r="J15" i="67"/>
  <c r="F40" i="15"/>
  <c r="F13" i="67"/>
  <c r="F43" i="67"/>
  <c r="F7" i="15"/>
  <c r="D5" i="73"/>
  <c r="G1" i="73" s="1"/>
  <c r="AZ68" i="3" l="1"/>
  <c r="AZ141" i="3"/>
  <c r="AZ126" i="3"/>
  <c r="AZ297" i="3"/>
  <c r="AZ295" i="3"/>
  <c r="AZ283" i="3"/>
  <c r="AZ265" i="3"/>
  <c r="AZ261" i="3"/>
  <c r="AZ257" i="3"/>
  <c r="AZ214" i="3"/>
  <c r="AZ212" i="3"/>
  <c r="AZ481" i="3"/>
  <c r="AZ454" i="3"/>
  <c r="AZ434" i="3"/>
  <c r="AZ422" i="3"/>
  <c r="AZ412" i="3"/>
  <c r="AA40" i="40"/>
  <c r="S40" i="40"/>
  <c r="U12" i="36"/>
  <c r="AB12" i="36"/>
  <c r="AA35" i="34"/>
  <c r="S35" i="34"/>
  <c r="F7" i="36"/>
  <c r="J7" i="37"/>
  <c r="H7" i="36"/>
  <c r="AZ110" i="3"/>
  <c r="AZ157" i="3"/>
  <c r="AZ292" i="3"/>
  <c r="AC36" i="35"/>
  <c r="W36" i="35"/>
  <c r="AA27" i="39"/>
  <c r="S27" i="39"/>
  <c r="D21" i="71"/>
  <c r="C20" i="71"/>
  <c r="K63" i="43"/>
  <c r="M63" i="43"/>
  <c r="N63" i="43" s="1"/>
  <c r="K68" i="43"/>
  <c r="J68" i="43" s="1"/>
  <c r="D68" i="43" s="1"/>
  <c r="M68" i="43"/>
  <c r="N68" i="43" s="1"/>
  <c r="K61" i="43"/>
  <c r="J61" i="43" s="1"/>
  <c r="M61" i="43"/>
  <c r="N61" i="43" s="1"/>
  <c r="K66" i="43"/>
  <c r="M66" i="43"/>
  <c r="N66" i="43" s="1"/>
  <c r="K65" i="43"/>
  <c r="J65" i="43" s="1"/>
  <c r="M65" i="43"/>
  <c r="N65" i="43" s="1"/>
  <c r="K62" i="43"/>
  <c r="J62" i="43" s="1"/>
  <c r="M62" i="43"/>
  <c r="N62" i="43" s="1"/>
  <c r="F51" i="15"/>
  <c r="C6" i="15"/>
  <c r="C32" i="15" s="1"/>
  <c r="F50" i="15"/>
  <c r="M7" i="15"/>
  <c r="J6" i="15" s="1"/>
  <c r="J18" i="15" s="1"/>
  <c r="F65" i="15"/>
  <c r="F71" i="67"/>
  <c r="F64" i="67"/>
  <c r="J57" i="67"/>
  <c r="J55" i="67" s="1"/>
  <c r="J58" i="67" s="1"/>
  <c r="Q50" i="67" s="1"/>
  <c r="I54" i="67"/>
  <c r="J53" i="67"/>
  <c r="F1" i="67" s="1"/>
  <c r="L56" i="67"/>
  <c r="F66" i="15"/>
  <c r="C6" i="67"/>
  <c r="C32" i="67" s="1"/>
  <c r="F66" i="67"/>
  <c r="C27" i="15"/>
  <c r="J57" i="15"/>
  <c r="J55" i="15" s="1"/>
  <c r="J58" i="15" s="1"/>
  <c r="Q50" i="15" s="1"/>
  <c r="J53" i="15"/>
  <c r="L56" i="15" s="1"/>
  <c r="I54" i="15"/>
  <c r="L58" i="15"/>
  <c r="Q60" i="15" s="1"/>
  <c r="N59" i="67"/>
  <c r="L58" i="67"/>
  <c r="Q60" i="67" s="1"/>
  <c r="M59" i="67"/>
  <c r="L59" i="67"/>
  <c r="Q61" i="67" s="1"/>
  <c r="F68" i="15"/>
  <c r="Q71" i="15"/>
  <c r="J6" i="67"/>
  <c r="J18" i="67" s="1"/>
  <c r="K57" i="43"/>
  <c r="J57" i="43" s="1"/>
  <c r="D57" i="43" s="1"/>
  <c r="M57" i="43"/>
  <c r="N57" i="43" s="1"/>
  <c r="M55" i="43"/>
  <c r="N55" i="43" s="1"/>
  <c r="K55" i="43"/>
  <c r="M51" i="43"/>
  <c r="N51" i="43" s="1"/>
  <c r="K51" i="43"/>
  <c r="J51" i="43" s="1"/>
  <c r="C52" i="71"/>
  <c r="D51" i="71"/>
  <c r="T40" i="71"/>
  <c r="D40" i="71"/>
  <c r="AZ477" i="3"/>
  <c r="AZ459" i="3"/>
  <c r="AZ442" i="3"/>
  <c r="AZ402" i="3"/>
  <c r="S12" i="35"/>
  <c r="AA12" i="35"/>
  <c r="K53" i="43"/>
  <c r="M53" i="43"/>
  <c r="N53" i="43" s="1"/>
  <c r="K52" i="43"/>
  <c r="M52" i="43"/>
  <c r="N52" i="43" s="1"/>
  <c r="M56" i="43"/>
  <c r="N56" i="43" s="1"/>
  <c r="K56" i="43"/>
  <c r="J56" i="43" s="1"/>
  <c r="M58" i="43"/>
  <c r="N58" i="43" s="1"/>
  <c r="K58" i="43"/>
  <c r="J58" i="43" s="1"/>
  <c r="AZ581" i="3"/>
  <c r="S12" i="34"/>
  <c r="AA12" i="34"/>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66" i="71"/>
  <c r="N67" i="71"/>
  <c r="T36" i="71"/>
  <c r="D36" i="71"/>
  <c r="AZ562" i="3"/>
  <c r="AZ563" i="3"/>
  <c r="AZ567" i="3"/>
  <c r="AZ568" i="3"/>
  <c r="AZ578" i="3"/>
  <c r="AZ579" i="3"/>
  <c r="AB36" i="39"/>
  <c r="U36" i="39"/>
  <c r="U38" i="40"/>
  <c r="AB38" i="40"/>
  <c r="S38" i="40"/>
  <c r="AA38" i="40"/>
  <c r="AC14" i="40"/>
  <c r="W14" i="40"/>
  <c r="AC31" i="39"/>
  <c r="W31" i="39"/>
  <c r="AB31" i="39"/>
  <c r="U31" i="39"/>
  <c r="W25" i="37"/>
  <c r="AC25" i="37"/>
  <c r="AA38" i="37"/>
  <c r="S38" i="37"/>
  <c r="U38" i="37"/>
  <c r="AB38" i="37"/>
  <c r="AC28" i="37"/>
  <c r="W28" i="37"/>
  <c r="AA24" i="36"/>
  <c r="S24" i="36"/>
  <c r="S23" i="35"/>
  <c r="AA23" i="35"/>
  <c r="AB23" i="35"/>
  <c r="U23" i="35"/>
  <c r="AC27" i="34"/>
  <c r="W27" i="34"/>
  <c r="S31" i="21"/>
  <c r="AA31" i="21"/>
  <c r="U31" i="21"/>
  <c r="AB31" i="21"/>
  <c r="AA28" i="21"/>
  <c r="S28" i="21"/>
  <c r="BL5" i="3"/>
  <c r="AZ546" i="3"/>
  <c r="AZ560" i="3"/>
  <c r="W39" i="40"/>
  <c r="AC39" i="40"/>
  <c r="AA44" i="39"/>
  <c r="S44" i="39"/>
  <c r="AA26" i="37"/>
  <c r="S26" i="37"/>
  <c r="AC26" i="37"/>
  <c r="W26" i="37"/>
  <c r="AA35" i="35"/>
  <c r="S35" i="35"/>
  <c r="AB25" i="35"/>
  <c r="U25" i="35"/>
  <c r="W25" i="35"/>
  <c r="AC25" i="35"/>
  <c r="AC13" i="35"/>
  <c r="W13" i="35"/>
  <c r="AC47" i="34"/>
  <c r="W47" i="34"/>
  <c r="U47" i="34"/>
  <c r="AB47" i="34"/>
  <c r="W45" i="34"/>
  <c r="AC45" i="34"/>
  <c r="S31" i="34"/>
  <c r="AA31" i="34"/>
  <c r="W31" i="34"/>
  <c r="AC31" i="34"/>
  <c r="S29" i="34"/>
  <c r="AA29" i="34"/>
  <c r="W13" i="34"/>
  <c r="AC13" i="34"/>
  <c r="AB46" i="33"/>
  <c r="U46" i="33"/>
  <c r="AC46" i="33"/>
  <c r="W46" i="33"/>
  <c r="AC44" i="33"/>
  <c r="W44" i="33"/>
  <c r="AA14" i="33"/>
  <c r="S14" i="33"/>
  <c r="U12" i="33"/>
  <c r="AB12" i="33"/>
  <c r="S45" i="21"/>
  <c r="AA45" i="21"/>
  <c r="AC30" i="21"/>
  <c r="W30" i="21"/>
  <c r="AB30" i="21"/>
  <c r="U30" i="21"/>
  <c r="S14" i="21"/>
  <c r="AA14" i="21"/>
  <c r="BA5" i="3"/>
  <c r="B15" i="71"/>
  <c r="B14" i="71" s="1"/>
  <c r="B13" i="71" s="1"/>
  <c r="B12" i="71" s="1"/>
  <c r="S16" i="71"/>
  <c r="D43" i="71"/>
  <c r="C44" i="71"/>
  <c r="AC36" i="39"/>
  <c r="W36" i="39"/>
  <c r="AA36" i="39"/>
  <c r="S36" i="39"/>
  <c r="AC38" i="40"/>
  <c r="W38" i="40"/>
  <c r="AA14" i="40"/>
  <c r="S14" i="40"/>
  <c r="AB14" i="40"/>
  <c r="U14" i="40"/>
  <c r="AA31" i="39"/>
  <c r="S31" i="39"/>
  <c r="AA25" i="37"/>
  <c r="S25" i="37"/>
  <c r="U25" i="37"/>
  <c r="AB25" i="37"/>
  <c r="AC38" i="37"/>
  <c r="W38" i="37"/>
  <c r="U28" i="37"/>
  <c r="AB28" i="37"/>
  <c r="AA28" i="37"/>
  <c r="S28" i="37"/>
  <c r="AC24" i="36"/>
  <c r="W24" i="36"/>
  <c r="W23" i="35"/>
  <c r="AC23" i="35"/>
  <c r="S27" i="34"/>
  <c r="AA27" i="34"/>
  <c r="W31" i="21"/>
  <c r="AC31" i="21"/>
  <c r="AC28" i="21"/>
  <c r="W28" i="21"/>
  <c r="AB28" i="21"/>
  <c r="U28" i="2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Z551" i="3"/>
  <c r="AB39" i="40"/>
  <c r="U39" i="40"/>
  <c r="W44" i="39"/>
  <c r="AC44" i="39"/>
  <c r="AB44" i="39"/>
  <c r="U44" i="39"/>
  <c r="AB26" i="37"/>
  <c r="U26" i="37"/>
  <c r="U35" i="35"/>
  <c r="AB35" i="35"/>
  <c r="AC35" i="35"/>
  <c r="W35" i="35"/>
  <c r="S25" i="35"/>
  <c r="AA25" i="35"/>
  <c r="AB13" i="35"/>
  <c r="U13" i="35"/>
  <c r="S13" i="35"/>
  <c r="AA13" i="35"/>
  <c r="AA47" i="34"/>
  <c r="S47" i="34"/>
  <c r="S45" i="34"/>
  <c r="AA45" i="34"/>
  <c r="AB45" i="34"/>
  <c r="U45" i="34"/>
  <c r="U31" i="34"/>
  <c r="AB31" i="34"/>
  <c r="U29" i="34"/>
  <c r="AB29" i="34"/>
  <c r="AA13" i="34"/>
  <c r="S13" i="34"/>
  <c r="AB13" i="34"/>
  <c r="U13" i="34"/>
  <c r="AA46" i="33"/>
  <c r="S46" i="33"/>
  <c r="AA44" i="33"/>
  <c r="S44" i="33"/>
  <c r="AC14" i="33"/>
  <c r="W14" i="33"/>
  <c r="AB14" i="33"/>
  <c r="U14" i="33"/>
  <c r="W12" i="33"/>
  <c r="AC12" i="33"/>
  <c r="W45" i="21"/>
  <c r="AC45" i="21"/>
  <c r="S30" i="21"/>
  <c r="AA30" i="21"/>
  <c r="AB14" i="21"/>
  <c r="U14" i="21"/>
  <c r="AC14" i="21"/>
  <c r="W14" i="21"/>
  <c r="E15" i="71"/>
  <c r="E14" i="71" s="1"/>
  <c r="E13" i="71" s="1"/>
  <c r="E12" i="71" s="1"/>
  <c r="V16" i="7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M11" i="67"/>
  <c r="J10" i="67" s="1"/>
  <c r="F11" i="15"/>
  <c r="M11" i="15"/>
  <c r="J10" i="15" s="1"/>
  <c r="F11" i="67"/>
  <c r="Q74" i="15"/>
  <c r="Q61" i="15"/>
  <c r="AE11" i="1"/>
  <c r="AE9" i="1"/>
  <c r="AE7" i="1"/>
  <c r="AE8" i="1"/>
  <c r="AE12" i="1"/>
  <c r="AE10" i="1"/>
  <c r="F27" i="68"/>
  <c r="F41" i="67"/>
  <c r="C16" i="67"/>
  <c r="C19" i="71" l="1"/>
  <c r="D20" i="71"/>
  <c r="U20" i="71" s="1"/>
  <c r="T20" i="71"/>
  <c r="J66" i="43"/>
  <c r="D66" i="43"/>
  <c r="J63" i="43"/>
  <c r="D63" i="43"/>
  <c r="E61" i="43" s="1"/>
  <c r="B59" i="43" s="1"/>
  <c r="Q73" i="15"/>
  <c r="Q52" i="15"/>
  <c r="C49" i="15"/>
  <c r="Q74" i="67"/>
  <c r="F1" i="15"/>
  <c r="Q73" i="67"/>
  <c r="Q52" i="67"/>
  <c r="J5" i="15"/>
  <c r="J24" i="15" s="1"/>
  <c r="J5" i="67"/>
  <c r="J24" i="67" s="1"/>
  <c r="J52" i="43"/>
  <c r="D52" i="43"/>
  <c r="J53" i="43"/>
  <c r="D53" i="43"/>
  <c r="T52" i="71"/>
  <c r="D52" i="71"/>
  <c r="AZ5" i="3"/>
  <c r="E3" i="6" s="1"/>
  <c r="J55" i="43"/>
  <c r="D55" i="43"/>
  <c r="AY6" i="3"/>
  <c r="E65" i="39"/>
  <c r="B11" i="71"/>
  <c r="B10" i="71" s="1"/>
  <c r="B9" i="71" s="1"/>
  <c r="B8" i="71" s="1"/>
  <c r="B7" i="71" s="1"/>
  <c r="B6" i="71" s="1"/>
  <c r="B5" i="71" s="1"/>
  <c r="S12" i="71"/>
  <c r="N65" i="71"/>
  <c r="N66" i="71"/>
  <c r="E11" i="71"/>
  <c r="E10" i="71" s="1"/>
  <c r="E9" i="71" s="1"/>
  <c r="E8" i="71" s="1"/>
  <c r="E7" i="71" s="1"/>
  <c r="E6" i="71" s="1"/>
  <c r="E5" i="71" s="1"/>
  <c r="V12" i="71"/>
  <c r="T44" i="71"/>
  <c r="D44"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M27" i="67"/>
  <c r="AE6" i="1"/>
  <c r="M27" i="15"/>
  <c r="H38" i="39" l="1"/>
  <c r="J38" i="39"/>
  <c r="F38" i="39"/>
  <c r="C18" i="71"/>
  <c r="D19" i="71"/>
  <c r="C48" i="15"/>
  <c r="C66" i="15" s="1"/>
  <c r="D3" i="21"/>
  <c r="D37" i="11"/>
  <c r="M18" i="9"/>
  <c r="B118" i="9" s="1"/>
  <c r="D19" i="11"/>
  <c r="C19" i="11" s="1"/>
  <c r="C17" i="4"/>
  <c r="B4" i="52" s="1"/>
  <c r="B43" i="72" s="1"/>
  <c r="D3" i="37"/>
  <c r="E6" i="6"/>
  <c r="D10" i="11" s="1"/>
  <c r="C10" i="11" s="1"/>
  <c r="D3" i="34"/>
  <c r="C34" i="34" s="1"/>
  <c r="L18" i="9"/>
  <c r="K23" i="9" s="1"/>
  <c r="D3" i="33"/>
  <c r="D14" i="12"/>
  <c r="D17" i="12" s="1"/>
  <c r="C17" i="12" s="1"/>
  <c r="E50" i="43"/>
  <c r="B48" i="43" s="1"/>
  <c r="C28" i="43" s="1"/>
  <c r="D116" i="43"/>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5" i="6"/>
  <c r="D15" i="6"/>
  <c r="D22" i="6"/>
  <c r="D21" i="6"/>
  <c r="D24" i="6"/>
  <c r="D20" i="6"/>
  <c r="M19" i="9"/>
  <c r="C118" i="9" s="1"/>
  <c r="D26" i="6"/>
  <c r="D8" i="6"/>
  <c r="D14" i="6"/>
  <c r="D9" i="6"/>
  <c r="D10" i="6"/>
  <c r="L19" i="9"/>
  <c r="D29" i="6"/>
  <c r="H25" i="6"/>
  <c r="H22" i="6"/>
  <c r="H21" i="6"/>
  <c r="H24" i="6"/>
  <c r="D19" i="6"/>
  <c r="C18" i="4"/>
  <c r="D23" i="6"/>
  <c r="D5" i="6"/>
  <c r="D12" i="6"/>
  <c r="D11" i="6"/>
  <c r="D13" i="6"/>
  <c r="D28" i="6"/>
  <c r="D30" i="6" s="1"/>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C66" i="67"/>
  <c r="C60" i="67"/>
  <c r="D10" i="69"/>
  <c r="C34" i="69"/>
  <c r="D10" i="68"/>
  <c r="F41" i="15"/>
  <c r="C17" i="15"/>
  <c r="C14" i="67"/>
  <c r="C17" i="67"/>
  <c r="C25" i="11" l="1"/>
  <c r="C17" i="71"/>
  <c r="D18" i="71"/>
  <c r="W38" i="39"/>
  <c r="AC38" i="39"/>
  <c r="J34" i="34"/>
  <c r="F34" i="34"/>
  <c r="H34" i="34"/>
  <c r="AA38" i="39"/>
  <c r="S38" i="39"/>
  <c r="AB38" i="39"/>
  <c r="U38" i="39"/>
  <c r="C60" i="15"/>
  <c r="F69" i="15"/>
  <c r="D20" i="12"/>
  <c r="C20" i="12" s="1"/>
  <c r="C18" i="12" s="1"/>
  <c r="D6" i="6"/>
  <c r="B2" i="74"/>
  <c r="C14" i="74"/>
  <c r="T15" i="43"/>
  <c r="V15" i="43" s="1"/>
  <c r="T11" i="43"/>
  <c r="V11" i="43" s="1"/>
  <c r="T7" i="43"/>
  <c r="V7" i="43" s="1"/>
  <c r="T14" i="43"/>
  <c r="V14" i="43" s="1"/>
  <c r="T10" i="43"/>
  <c r="V10" i="43" s="1"/>
  <c r="T4" i="43"/>
  <c r="V4" i="43" s="1"/>
  <c r="T2" i="43"/>
  <c r="V2" i="43" s="1"/>
  <c r="T5" i="43"/>
  <c r="V5" i="43" s="1"/>
  <c r="C40" i="43"/>
  <c r="C41" i="43"/>
  <c r="C42" i="43"/>
  <c r="C38" i="43"/>
  <c r="T13" i="43"/>
  <c r="V13" i="43" s="1"/>
  <c r="T9" i="43"/>
  <c r="V9" i="43" s="1"/>
  <c r="T16" i="43"/>
  <c r="V16" i="43" s="1"/>
  <c r="T12" i="43"/>
  <c r="V12" i="43" s="1"/>
  <c r="T8" i="43"/>
  <c r="V8" i="43" s="1"/>
  <c r="T3" i="43"/>
  <c r="V3" i="43" s="1"/>
  <c r="T6" i="43"/>
  <c r="V6" i="43" s="1"/>
  <c r="C33" i="43"/>
  <c r="C37" i="43"/>
  <c r="C39" i="43"/>
  <c r="B1" i="74"/>
  <c r="B14" i="74"/>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AA34" i="34" l="1"/>
  <c r="R49" i="34" s="1"/>
  <c r="S34" i="34"/>
  <c r="AB34" i="34"/>
  <c r="T49" i="34" s="1"/>
  <c r="G49" i="34" s="1"/>
  <c r="U34" i="34"/>
  <c r="AC34" i="34"/>
  <c r="V49" i="34" s="1"/>
  <c r="I49" i="34" s="1"/>
  <c r="W34" i="34"/>
  <c r="C16" i="71"/>
  <c r="D17" i="71"/>
  <c r="E39" i="43"/>
  <c r="G39" i="43"/>
  <c r="I39" i="43" s="1"/>
  <c r="C34" i="43"/>
  <c r="E34" i="43" s="1"/>
  <c r="E33" i="43"/>
  <c r="G38" i="43"/>
  <c r="I38" i="43" s="1"/>
  <c r="E38" i="43"/>
  <c r="E41" i="43"/>
  <c r="G41" i="43"/>
  <c r="I41" i="43" s="1"/>
  <c r="E37" i="43"/>
  <c r="G37" i="43"/>
  <c r="I37" i="43" s="1"/>
  <c r="E42" i="43"/>
  <c r="G42" i="43"/>
  <c r="I42" i="43" s="1"/>
  <c r="E40" i="43"/>
  <c r="G40" i="43"/>
  <c r="I40" i="43"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11" i="39" s="1"/>
  <c r="C23" i="69"/>
  <c r="I69" i="39"/>
  <c r="J67" i="39"/>
  <c r="I63" i="40"/>
  <c r="H65" i="40"/>
  <c r="I58" i="21"/>
  <c r="J58" i="21" s="1"/>
  <c r="K58" i="21" s="1"/>
  <c r="L58" i="21" s="1"/>
  <c r="M58" i="21" s="1"/>
  <c r="N58" i="21" s="1"/>
  <c r="O58" i="21" s="1"/>
  <c r="H7" i="21" s="1"/>
  <c r="J7" i="21"/>
  <c r="F7" i="21"/>
  <c r="J48" i="35"/>
  <c r="H11" i="39" l="1"/>
  <c r="J11" i="39"/>
  <c r="F11" i="39"/>
  <c r="M23" i="43"/>
  <c r="D16" i="71"/>
  <c r="U16" i="71" s="1"/>
  <c r="C15" i="71"/>
  <c r="T16" i="71"/>
  <c r="I53" i="34"/>
  <c r="J53" i="34" s="1"/>
  <c r="G54" i="34"/>
  <c r="H54" i="34" s="1"/>
  <c r="G53" i="34"/>
  <c r="H53" i="34" s="1"/>
  <c r="R50" i="34"/>
  <c r="E49" i="34"/>
  <c r="C30" i="43"/>
  <c r="C31" i="43"/>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E6" i="76"/>
  <c r="C50" i="34" l="1"/>
  <c r="C49" i="34"/>
  <c r="D15" i="71"/>
  <c r="C14" i="71"/>
  <c r="W11" i="39"/>
  <c r="AC11" i="39"/>
  <c r="E53" i="34"/>
  <c r="F53" i="34" s="1"/>
  <c r="E54" i="34"/>
  <c r="F54" i="34" s="1"/>
  <c r="I54" i="34"/>
  <c r="J54" i="34" s="1"/>
  <c r="AA11" i="39"/>
  <c r="S11" i="39"/>
  <c r="AB11" i="39"/>
  <c r="U11" i="39"/>
  <c r="E2" i="76"/>
  <c r="B2" i="43"/>
  <c r="C6" i="68" s="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M21" i="15"/>
  <c r="B6" i="76"/>
  <c r="F35" i="15"/>
  <c r="M21" i="67"/>
  <c r="F35" i="67"/>
  <c r="D14" i="71" l="1"/>
  <c r="C13" i="71"/>
  <c r="B2" i="76"/>
  <c r="B3" i="76" s="1"/>
  <c r="B3" i="43"/>
  <c r="C7" i="68"/>
  <c r="C5" i="68"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3" i="71" l="1"/>
  <c r="C12" i="71"/>
  <c r="C23" i="68"/>
  <c r="C20"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1" i="71" l="1"/>
  <c r="D12" i="71"/>
  <c r="U12" i="71" s="1"/>
  <c r="T12" i="71"/>
  <c r="C28" i="68"/>
  <c r="C27" i="68" s="1"/>
  <c r="C25" i="68"/>
  <c r="C22" i="68"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1" i="71" l="1"/>
  <c r="C10" i="71"/>
  <c r="C31" i="68"/>
  <c r="C52"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D10" i="71" l="1"/>
  <c r="C9" i="71"/>
  <c r="B2" i="68"/>
  <c r="C57" i="68"/>
  <c r="C56"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7" i="1"/>
  <c r="AO12" i="1"/>
  <c r="AO9" i="1"/>
  <c r="AO8" i="1"/>
  <c r="C19" i="9"/>
  <c r="AO11" i="1"/>
  <c r="D9" i="71" l="1"/>
  <c r="C8" i="71"/>
  <c r="R48" i="39"/>
  <c r="C48" i="39" s="1"/>
  <c r="C21" i="9"/>
  <c r="C102" i="9"/>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B3" i="68"/>
  <c r="AO6" i="1"/>
  <c r="D35" i="9"/>
  <c r="D34" i="9"/>
  <c r="D19" i="9"/>
  <c r="C20" i="9"/>
  <c r="C7" i="71" l="1"/>
  <c r="D8" i="71"/>
  <c r="C47" i="39"/>
  <c r="C103" i="9"/>
  <c r="D102" i="9"/>
  <c r="D21" i="9"/>
  <c r="D22" i="9"/>
  <c r="G19" i="9"/>
  <c r="G21" i="9" s="1"/>
  <c r="B3" i="15"/>
  <c r="B6" i="70"/>
  <c r="B2" i="70" s="1"/>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6" i="71" l="1"/>
  <c r="D7" i="71"/>
  <c r="F65" i="39"/>
  <c r="B2" i="39" s="1"/>
  <c r="B3" i="39" s="1"/>
  <c r="D103" i="9"/>
  <c r="G20" i="9"/>
  <c r="C32" i="9" s="1"/>
  <c r="C35" i="9" s="1"/>
  <c r="C34" i="9" s="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F118" i="9"/>
  <c r="F119" i="9" s="1"/>
  <c r="F5" i="52" s="1"/>
  <c r="B53" i="72" s="1"/>
  <c r="H118" i="9"/>
  <c r="C104" i="9" l="1"/>
  <c r="D14" i="74"/>
  <c r="F4" i="52"/>
  <c r="B51" i="72" s="1"/>
  <c r="G118" i="9"/>
  <c r="G4" i="52" s="1"/>
  <c r="B52" i="72" s="1"/>
  <c r="H101" i="9"/>
  <c r="M48" i="9" s="1"/>
  <c r="I118" i="9"/>
  <c r="C105" i="9" s="1"/>
  <c r="H107" i="9"/>
  <c r="M49" i="9" s="1"/>
  <c r="D4" i="52"/>
  <c r="B47" i="72" s="1"/>
  <c r="D5" i="53"/>
  <c r="H119" i="9"/>
  <c r="H5" i="52" s="1"/>
  <c r="H4" i="52"/>
  <c r="I4" i="52"/>
  <c r="D45" i="9"/>
  <c r="E118" i="9"/>
  <c r="E4" i="52" s="1"/>
  <c r="B48" i="72" s="1"/>
  <c r="L68" i="9" l="1"/>
  <c r="M68" i="9" s="1"/>
  <c r="L66" i="9"/>
  <c r="M66" i="9" s="1"/>
  <c r="L63" i="9"/>
  <c r="M63" i="9" s="1"/>
  <c r="L65" i="9"/>
  <c r="M65" i="9" s="1"/>
  <c r="L64" i="9"/>
  <c r="M64" i="9" s="1"/>
  <c r="L67" i="9"/>
  <c r="M67" i="9" s="1"/>
  <c r="H102" i="9"/>
  <c r="H108" i="9" s="1"/>
  <c r="E14" i="74"/>
  <c r="F14" i="74"/>
  <c r="B5" i="74"/>
  <c r="D5" i="74" s="1"/>
  <c r="D52" i="9"/>
  <c r="C78" i="9"/>
  <c r="C73" i="9" s="1"/>
  <c r="C93" i="9"/>
  <c r="C86" i="9" s="1"/>
  <c r="C72" i="9"/>
  <c r="C85" i="9"/>
  <c r="D53" i="9"/>
  <c r="C64" i="9"/>
  <c r="C63" i="9" s="1"/>
  <c r="C67" i="9" s="1"/>
  <c r="D55" i="9"/>
  <c r="M53" i="9" s="1"/>
  <c r="B20" i="72"/>
  <c r="D6" i="53"/>
  <c r="B22" i="72" s="1"/>
  <c r="D13" i="53"/>
  <c r="D122" i="9"/>
  <c r="M69" i="9" l="1"/>
  <c r="N69" i="9" s="1"/>
  <c r="D7" i="53"/>
  <c r="B21" i="72" s="1"/>
  <c r="C79" i="9"/>
  <c r="C80" i="9" s="1"/>
  <c r="E80" i="9" s="1"/>
  <c r="E81" i="9" s="1"/>
  <c r="C95" i="9"/>
  <c r="C96" i="9" s="1"/>
  <c r="E96" i="9" s="1"/>
  <c r="E97" i="9" s="1"/>
  <c r="C5" i="74"/>
  <c r="C6" i="74"/>
  <c r="D15" i="53"/>
  <c r="B31" i="72" s="1"/>
  <c r="B30" i="72"/>
  <c r="D14" i="53"/>
  <c r="B32" i="72" s="1"/>
  <c r="D8" i="52"/>
  <c r="D123" i="9"/>
  <c r="D9" i="52" s="1"/>
  <c r="D59" i="9"/>
  <c r="M55" i="9" s="1"/>
  <c r="C68" i="9"/>
  <c r="D54"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<sst xmlns="http://schemas.openxmlformats.org/spreadsheetml/2006/main" count="8344" uniqueCount="3638">
  <si>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</si>
  <si>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</si>
  <si>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</si>
  <si>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</si>
  <si>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</si>
  <si>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</si>
  <si>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</si>
  <si>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</si>
  <si>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</si>
  <si>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</si>
  <si>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</si>
  <si>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</si>
  <si>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</si>
  <si>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</si>
  <si>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</si>
  <si>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</si>
  <si>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</si>
  <si>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</si>
  <si>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</si>
  <si>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</si>
  <si>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</si>
  <si>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</si>
  <si>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</si>
  <si>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</si>
  <si>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</si>
  <si>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</si>
  <si>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</si>
  <si>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</si>
  <si>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</si>
  <si>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</si>
  <si>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</si>
  <si>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</si>
  <si>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</si>
  <si>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</si>
  <si>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</si>
  <si>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</si>
  <si>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</si>
  <si>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</si>
  <si>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</si>
  <si>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</si>
  <si>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</si>
  <si>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</si>
  <si>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</si>
  <si>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</si>
  <si>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</si>
  <si>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</si>
  <si>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</si>
  <si>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</si>
  <si>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</si>
  <si>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</si>
  <si>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</si>
  <si>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</si>
  <si>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</si>
  <si>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</si>
  <si>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</si>
  <si>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</si>
  <si>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</si>
  <si>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</si>
  <si>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</si>
  <si>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</si>
  <si>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</si>
  <si>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</si>
  <si>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</si>
  <si>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</si>
  <si>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</si>
  <si>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</si>
  <si>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</si>
  <si>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</si>
  <si>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</si>
  <si>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</si>
  <si>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</si>
  <si>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</si>
  <si>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</si>
  <si>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</si>
  <si>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</si>
  <si>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</si>
  <si>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</si>
  <si>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</si>
  <si>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</si>
  <si>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</si>
  <si>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</si>
  <si>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</si>
  <si>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</si>
  <si>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</si>
  <si>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</si>
  <si>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</si>
  <si>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</si>
  <si>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</si>
  <si>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</si>
  <si>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</si>
  <si>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</si>
  <si>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</si>
  <si>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</si>
  <si>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</si>
  <si>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</si>
  <si>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</si>
  <si>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</si>
  <si>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</si>
  <si>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</si>
  <si>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</si>
  <si>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</si>
  <si>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</si>
  <si>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</si>
  <si>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</si>
  <si>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</si>
  <si>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</si>
  <si>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</si>
  <si>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</si>
  <si>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</si>
  <si>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</si>
  <si>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</si>
  <si>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</si>
  <si>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</si>
  <si>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</si>
  <si>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</si>
  <si>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</si>
  <si>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</si>
  <si>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</si>
  <si>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</si>
  <si>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</si>
  <si>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</si>
  <si>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</si>
  <si>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</si>
  <si>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</si>
  <si>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</si>
  <si>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</si>
  <si>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</si>
  <si>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</si>
  <si>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</si>
  <si>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</si>
  <si>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</si>
  <si>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</si>
  <si>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</si>
  <si>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</si>
  <si>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</si>
  <si>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</si>
  <si>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</si>
  <si>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</si>
  <si>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</si>
  <si>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</si>
  <si>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</si>
  <si>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</si>
  <si>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</si>
  <si>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</si>
  <si>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</si>
  <si>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</si>
  <si>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</si>
  <si>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</si>
  <si>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</si>
  <si>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</si>
  <si>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</si>
  <si>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</si>
  <si>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</si>
  <si>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</si>
  <si>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</si>
  <si>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</si>
  <si>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</si>
  <si>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</si>
  <si>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</si>
  <si>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</si>
  <si>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</si>
  <si>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</si>
  <si>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</si>
  <si>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</si>
  <si>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</si>
  <si>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</si>
  <si>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</si>
  <si>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</si>
  <si>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</si>
  <si>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</si>
  <si>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</si>
  <si>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</si>
  <si>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</si>
  <si>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</si>
  <si>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</si>
  <si>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</si>
  <si>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</si>
  <si>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</si>
  <si>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</si>
  <si>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</si>
  <si>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</si>
  <si>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</si>
  <si>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</si>
  <si>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</si>
  <si>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</si>
  <si>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</si>
  <si>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</si>
  <si>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</si>
  <si>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</si>
  <si>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</si>
  <si>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</si>
  <si>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</si>
  <si>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</si>
  <si>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</si>
  <si>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</si>
  <si>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</si>
  <si>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</si>
  <si>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</si>
  <si>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</si>
  <si>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</si>
  <si>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</si>
  <si>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</si>
  <si>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</si>
  <si>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</si>
  <si>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</si>
  <si>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</si>
  <si>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</si>
  <si>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</si>
  <si>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</si>
  <si>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</si>
  <si>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</si>
  <si>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</si>
  <si>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</si>
  <si>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</si>
  <si>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</si>
  <si>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</si>
  <si>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</si>
  <si>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</si>
  <si>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</si>
  <si>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</si>
  <si>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</si>
  <si>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</si>
  <si>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</si>
  <si>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</si>
  <si>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</si>
  <si>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</si>
  <si>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</si>
  <si>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</si>
  <si>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</si>
  <si>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</si>
  <si>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</si>
  <si>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</si>
  <si>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</si>
  <si>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</si>
  <si>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</si>
  <si>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</si>
  <si>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</si>
  <si>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</si>
  <si>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</si>
  <si>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</si>
  <si>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</si>
  <si>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</si>
  <si>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</si>
  <si>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</si>
  <si>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</si>
  <si>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</si>
  <si>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</si>
  <si>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</si>
  <si>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</si>
  <si>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</si>
  <si>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</si>
  <si>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</si>
  <si>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</si>
  <si>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</si>
  <si>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</si>
  <si>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</si>
  <si>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</si>
  <si>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</si>
  <si>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</si>
  <si>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</si>
  <si>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</si>
  <si>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</si>
  <si>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</si>
  <si>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</si>
  <si>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</si>
  <si>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</si>
  <si>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</si>
  <si>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</si>
  <si>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</si>
  <si>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</si>
  <si>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</si>
  <si>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</si>
  <si>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</si>
  <si>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</si>
  <si>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</si>
  <si>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</si>
  <si>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</si>
  <si>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</si>
  <si>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</si>
  <si>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</si>
  <si>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</si>
  <si>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</si>
  <si>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</si>
  <si>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</si>
  <si>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</si>
  <si>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</si>
  <si>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</si>
  <si>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</si>
  <si>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</si>
  <si>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</si>
  <si>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</si>
  <si>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</si>
  <si>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</si>
  <si>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</si>
  <si>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</si>
  <si>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</si>
  <si>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</si>
  <si>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</si>
  <si>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</si>
  <si>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</si>
  <si>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</si>
  <si>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</si>
  <si>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</si>
  <si>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</si>
  <si>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</si>
  <si>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</si>
  <si>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</si>
  <si>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</si>
  <si>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</si>
  <si>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</si>
  <si>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</si>
  <si>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</si>
  <si>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</si>
  <si>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</si>
  <si>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</si>
  <si>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</si>
  <si>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</si>
  <si>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</si>
  <si>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</si>
  <si>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</si>
  <si>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</si>
  <si>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</si>
  <si>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</si>
  <si>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</si>
  <si>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</si>
  <si>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</si>
  <si>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</si>
  <si>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</si>
  <si>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</si>
  <si>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</si>
  <si>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</si>
  <si>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</si>
  <si>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</si>
  <si>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</si>
  <si>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</si>
  <si>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</si>
  <si>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</si>
  <si>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</si>
  <si>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</si>
  <si>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</si>
  <si>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</si>
  <si>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</si>
  <si>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</si>
  <si>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</si>
  <si>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</si>
  <si>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</si>
  <si>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</si>
  <si>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</si>
  <si>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</si>
  <si>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</si>
  <si>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</si>
  <si>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</si>
  <si>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</si>
  <si>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</si>
  <si>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</si>
  <si>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</si>
  <si>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</si>
  <si>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</si>
  <si>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</si>
  <si>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</si>
  <si>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</si>
  <si>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</si>
  <si>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</si>
  <si>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</si>
  <si>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</si>
  <si>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</si>
  <si>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</si>
  <si>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</si>
  <si>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</si>
  <si>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</si>
  <si>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</si>
  <si>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</si>
  <si>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</si>
  <si>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</si>
  <si>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</si>
  <si>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</si>
  <si>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</si>
  <si>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</si>
  <si>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</si>
  <si>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</si>
  <si>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</si>
  <si>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</si>
  <si>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</si>
  <si>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</si>
  <si>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</si>
  <si>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</si>
  <si>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</si>
  <si>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</si>
  <si>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</si>
  <si>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</si>
  <si>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</si>
  <si>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</si>
  <si>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</si>
  <si>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</si>
  <si>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</si>
  <si>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</si>
  <si>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</si>
  <si>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</si>
  <si>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</si>
  <si>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</si>
  <si>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</si>
  <si>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</si>
  <si>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</si>
  <si>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</si>
  <si>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</si>
  <si>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</si>
  <si>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</si>
  <si>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</si>
  <si>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</si>
  <si>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</si>
  <si>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</si>
  <si>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</si>
  <si>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</si>
  <si>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</si>
  <si>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</si>
  <si>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</si>
  <si>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</si>
  <si>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</si>
  <si>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</si>
  <si>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</si>
  <si>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</si>
  <si>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</si>
  <si>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</si>
  <si>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</si>
  <si>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</si>
  <si>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</si>
  <si>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</si>
  <si>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</si>
  <si>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</si>
  <si>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</si>
  <si>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</si>
  <si>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</si>
  <si>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</si>
  <si>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</si>
  <si>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</si>
  <si>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</si>
  <si>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</si>
  <si>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</si>
  <si>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</si>
  <si>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</si>
  <si>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</si>
  <si>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</si>
  <si>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</si>
  <si>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</si>
  <si>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</si>
  <si>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</si>
  <si>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</si>
  <si>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</si>
  <si>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</si>
  <si>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</si>
  <si>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</si>
  <si>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</si>
  <si>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</si>
  <si>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</si>
  <si>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</si>
  <si>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</si>
  <si>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</si>
  <si>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</si>
  <si>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</si>
  <si>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</si>
  <si>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</si>
  <si>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</si>
  <si>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</si>
  <si>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</si>
  <si>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</si>
  <si>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</si>
  <si>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</si>
  <si>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</si>
  <si>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</si>
  <si>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</si>
  <si>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</si>
  <si>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</si>
  <si>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</si>
  <si>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</si>
  <si>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</si>
  <si>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</si>
  <si>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</si>
  <si>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</si>
  <si>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</si>
  <si>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</si>
  <si>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</si>
  <si>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</si>
  <si>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</si>
  <si>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</si>
  <si>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</si>
  <si>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</si>
  <si>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</si>
  <si>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</si>
  <si>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</si>
  <si>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</si>
  <si>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</si>
  <si>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</si>
  <si>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</si>
  <si>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</si>
  <si>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</si>
  <si>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</si>
  <si>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</si>
  <si>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</si>
  <si>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</si>
  <si>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</si>
  <si>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</si>
  <si>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</si>
  <si>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</si>
  <si>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</si>
  <si>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</si>
  <si>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</si>
  <si>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</si>
  <si>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</si>
  <si>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</si>
  <si>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</si>
  <si>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</si>
  <si>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</si>
  <si>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</si>
  <si>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</si>
  <si>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</si>
  <si>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</si>
  <si>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</si>
  <si>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</si>
  <si>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</si>
  <si>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</si>
  <si>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</si>
  <si>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</si>
  <si>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</si>
  <si>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</si>
  <si>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</si>
  <si>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</si>
  <si>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</si>
  <si>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</si>
  <si>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</si>
  <si>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</si>
  <si>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</si>
  <si>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</si>
  <si>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</si>
  <si>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</si>
  <si>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</si>
  <si>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</si>
  <si>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</si>
  <si>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</si>
  <si>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</si>
  <si>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</si>
  <si>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</si>
  <si>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</si>
  <si>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</si>
  <si>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</si>
  <si>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</si>
  <si>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</si>
  <si>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</si>
  <si>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</si>
  <si>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</si>
  <si>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</si>
  <si>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</si>
  <si>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</si>
  <si>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</si>
  <si>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</si>
  <si>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</si>
  <si>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</si>
  <si>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</si>
  <si>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</si>
  <si>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</si>
  <si>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</si>
  <si>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</si>
  <si>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</si>
  <si>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</si>
  <si>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</si>
  <si>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</si>
  <si>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</si>
  <si>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</si>
  <si>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</si>
  <si>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</si>
  <si>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</si>
  <si>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</si>
  <si>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</si>
  <si>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</si>
  <si>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</si>
  <si>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</si>
  <si>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</si>
  <si>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</si>
  <si>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</si>
  <si>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</si>
  <si>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</si>
  <si>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</si>
  <si>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</si>
  <si>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</si>
  <si>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</si>
  <si>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</si>
  <si>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</si>
  <si>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</si>
  <si>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</si>
  <si>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</si>
  <si>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</si>
  <si>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</si>
  <si>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</si>
  <si>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</si>
  <si>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</si>
  <si>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</si>
  <si>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</si>
  <si>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</si>
  <si>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</si>
  <si>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</si>
  <si>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</si>
  <si>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</si>
  <si>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</si>
  <si>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</si>
  <si>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</si>
  <si>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</si>
  <si>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</si>
  <si>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</si>
  <si>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</si>
  <si>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</si>
  <si>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</si>
  <si>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</si>
  <si>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</si>
  <si>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</si>
  <si>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</si>
  <si>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</si>
  <si>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</si>
  <si>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</si>
  <si>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</si>
  <si>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</si>
  <si>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</si>
  <si>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</si>
  <si>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</si>
  <si>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</si>
  <si>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</si>
  <si>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</si>
  <si>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</si>
  <si>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</si>
  <si>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</si>
  <si>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</si>
  <si>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</si>
  <si>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</si>
  <si>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</si>
  <si>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</si>
  <si>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</si>
  <si>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</si>
  <si>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</si>
  <si>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</si>
  <si>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</si>
  <si>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</si>
  <si>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</si>
  <si>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</si>
  <si>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</si>
  <si>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</si>
  <si>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</si>
  <si>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</si>
  <si>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</si>
  <si>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</si>
  <si>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</si>
  <si>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</si>
  <si>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</si>
  <si>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</si>
  <si>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</si>
  <si>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</si>
  <si>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</si>
  <si>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</si>
  <si>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</si>
  <si>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</si>
  <si>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</si>
  <si>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</si>
  <si>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</si>
  <si>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</si>
  <si>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</si>
  <si>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</si>
  <si>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</si>
  <si>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</si>
  <si>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</si>
  <si>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</si>
  <si>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</si>
  <si>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</si>
  <si>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</si>
  <si>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</si>
  <si>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</si>
  <si>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</si>
  <si>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</si>
  <si>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</si>
  <si>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</si>
  <si>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</si>
  <si>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</si>
  <si>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</si>
  <si>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</si>
  <si>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</si>
  <si>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</si>
  <si>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</si>
  <si>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</si>
  <si>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</si>
  <si>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</si>
  <si>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</si>
  <si>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</si>
  <si>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</si>
  <si>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</si>
  <si>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</si>
  <si>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</si>
  <si>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</si>
  <si>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</si>
  <si>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</si>
  <si>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</si>
  <si>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</si>
  <si>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</si>
  <si>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</si>
  <si>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</si>
  <si>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</si>
  <si>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</si>
  <si>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</si>
  <si>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</si>
  <si>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</si>
  <si>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</si>
  <si>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</si>
  <si>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</si>
  <si>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</si>
  <si>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</si>
  <si>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</si>
  <si>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</si>
  <si>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</si>
  <si>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</si>
  <si>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</si>
  <si>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</si>
  <si>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</si>
  <si>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</si>
  <si>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</si>
  <si>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</si>
  <si>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</si>
  <si>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</si>
  <si>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</si>
  <si>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</si>
  <si>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</si>
  <si>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</si>
  <si>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</si>
  <si>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</si>
  <si>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</si>
  <si>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</si>
  <si>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</si>
  <si>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</si>
  <si>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</si>
  <si>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</si>
  <si>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</si>
  <si>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</si>
  <si>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</si>
  <si>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</si>
  <si>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</si>
  <si>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</si>
  <si>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</si>
  <si>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</si>
  <si>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</si>
  <si>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</si>
  <si>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</si>
  <si>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</si>
  <si>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</si>
  <si>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</si>
  <si>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</si>
  <si>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</si>
  <si>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</si>
  <si>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</si>
  <si>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</si>
  <si>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</si>
  <si>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</si>
  <si>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</si>
  <si>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</si>
  <si>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</si>
  <si>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</si>
  <si>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</si>
  <si>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</si>
  <si>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</si>
  <si>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</si>
  <si>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</si>
  <si>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</si>
  <si>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</si>
  <si>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</si>
  <si>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</si>
  <si>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</si>
  <si>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</si>
  <si>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</si>
  <si>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</si>
  <si>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</si>
  <si>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</si>
  <si>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</si>
  <si>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</si>
  <si>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</si>
  <si>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</si>
  <si>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</si>
  <si>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</si>
  <si>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</si>
  <si>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</si>
  <si>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</si>
  <si>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</si>
  <si>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</si>
  <si>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</si>
  <si>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</si>
  <si>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</si>
  <si>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</si>
  <si>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</si>
  <si>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</si>
  <si>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</si>
  <si>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</si>
  <si>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</si>
  <si>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</si>
  <si>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</si>
  <si>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</si>
  <si>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</si>
  <si>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</si>
  <si>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</si>
  <si>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</si>
  <si>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</si>
  <si>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</si>
  <si>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</si>
  <si>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</si>
  <si>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</si>
  <si>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</si>
  <si>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</si>
  <si>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</si>
  <si>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</si>
  <si>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</si>
  <si>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</si>
  <si>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</si>
  <si>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</si>
  <si>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</si>
  <si>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</si>
  <si>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</si>
  <si>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</si>
  <si>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</si>
  <si>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</si>
  <si>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</si>
  <si>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</si>
  <si>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</si>
  <si>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</si>
  <si>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</si>
  <si>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</si>
  <si>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</si>
  <si>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</si>
  <si>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</si>
  <si>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</si>
  <si>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</si>
  <si>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</si>
  <si>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</si>
  <si>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</si>
  <si>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</si>
  <si>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</si>
  <si>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</si>
  <si>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</si>
  <si>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</si>
  <si>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</si>
  <si>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</si>
  <si>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</si>
  <si>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</si>
  <si>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</si>
  <si>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</si>
  <si>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</si>
  <si>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</si>
  <si>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</si>
  <si>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</si>
  <si>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</si>
  <si>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</si>
  <si>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</si>
  <si>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</si>
  <si>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</si>
  <si>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</si>
  <si>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</si>
  <si>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</si>
  <si>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</si>
  <si>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</si>
  <si>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</si>
  <si>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</si>
  <si>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</si>
  <si>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</si>
  <si>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</si>
  <si>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</si>
  <si>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</si>
  <si>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</si>
  <si>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</si>
  <si>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</si>
  <si>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</si>
  <si>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</si>
  <si>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</si>
  <si>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</si>
  <si>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</si>
  <si>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</si>
  <si>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</si>
  <si>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</si>
  <si>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</si>
  <si>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</si>
  <si>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</si>
  <si>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</si>
  <si>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</si>
  <si>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</si>
  <si>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</si>
  <si>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</si>
  <si>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</si>
  <si>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</si>
  <si>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</si>
  <si>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</si>
  <si>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</si>
  <si>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</si>
  <si>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</si>
  <si>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</si>
  <si>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</si>
  <si>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</si>
  <si>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</si>
  <si>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</si>
  <si>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</si>
  <si>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</si>
  <si>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</si>
  <si>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</si>
  <si>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</si>
  <si>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</si>
  <si>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</si>
  <si>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</si>
  <si>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</si>
  <si>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</si>
  <si>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</si>
  <si>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</si>
  <si>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</si>
  <si>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</si>
  <si>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</si>
  <si>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</si>
  <si>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</si>
  <si>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</si>
  <si>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</si>
  <si>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</si>
  <si>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</si>
  <si>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</si>
  <si>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</si>
  <si>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</si>
  <si>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</si>
  <si>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</si>
  <si>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</si>
  <si>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</si>
  <si>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</si>
  <si>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</si>
  <si>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</si>
  <si>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</si>
  <si>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</si>
  <si>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</si>
  <si>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</si>
  <si>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</si>
  <si>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</si>
  <si>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</si>
  <si>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</si>
  <si>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</si>
  <si>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</si>
  <si>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</si>
  <si>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</si>
  <si>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</si>
  <si>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</si>
  <si>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</si>
  <si>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</si>
  <si>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</si>
  <si>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</si>
  <si>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</si>
  <si>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</si>
  <si>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</si>
  <si>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</si>
  <si>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</si>
  <si>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</si>
  <si>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</si>
  <si>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</si>
  <si>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</si>
  <si>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</si>
  <si>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</si>
  <si>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</si>
  <si>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</si>
  <si>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</si>
  <si>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</si>
  <si>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</si>
  <si>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</si>
  <si>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</si>
  <si>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</si>
  <si>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</si>
  <si>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</si>
  <si>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</si>
  <si>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</si>
  <si>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</si>
  <si>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</si>
  <si>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</si>
  <si>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</si>
  <si>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</si>
  <si>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</si>
  <si>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</si>
  <si>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</si>
  <si>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</si>
  <si>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</si>
  <si>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</si>
  <si>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</si>
  <si>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</si>
  <si>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</si>
  <si>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</si>
  <si>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</si>
  <si>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</si>
  <si>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</si>
  <si>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</si>
  <si>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</si>
  <si>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</si>
  <si>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</si>
  <si>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</si>
  <si>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</si>
  <si>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</si>
  <si>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</si>
  <si>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</si>
  <si>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</si>
  <si>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</si>
  <si>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</si>
  <si>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</si>
  <si>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</si>
  <si>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</si>
  <si>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</si>
  <si>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</si>
  <si>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</si>
  <si>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</si>
  <si>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</si>
  <si>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</si>
  <si>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</si>
  <si>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</si>
  <si>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</si>
  <si>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</si>
  <si>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</si>
  <si>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</si>
  <si>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</si>
  <si>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</si>
  <si>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</si>
  <si>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</si>
  <si>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</si>
  <si>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</si>
  <si>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</si>
  <si>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</si>
  <si>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</si>
  <si>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</si>
  <si>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</si>
  <si>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</si>
  <si>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</si>
  <si>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</si>
  <si>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</si>
  <si>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</si>
  <si>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</si>
  <si>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</si>
  <si>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</si>
  <si>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</si>
  <si>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</si>
  <si>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</si>
  <si>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</si>
  <si>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</si>
  <si>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</si>
  <si>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</si>
  <si>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</si>
  <si>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</si>
  <si>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</si>
  <si>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</si>
  <si>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</si>
  <si>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</si>
  <si>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</si>
  <si>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</si>
  <si>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</si>
  <si>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</si>
  <si>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</si>
  <si>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</si>
  <si>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</si>
  <si>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</si>
  <si>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</si>
  <si>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</si>
  <si>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</si>
  <si>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</si>
  <si>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</si>
  <si>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</si>
  <si>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</si>
  <si>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</si>
  <si>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</si>
  <si>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</si>
  <si>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</si>
  <si>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</si>
  <si>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</si>
  <si>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</si>
  <si>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</si>
  <si>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</si>
  <si>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</si>
  <si>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</si>
  <si>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</si>
  <si>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</si>
  <si>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</si>
  <si>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</si>
  <si>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</si>
  <si>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</si>
  <si>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</si>
  <si>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</si>
  <si>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</si>
  <si>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</si>
  <si>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</si>
  <si>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</si>
  <si>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</si>
  <si>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</si>
  <si>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</si>
  <si>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</si>
  <si>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</si>
  <si>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</si>
  <si>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</si>
  <si>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</si>
  <si>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</si>
  <si>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</si>
  <si>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</si>
  <si>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</si>
  <si>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</si>
  <si>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</si>
  <si>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</si>
  <si>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</si>
  <si>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</si>
  <si>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</si>
  <si>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</si>
  <si>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</si>
  <si>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</si>
  <si>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</si>
  <si>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</si>
  <si>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</si>
  <si>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</si>
  <si>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</si>
  <si>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</si>
  <si>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</si>
  <si>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</si>
  <si>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</si>
  <si>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</si>
  <si>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</si>
  <si>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</si>
  <si>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</si>
  <si>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</si>
  <si>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</si>
  <si>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</si>
  <si>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</si>
  <si>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</si>
  <si>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</si>
  <si>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</si>
  <si>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</si>
  <si>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</si>
  <si>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</si>
  <si>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</si>
  <si>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</si>
  <si>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</si>
  <si>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</si>
  <si>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</si>
  <si>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</si>
  <si>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</si>
  <si>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</si>
  <si>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</si>
  <si>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</si>
  <si>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</si>
  <si>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</si>
  <si>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</si>
  <si>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</si>
  <si>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</si>
  <si>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</si>
  <si>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</si>
  <si>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</si>
  <si>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</si>
  <si>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</si>
  <si>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</si>
  <si>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</si>
  <si>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</si>
  <si>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</si>
  <si>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</si>
  <si>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</si>
  <si>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</si>
  <si>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</si>
  <si>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</si>
  <si>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</si>
  <si>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</si>
  <si>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</si>
  <si>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</si>
  <si>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</si>
  <si>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</si>
  <si>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</si>
  <si>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</si>
  <si>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</si>
  <si>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</si>
  <si>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</si>
  <si>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</si>
  <si>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</si>
  <si>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</si>
  <si>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</si>
  <si>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</si>
  <si>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</si>
  <si>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</si>
  <si>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</si>
  <si>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</si>
  <si>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</si>
  <si>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</si>
  <si>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</si>
  <si>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</si>
  <si>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</si>
  <si>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</si>
  <si>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</si>
  <si>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</si>
  <si>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</si>
  <si>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</si>
  <si>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</si>
  <si>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</si>
  <si>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</si>
  <si>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</si>
  <si>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</si>
  <si>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</si>
  <si>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</si>
  <si>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</si>
  <si>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</si>
  <si>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</si>
  <si>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</si>
  <si>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</si>
  <si>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</si>
  <si>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</si>
  <si>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</si>
  <si>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</si>
  <si>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</si>
  <si>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</si>
  <si>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</si>
  <si>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</si>
  <si>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</si>
  <si>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</si>
  <si>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</si>
  <si>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</si>
  <si>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</si>
  <si>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</si>
  <si>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</si>
  <si>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</si>
  <si>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</si>
  <si>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</si>
  <si>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</si>
  <si>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</si>
  <si>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</si>
  <si>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</si>
  <si>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</si>
  <si>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</si>
  <si>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</si>
  <si>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</si>
  <si>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</si>
  <si>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</si>
  <si>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</si>
  <si>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</si>
  <si>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</si>
  <si>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</si>
  <si>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</si>
  <si>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</si>
  <si>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</si>
  <si>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</si>
  <si>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</si>
  <si>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</si>
  <si>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</si>
  <si>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</si>
  <si>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</si>
  <si>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</si>
  <si>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</si>
  <si>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</si>
  <si>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</si>
  <si>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</si>
  <si>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</si>
  <si>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</si>
  <si>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</si>
  <si>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</si>
  <si>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</si>
  <si>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</si>
  <si>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</si>
  <si>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</si>
  <si>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</si>
  <si>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</si>
  <si>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</si>
  <si>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</si>
  <si>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</si>
  <si>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</si>
  <si>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</si>
  <si>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</si>
  <si>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</si>
  <si>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</si>
  <si>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</si>
  <si>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</si>
  <si>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</si>
  <si>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</si>
  <si>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</si>
  <si>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</si>
  <si>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</si>
  <si>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</si>
  <si>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</si>
  <si>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</si>
  <si>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</si>
  <si>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</si>
  <si>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</si>
  <si>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</si>
  <si>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</si>
  <si>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</si>
  <si>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</si>
  <si>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</si>
  <si>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</si>
  <si>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</si>
  <si>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</si>
  <si>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</si>
  <si>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</si>
  <si>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</si>
  <si>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</si>
  <si>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</si>
  <si>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</si>
  <si>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</si>
  <si>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</si>
  <si>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</si>
  <si>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</si>
  <si>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</si>
  <si>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</si>
  <si>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</si>
  <si>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</si>
  <si>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</si>
  <si>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</si>
  <si>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</si>
  <si>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</si>
  <si>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</si>
  <si>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</si>
  <si>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</si>
  <si>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</si>
  <si>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</si>
  <si>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</si>
  <si>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</si>
  <si>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</si>
  <si>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</si>
  <si>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</si>
  <si>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</si>
  <si>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</si>
  <si>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</si>
  <si>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</si>
  <si>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</si>
  <si>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</si>
  <si>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</si>
  <si>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</si>
  <si>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</si>
  <si>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</si>
  <si>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</si>
  <si>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</si>
  <si>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</si>
  <si>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</si>
  <si>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</si>
  <si>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</si>
  <si>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</si>
  <si>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</si>
  <si>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</si>
  <si>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</si>
  <si>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</si>
  <si>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</si>
  <si>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</si>
  <si>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</si>
  <si>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</si>
  <si>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</si>
  <si>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</si>
  <si>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</si>
  <si>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</si>
  <si>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</si>
  <si>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</si>
  <si>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</si>
  <si>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</si>
  <si>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</si>
  <si>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</si>
  <si>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</si>
  <si>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</si>
  <si>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</si>
  <si>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</si>
  <si>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</si>
  <si>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</si>
  <si>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</si>
  <si>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</si>
  <si>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</si>
  <si>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</si>
  <si>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</si>
  <si>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</si>
  <si>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</si>
  <si>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</si>
  <si>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</si>
  <si>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</si>
  <si>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</si>
  <si>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</si>
  <si>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</si>
  <si>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</si>
  <si>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</si>
  <si>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</si>
  <si>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</si>
  <si>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</si>
  <si>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</si>
  <si>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</si>
  <si>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</si>
  <si>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</si>
  <si>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</si>
  <si>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</si>
  <si>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</si>
  <si>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</si>
  <si>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</si>
  <si>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</si>
  <si>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</si>
  <si>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</si>
  <si>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</si>
  <si>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</si>
  <si>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</si>
  <si>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</si>
  <si>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</si>
  <si>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</si>
  <si>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</si>
  <si>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</si>
  <si>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</si>
  <si>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</si>
  <si>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</si>
  <si>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</si>
  <si>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</si>
  <si>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</si>
  <si>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</si>
  <si>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</si>
  <si>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</si>
  <si>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</si>
  <si>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</si>
  <si>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</si>
  <si>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</si>
  <si>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</si>
  <si>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</si>
  <si>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</si>
  <si>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</si>
  <si>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</si>
  <si>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</si>
  <si>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</si>
  <si>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</si>
  <si>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</si>
  <si>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</si>
  <si>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</si>
  <si>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</si>
  <si>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</si>
  <si>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</si>
  <si>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</si>
  <si>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</si>
  <si>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</si>
  <si>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</si>
  <si>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</si>
  <si>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</si>
  <si>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</si>
  <si>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</si>
  <si>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</si>
  <si>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</si>
  <si>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</si>
  <si>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</si>
  <si>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</si>
  <si>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</si>
  <si>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</si>
  <si>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</si>
  <si>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</si>
  <si>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</si>
  <si>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</si>
  <si>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</si>
  <si>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</si>
  <si>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</si>
  <si>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</si>
  <si>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</si>
  <si>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</si>
  <si>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</si>
  <si>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</si>
  <si>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</si>
  <si>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</si>
  <si>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</si>
  <si>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</si>
  <si>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</si>
  <si>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</si>
  <si>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</si>
  <si>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</si>
  <si>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</si>
  <si>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</si>
  <si>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</si>
  <si>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</si>
  <si>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</si>
  <si>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</si>
  <si>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</si>
  <si>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</si>
  <si>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</si>
  <si>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</si>
  <si>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</si>
  <si>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</si>
  <si>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</si>
  <si>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</si>
  <si>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</si>
  <si>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</si>
  <si>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</si>
  <si>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</si>
  <si>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</si>
  <si>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</si>
  <si>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</si>
  <si>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</si>
  <si>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</si>
  <si>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</si>
  <si>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</si>
  <si>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</si>
  <si>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</si>
  <si>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</si>
  <si>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</si>
  <si>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</si>
  <si>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</si>
  <si>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</si>
  <si>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</si>
  <si>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</si>
  <si>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</si>
  <si>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</si>
  <si>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</si>
  <si>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</si>
  <si>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</si>
  <si>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</si>
  <si>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</si>
  <si>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</si>
  <si>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</si>
  <si>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</si>
  <si>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</si>
  <si>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</si>
  <si>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</si>
  <si>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</si>
  <si>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</si>
  <si>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</si>
  <si>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</si>
  <si>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</si>
  <si>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</si>
  <si>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</si>
  <si>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</si>
  <si>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</si>
  <si>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</si>
  <si>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</si>
  <si>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</si>
  <si>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</si>
  <si>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</si>
  <si>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</si>
  <si>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</si>
  <si>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</si>
  <si>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</si>
  <si>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</si>
  <si>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</si>
  <si>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</si>
  <si>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</si>
  <si>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</si>
  <si>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</si>
  <si>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</si>
  <si>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</si>
  <si>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</si>
  <si>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</si>
  <si>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</si>
  <si>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</si>
  <si>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</si>
  <si>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</si>
  <si>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</si>
  <si>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</si>
  <si>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</si>
  <si>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</si>
  <si>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</si>
  <si>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</si>
  <si>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</si>
  <si>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</si>
  <si>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</si>
  <si>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</si>
  <si>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</si>
  <si>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</si>
  <si>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</si>
  <si>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</si>
  <si>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</si>
  <si>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</si>
  <si>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</si>
  <si>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</si>
  <si>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</si>
  <si>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</si>
  <si>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</si>
  <si>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</si>
  <si>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</si>
  <si>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</si>
  <si>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</si>
  <si>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</si>
  <si>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</si>
  <si>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</si>
  <si>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</si>
  <si>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</si>
  <si>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</si>
  <si>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</si>
  <si>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</si>
  <si>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</si>
  <si>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</si>
  <si>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</si>
  <si>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</si>
  <si>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</si>
  <si>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</si>
  <si>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</si>
  <si>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</si>
  <si>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</si>
  <si>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</si>
  <si>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</si>
  <si>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</si>
  <si>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</si>
  <si>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</si>
  <si>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</si>
  <si>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</si>
  <si>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</si>
  <si>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</si>
  <si>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</si>
  <si>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</si>
  <si>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</si>
  <si>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</si>
  <si>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</si>
  <si>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</si>
  <si>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</si>
  <si>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</si>
  <si>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</si>
  <si>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</si>
  <si>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</si>
  <si>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</si>
  <si>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</si>
  <si>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</si>
  <si>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</si>
  <si>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</si>
  <si>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</si>
  <si>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</si>
  <si>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</si>
  <si>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</si>
  <si>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</si>
  <si>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</si>
  <si>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</si>
  <si>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</si>
  <si>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</si>
  <si>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</si>
  <si>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</si>
  <si>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</si>
  <si>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</si>
  <si>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</si>
  <si>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</si>
  <si>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</si>
  <si>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</si>
  <si>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</si>
  <si>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</si>
  <si>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</si>
  <si>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</si>
  <si>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</si>
  <si>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</si>
  <si>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</si>
  <si>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</si>
  <si>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</si>
  <si>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</si>
  <si>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</si>
  <si>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</si>
  <si>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</si>
  <si>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</si>
  <si>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</si>
  <si>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</si>
  <si>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</si>
  <si>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</si>
  <si>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</si>
  <si>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</si>
  <si>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</si>
  <si>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</si>
  <si>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</si>
  <si>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</si>
  <si>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</si>
  <si>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</si>
  <si>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</si>
  <si>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</si>
  <si>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</si>
  <si>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</si>
  <si>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</si>
  <si>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</si>
  <si>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</si>
  <si>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</si>
  <si>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</si>
  <si>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</si>
  <si>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</si>
  <si>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</si>
  <si>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</si>
  <si>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</si>
  <si>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</si>
  <si>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</si>
  <si>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</si>
  <si>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</si>
  <si>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</si>
  <si>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</si>
  <si>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</si>
  <si>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</si>
  <si>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</si>
  <si>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</si>
  <si>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</si>
  <si>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</si>
  <si>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</si>
  <si>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</si>
  <si>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</si>
  <si>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</si>
  <si>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</si>
  <si>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</si>
  <si>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</si>
  <si>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</si>
  <si>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</si>
  <si>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</si>
  <si>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</si>
  <si>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</si>
  <si>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</si>
  <si>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</si>
  <si>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</si>
  <si>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</si>
  <si>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</si>
  <si>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</si>
  <si>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</si>
  <si>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</si>
  <si>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</si>
  <si>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</si>
  <si>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</si>
  <si>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</si>
  <si>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</si>
  <si>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</si>
  <si>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</si>
  <si>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</si>
  <si>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</si>
  <si>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</si>
  <si>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</si>
  <si>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</si>
  <si>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</si>
  <si>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</si>
  <si>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</si>
  <si>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</si>
  <si>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</si>
  <si>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</si>
  <si>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</si>
  <si>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</si>
  <si>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</si>
  <si>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</si>
  <si>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</si>
  <si>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</si>
  <si>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</si>
  <si>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</si>
  <si>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</si>
  <si>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</si>
  <si>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</si>
  <si>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</si>
  <si>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</si>
  <si>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</si>
  <si>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</si>
  <si>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</si>
  <si>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</si>
  <si>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</si>
  <si>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</si>
  <si>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</si>
  <si>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</si>
  <si>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</si>
  <si>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</si>
  <si>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</si>
  <si>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</si>
  <si>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</si>
  <si>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</si>
  <si>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</si>
  <si>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</si>
  <si>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</si>
  <si>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</si>
  <si>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</si>
  <si>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</si>
  <si>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</si>
  <si>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</si>
  <si>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</si>
  <si>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</si>
  <si>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</si>
  <si>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</si>
  <si>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</si>
  <si>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</si>
  <si>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</si>
  <si>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</si>
  <si>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</si>
  <si>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</si>
  <si>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</si>
  <si>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</si>
  <si>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</si>
  <si>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</si>
  <si>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</si>
  <si>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</si>
  <si>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</si>
  <si>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</si>
  <si>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</si>
  <si>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</si>
  <si>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</si>
  <si>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</si>
  <si>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</si>
  <si>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</si>
  <si>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</si>
  <si>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</si>
  <si>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</si>
  <si>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</si>
  <si>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</si>
  <si>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</si>
  <si>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</si>
  <si>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</si>
  <si>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</si>
  <si>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</si>
  <si>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</si>
  <si>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</si>
  <si>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</si>
  <si>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</si>
  <si>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</si>
  <si>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</si>
  <si>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</si>
  <si>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</si>
  <si>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</si>
  <si>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</si>
  <si>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</si>
  <si>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</si>
  <si>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</si>
  <si>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</si>
  <si>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</si>
  <si>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</si>
  <si>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</si>
  <si>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</si>
  <si>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</si>
  <si>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</si>
  <si>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</si>
  <si>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</si>
  <si>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</si>
  <si>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</si>
  <si>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</si>
  <si>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</si>
  <si>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</si>
  <si>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</si>
  <si>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</si>
  <si>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</si>
  <si>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</si>
  <si>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</si>
  <si>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</si>
  <si>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</si>
  <si>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</si>
  <si>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</si>
  <si>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</si>
  <si>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</si>
  <si>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</si>
  <si>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</si>
  <si>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</si>
  <si>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</si>
  <si>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</si>
  <si>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</si>
  <si>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</si>
  <si>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</si>
  <si>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</si>
  <si>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</si>
  <si>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</si>
  <si>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</si>
  <si>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</si>
  <si>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</si>
  <si>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</si>
  <si>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</si>
  <si>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</si>
  <si>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</si>
  <si>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</si>
  <si>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</si>
  <si>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</si>
  <si>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</si>
  <si>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</si>
  <si>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</si>
  <si>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</si>
  <si>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</si>
  <si>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</si>
  <si>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</si>
  <si>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</si>
  <si>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</si>
  <si>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</si>
  <si>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</si>
  <si>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</si>
  <si>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</si>
  <si>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</si>
  <si>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</si>
  <si>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</si>
  <si>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</si>
  <si>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</si>
  <si>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</si>
  <si>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</si>
  <si>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</si>
  <si>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</si>
  <si>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</si>
  <si>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</si>
  <si>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</si>
  <si>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</si>
  <si>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</si>
  <si>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</si>
  <si>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</si>
  <si>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</si>
  <si>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</si>
  <si>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</si>
  <si>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</si>
  <si>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</si>
  <si>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</si>
  <si>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</si>
  <si>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</si>
  <si>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</si>
  <si>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</si>
  <si>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</si>
  <si>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</si>
  <si>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</si>
  <si>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</si>
  <si>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</si>
  <si>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</si>
  <si>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</si>
  <si>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</si>
  <si>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</si>
  <si>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</si>
  <si>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</si>
  <si>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</si>
  <si>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</si>
  <si>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</si>
  <si>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</si>
  <si>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</si>
  <si>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</si>
  <si>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</si>
  <si>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</si>
  <si>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</si>
  <si>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</si>
  <si>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</si>
  <si>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</si>
  <si>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</si>
  <si>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</si>
  <si>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</si>
  <si>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</si>
  <si>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</si>
  <si>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</si>
  <si>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</si>
  <si>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</si>
  <si>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</si>
  <si>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</si>
  <si>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</si>
  <si>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</si>
  <si>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</si>
  <si>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</si>
  <si>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</si>
  <si>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</si>
  <si>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</si>
  <si>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</si>
  <si>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</si>
  <si>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</si>
  <si>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</si>
  <si>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</si>
  <si>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</si>
  <si>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</si>
  <si>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</si>
  <si>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</si>
  <si>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</si>
  <si>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</si>
  <si>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</si>
  <si>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</si>
  <si>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</si>
  <si>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</si>
  <si>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</si>
  <si>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</si>
  <si>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</si>
  <si>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</si>
  <si>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</si>
  <si>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</si>
  <si>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</si>
  <si>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</si>
  <si>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</si>
  <si>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</si>
  <si>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</si>
  <si>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</si>
  <si>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</si>
  <si>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</si>
  <si>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</si>
  <si>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</si>
  <si>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</si>
  <si>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</si>
  <si>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</si>
  <si>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</si>
  <si>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</si>
  <si>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</si>
  <si>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</si>
  <si>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</si>
  <si>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</si>
  <si>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</si>
  <si>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</si>
  <si>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</si>
  <si>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</si>
  <si>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</si>
  <si>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</si>
  <si>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</si>
  <si>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</si>
  <si>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</si>
  <si>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</si>
  <si>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</si>
  <si>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</si>
  <si>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</si>
  <si>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</si>
  <si>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</si>
  <si>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</si>
  <si>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</si>
  <si>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</si>
  <si>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</si>
  <si>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</si>
  <si>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</si>
  <si>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</si>
  <si>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</si>
  <si>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</si>
  <si>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</si>
  <si>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</si>
  <si>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</si>
  <si>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</si>
  <si>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</si>
  <si>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</si>
  <si>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</si>
  <si>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</si>
  <si>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</si>
  <si>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</si>
  <si>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</si>
  <si>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</si>
  <si>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</si>
  <si>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</si>
  <si>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</si>
  <si>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</si>
  <si>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</si>
  <si>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</si>
  <si>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</si>
  <si>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</si>
  <si>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</si>
  <si>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</si>
  <si>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</si>
  <si>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</si>
  <si>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</si>
  <si>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</si>
  <si>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</si>
  <si>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</si>
  <si>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</si>
  <si>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</si>
  <si>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</si>
  <si>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</si>
  <si>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</si>
  <si>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</si>
  <si>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</si>
  <si>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</si>
  <si>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</si>
  <si>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</si>
  <si>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</si>
  <si>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</si>
  <si>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</si>
  <si>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</si>
  <si>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</si>
  <si>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</si>
  <si>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</si>
  <si>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</si>
  <si>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</si>
  <si>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</si>
  <si>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</si>
  <si>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</si>
  <si>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</si>
  <si>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</si>
  <si>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</si>
  <si>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</si>
  <si>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</si>
  <si>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</si>
  <si>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</si>
  <si>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</si>
  <si>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</si>
  <si>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</si>
  <si>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</si>
  <si>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</si>
  <si>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</si>
  <si>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</si>
  <si>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</si>
  <si>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</si>
  <si>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</si>
  <si>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</si>
  <si>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</si>
  <si>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</si>
  <si>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</si>
  <si>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</si>
  <si>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</si>
  <si>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</si>
  <si>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</si>
  <si>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</si>
  <si>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</si>
  <si>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</si>
  <si>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</si>
  <si>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</si>
  <si>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</si>
  <si>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</si>
  <si>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</si>
  <si>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</si>
  <si>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</si>
  <si>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</si>
  <si>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</si>
  <si>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</si>
  <si>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</si>
  <si>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</si>
  <si>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</si>
  <si>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</si>
  <si>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</si>
  <si>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</si>
  <si>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</si>
  <si>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</si>
  <si>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</si>
  <si>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</si>
  <si>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</si>
  <si>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</si>
  <si>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</si>
  <si>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</si>
  <si>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</si>
  <si>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</si>
  <si>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</si>
  <si>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</si>
  <si>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</si>
  <si>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</si>
  <si>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</si>
  <si>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</si>
  <si>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</si>
  <si>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</si>
  <si>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</si>
  <si>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</si>
  <si>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</si>
  <si>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</si>
  <si>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</si>
  <si>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</si>
  <si>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</si>
  <si>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</si>
  <si>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</si>
  <si>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</si>
  <si>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</si>
  <si>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</si>
  <si>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</si>
  <si>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</si>
  <si>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</si>
  <si>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</si>
  <si>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</si>
  <si>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</si>
  <si>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</si>
  <si>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</si>
  <si>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</si>
  <si>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</si>
  <si>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</si>
  <si>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</si>
  <si>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</si>
  <si>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</si>
  <si>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</si>
  <si>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</si>
  <si>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</si>
  <si>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</si>
  <si>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</si>
  <si>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</si>
  <si>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</si>
  <si>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</si>
  <si>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</si>
  <si>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</si>
  <si>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</si>
  <si>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</si>
  <si>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</si>
  <si>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</si>
  <si>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</si>
  <si>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</si>
  <si>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</si>
  <si>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</si>
  <si>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</si>
  <si>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</si>
  <si>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</si>
  <si>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</si>
  <si>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</si>
  <si>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</si>
  <si>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</si>
  <si>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</si>
  <si>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</si>
  <si>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</si>
  <si>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</si>
  <si>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</si>
  <si>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</si>
  <si>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</si>
  <si>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</si>
  <si>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</si>
  <si>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</si>
  <si>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</si>
  <si>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</si>
  <si>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</si>
  <si>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</si>
  <si>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</si>
  <si>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</si>
  <si>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</si>
  <si>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</si>
  <si>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</si>
  <si>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</si>
  <si>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</si>
  <si>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</si>
  <si>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</si>
  <si>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</si>
  <si>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</si>
  <si>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</si>
  <si>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</si>
  <si>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</si>
  <si>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</si>
  <si>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</si>
  <si>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</si>
  <si>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</si>
  <si>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</si>
  <si>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</si>
  <si>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</si>
  <si>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</si>
  <si>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</si>
  <si>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</si>
  <si>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</si>
  <si>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</si>
  <si>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</si>
  <si>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</si>
  <si>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</si>
  <si>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</si>
  <si>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</si>
  <si>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</si>
  <si>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</si>
  <si>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</si>
  <si>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</si>
  <si>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</si>
  <si>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</si>
  <si>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</si>
  <si>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</si>
  <si>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</si>
  <si>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</si>
  <si>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</si>
  <si>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</si>
  <si>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</si>
  <si>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</si>
  <si>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</si>
  <si>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</si>
  <si>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</si>
  <si>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</si>
  <si>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</si>
  <si>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</si>
  <si>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</si>
  <si>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</si>
  <si>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</si>
  <si>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</si>
  <si>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</si>
  <si>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</si>
  <si>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</si>
  <si>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</si>
  <si>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</si>
  <si>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</si>
  <si>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</si>
  <si>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</si>
  <si>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</si>
  <si>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</si>
  <si>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</si>
  <si>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</si>
  <si>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</si>
  <si>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</si>
  <si>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</si>
  <si>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</si>
  <si>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</si>
  <si>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</si>
  <si>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</si>
  <si>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</si>
  <si>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</si>
  <si>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</si>
  <si>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</si>
  <si>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</si>
  <si>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</si>
  <si>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</si>
  <si>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</si>
  <si>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</si>
  <si>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</si>
  <si>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</si>
  <si>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</si>
  <si>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</si>
  <si>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</si>
  <si>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</si>
  <si>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</si>
  <si>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</si>
  <si>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</si>
  <si>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</si>
  <si>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</si>
  <si>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</si>
  <si>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</si>
  <si>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</si>
  <si>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</si>
  <si>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</si>
  <si>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</si>
  <si>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</si>
  <si>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</si>
  <si>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</si>
  <si>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</si>
  <si>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</si>
  <si>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</si>
  <si>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</si>
  <si>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</si>
  <si>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</si>
  <si>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</si>
  <si>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</si>
  <si>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</si>
  <si>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</si>
  <si>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</si>
  <si>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</si>
  <si>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</si>
  <si>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</si>
  <si>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</si>
  <si>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</si>
  <si>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</si>
  <si>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</si>
  <si>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</si>
  <si>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</si>
  <si>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</si>
  <si>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</si>
  <si>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</si>
  <si>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</si>
  <si>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</si>
  <si>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</si>
  <si>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</si>
  <si>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</si>
  <si>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</si>
  <si>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</si>
  <si>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</si>
  <si>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</si>
  <si>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</si>
  <si>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</si>
  <si>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</si>
  <si>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</si>
  <si>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</si>
  <si>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</si>
  <si>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</si>
  <si>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</si>
  <si>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</si>
  <si>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</si>
  <si>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</si>
  <si>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</si>
  <si>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</si>
  <si>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</si>
  <si>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</si>
  <si>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</si>
  <si>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</si>
  <si>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</si>
  <si>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</si>
  <si>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</si>
  <si>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</si>
  <si>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</si>
  <si>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</si>
  <si>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</si>
  <si>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</si>
  <si>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</si>
  <si>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</si>
  <si>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</si>
  <si>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</si>
  <si>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</si>
  <si>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</si>
  <si>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</si>
  <si>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</si>
  <si>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</si>
  <si>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</si>
  <si>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</si>
  <si>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</si>
  <si>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</si>
  <si>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</si>
  <si>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</si>
  <si>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</si>
  <si>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</si>
  <si>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</si>
  <si>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</si>
  <si>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</si>
  <si>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</si>
  <si>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</si>
  <si>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</si>
  <si>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</si>
  <si>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</si>
  <si>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</si>
  <si>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</si>
  <si>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</si>
  <si>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</si>
  <si>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</si>
  <si>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</si>
  <si>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</si>
  <si>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</si>
  <si>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</si>
  <si>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</si>
  <si>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</si>
  <si>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</si>
  <si>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</si>
  <si>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</si>
  <si>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</si>
  <si>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</si>
  <si>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</si>
  <si>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</si>
  <si>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</si>
  <si>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</si>
  <si>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</si>
  <si>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</si>
  <si>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</si>
  <si>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</si>
  <si>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</si>
  <si>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</si>
  <si>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</si>
  <si>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</si>
  <si>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</si>
  <si>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</si>
  <si>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</si>
  <si>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</si>
  <si>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</si>
  <si>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</si>
  <si>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</si>
  <si>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</si>
  <si>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</si>
  <si>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</si>
  <si>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</si>
  <si>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</si>
  <si>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</si>
  <si>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</si>
  <si>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</si>
  <si>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</si>
  <si>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</si>
  <si>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</si>
  <si>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</si>
  <si>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</si>
  <si>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</si>
  <si>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</si>
  <si>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</si>
  <si>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</si>
  <si>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</si>
  <si>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</si>
  <si>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</si>
  <si>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</si>
  <si>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</si>
  <si>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</si>
  <si>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</si>
  <si>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</si>
  <si>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</si>
  <si>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</si>
  <si>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</si>
  <si>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</si>
  <si>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</si>
  <si>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</si>
  <si>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</si>
  <si>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</si>
  <si>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</si>
  <si>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</si>
  <si>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</si>
  <si>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</si>
  <si>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</si>
  <si>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</si>
  <si>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</si>
  <si>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</si>
  <si>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</si>
  <si>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</si>
  <si>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</si>
  <si>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</si>
  <si>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</si>
  <si>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</si>
  <si>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</si>
  <si>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</si>
  <si>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</si>
  <si>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</si>
  <si>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</si>
  <si>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</si>
  <si>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</si>
  <si>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</si>
  <si>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</si>
  <si>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</si>
  <si>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</si>
  <si>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</si>
  <si>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</si>
  <si>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</si>
  <si>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</si>
  <si>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</si>
  <si>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</si>
  <si>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</si>
  <si>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</si>
  <si>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</si>
  <si>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</si>
  <si>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</si>
  <si>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</si>
  <si>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</si>
  <si>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</si>
  <si>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</si>
  <si>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</si>
  <si>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</si>
  <si>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</si>
  <si>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</si>
  <si>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</si>
  <si>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</si>
  <si>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</si>
  <si>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</si>
  <si>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</si>
  <si>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</si>
  <si>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</si>
  <si>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</si>
  <si>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</si>
  <si>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</si>
  <si>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</si>
  <si>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</si>
  <si>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</si>
  <si>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</si>
  <si>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</si>
  <si>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</si>
  <si>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</si>
  <si>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</si>
  <si>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</si>
  <si>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</si>
  <si>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</si>
  <si>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</si>
  <si>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</si>
  <si>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</si>
  <si>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</si>
  <si>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</si>
  <si>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</si>
  <si>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</si>
  <si>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</si>
  <si>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</si>
  <si>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</si>
  <si>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</si>
  <si>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</si>
  <si>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</si>
  <si>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</si>
  <si>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</si>
  <si>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</si>
  <si>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</si>
  <si>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</si>
  <si>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</si>
  <si>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</si>
  <si>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</si>
  <si>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</si>
  <si>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</si>
  <si>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</si>
  <si>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</si>
  <si>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</si>
  <si>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</si>
  <si>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</si>
  <si>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</si>
  <si>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</si>
  <si>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</si>
  <si>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</si>
  <si>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</si>
  <si>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</si>
  <si>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</si>
  <si>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</si>
  <si>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</si>
  <si>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</si>
  <si>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</si>
  <si>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</si>
  <si>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</si>
  <si>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</si>
  <si>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</si>
  <si>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</si>
  <si>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</si>
  <si>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</si>
  <si>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</si>
  <si>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</si>
  <si>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</si>
  <si>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</si>
  <si>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</si>
  <si>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</si>
  <si>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</si>
  <si>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</si>
  <si>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</si>
  <si>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</si>
  <si>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</si>
  <si>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</si>
  <si>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</si>
  <si>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</si>
  <si>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</si>
  <si>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</si>
  <si>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</si>
  <si>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</si>
  <si>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</si>
  <si>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</si>
  <si>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</si>
  <si>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</si>
  <si>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</si>
  <si>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</si>
  <si>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</si>
  <si>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</si>
  <si>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</si>
  <si>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</si>
  <si>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</si>
  <si>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</si>
  <si>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</si>
  <si>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</si>
  <si>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</si>
  <si>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</si>
  <si>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</si>
  <si>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</si>
  <si>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</si>
  <si>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</si>
  <si>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</si>
  <si>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</si>
  <si>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</si>
  <si>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</si>
  <si>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</si>
  <si>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</si>
  <si>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</si>
  <si>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</si>
  <si>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</si>
  <si>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</si>
  <si>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</si>
  <si>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</si>
  <si>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</si>
  <si>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</si>
  <si>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</si>
  <si>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</si>
  <si>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</si>
  <si>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</si>
  <si>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</si>
  <si>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</si>
  <si>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</si>
  <si>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</si>
  <si>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</si>
  <si>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</si>
  <si>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</si>
  <si>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</si>
  <si>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</si>
  <si>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</si>
  <si>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</si>
  <si>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</si>
  <si>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</si>
  <si>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</si>
  <si>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</si>
  <si>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</si>
  <si>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</si>
  <si>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</si>
  <si>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</si>
  <si>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</si>
  <si>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</si>
  <si>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</si>
  <si>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</si>
  <si>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</si>
  <si>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</si>
  <si>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</si>
  <si>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</si>
  <si>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</si>
  <si>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</si>
  <si>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</si>
  <si>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</si>
  <si>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</si>
  <si>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</si>
  <si>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</si>
  <si>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</si>
  <si>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</si>
  <si>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</si>
  <si>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</si>
  <si>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</si>
  <si>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</si>
  <si>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</si>
  <si>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</si>
  <si>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</si>
  <si>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</si>
  <si>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</si>
  <si>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</si>
  <si>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</si>
  <si>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</si>
  <si>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</si>
  <si>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</si>
  <si>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</si>
  <si>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</si>
  <si>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</si>
  <si>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</si>
  <si>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</si>
  <si>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</si>
  <si>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</si>
  <si>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</si>
  <si>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</si>
  <si>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</si>
  <si>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</si>
  <si>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</si>
  <si>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</si>
  <si>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</si>
  <si>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</si>
  <si>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</si>
  <si>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</si>
  <si>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</si>
  <si>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</si>
  <si>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</si>
  <si>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</si>
  <si>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</si>
  <si>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</si>
  <si>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</si>
  <si>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</si>
  <si>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</si>
  <si>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</si>
  <si>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</si>
  <si>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</si>
  <si>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</si>
  <si>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</si>
  <si>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</si>
  <si>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</si>
  <si>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</si>
  <si>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</si>
  <si>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</si>
  <si>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</si>
  <si>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</si>
  <si>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</si>
  <si>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</si>
  <si>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</si>
  <si>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</si>
  <si>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</si>
  <si>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</si>
  <si>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</si>
  <si>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</si>
  <si>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</si>
  <si>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</si>
  <si>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</si>
  <si>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</si>
  <si>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</si>
  <si>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</si>
  <si>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</si>
  <si>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</si>
  <si>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</si>
  <si>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</si>
  <si>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</si>
  <si>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</si>
  <si>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</si>
  <si>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</si>
  <si>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</si>
  <si>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</si>
  <si>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</si>
  <si>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</si>
  <si>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</si>
  <si>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</si>
  <si>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</si>
  <si>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</si>
  <si>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</si>
  <si>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</si>
  <si>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</si>
  <si>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</si>
  <si>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</si>
  <si>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</si>
  <si>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</si>
  <si>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</si>
  <si>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</si>
  <si>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</si>
  <si>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</si>
  <si>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</si>
  <si>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</si>
  <si>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</si>
  <si>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</si>
  <si>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</si>
  <si>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</si>
  <si>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</si>
  <si>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</si>
  <si>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</si>
  <si>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</si>
  <si>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</si>
  <si>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</si>
  <si>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</si>
  <si>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</si>
  <si>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</si>
  <si>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</si>
  <si>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</si>
  <si>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</si>
  <si>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</si>
  <si>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</si>
  <si>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</si>
  <si>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</si>
  <si>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</si>
  <si>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</si>
  <si>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</si>
  <si>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</si>
  <si>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</si>
  <si>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</si>
  <si>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</si>
  <si>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</si>
  <si>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</si>
  <si>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</si>
  <si>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</si>
  <si>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</si>
  <si>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</si>
  <si>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</si>
  <si>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</si>
  <si>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</si>
  <si>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</si>
  <si>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</si>
  <si>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</si>
  <si>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</si>
  <si>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</si>
  <si>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</si>
  <si>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</si>
  <si>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</si>
  <si>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</si>
  <si>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</si>
  <si>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</si>
  <si>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</si>
  <si>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</si>
  <si>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</si>
  <si>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</si>
  <si>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</si>
  <si>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</si>
  <si>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</si>
  <si>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</si>
  <si>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</si>
  <si>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</si>
  <si>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</si>
  <si>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</si>
  <si>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</si>
  <si>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</si>
  <si>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</si>
  <si>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</si>
  <si>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</si>
  <si>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</si>
  <si>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</si>
  <si>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</si>
  <si>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</si>
  <si>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</si>
  <si>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</si>
  <si>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</si>
  <si>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</si>
  <si>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</si>
  <si>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</si>
  <si>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</si>
  <si>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</si>
  <si>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</si>
  <si>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</si>
  <si>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</si>
  <si>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</si>
  <si>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</si>
  <si>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</si>
  <si>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</si>
  <si>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</si>
  <si>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</si>
  <si>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</si>
  <si>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</si>
  <si>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</si>
  <si>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</si>
  <si>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</si>
  <si>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</si>
  <si>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</si>
  <si>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</si>
  <si>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</si>
  <si>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</si>
  <si>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</si>
  <si>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</si>
  <si>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</si>
  <si>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</si>
  <si>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</si>
  <si>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</si>
  <si>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</si>
  <si>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</si>
  <si>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</si>
  <si>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</si>
  <si>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</si>
  <si>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</si>
  <si>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</si>
  <si>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</si>
  <si>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</si>
  <si>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</si>
  <si>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</si>
  <si>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</si>
  <si>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</si>
  <si>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</si>
  <si>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</si>
  <si>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</si>
  <si>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</si>
  <si>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</si>
  <si>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</si>
  <si>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</si>
  <si>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</si>
  <si>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</si>
  <si>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</si>
  <si>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</si>
  <si>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</si>
  <si>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</si>
  <si>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</si>
  <si>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</si>
  <si>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</si>
  <si>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</si>
  <si>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</si>
  <si>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</si>
  <si>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</si>
  <si>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</si>
  <si>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</si>
  <si>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</si>
  <si>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</si>
  <si>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</si>
  <si>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</si>
  <si>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</si>
  <si>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</si>
  <si>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</si>
  <si>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</si>
  <si>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</si>
  <si>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</si>
  <si>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</si>
  <si>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</si>
  <si>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</si>
  <si>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</si>
  <si>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</si>
  <si>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</si>
  <si>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</si>
  <si>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</si>
  <si>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</si>
  <si>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</si>
  <si>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</si>
  <si>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</si>
  <si>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</si>
  <si>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</si>
  <si>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</si>
  <si>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</si>
  <si>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</si>
  <si>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</si>
  <si>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</si>
  <si>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</si>
  <si>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</si>
  <si>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</si>
  <si>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</si>
  <si>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</si>
  <si>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</si>
  <si>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</si>
  <si>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</si>
  <si>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</si>
  <si>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</si>
  <si>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</si>
  <si>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</si>
  <si>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</si>
  <si>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</si>
  <si>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</si>
  <si>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</si>
  <si>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</si>
  <si>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</si>
  <si>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</si>
  <si>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</si>
  <si>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</si>
  <si>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</si>
  <si>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</si>
  <si>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</si>
  <si>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</si>
  <si>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</si>
  <si>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</si>
  <si>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</si>
  <si>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</si>
  <si>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</si>
  <si>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</si>
  <si>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</si>
  <si>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</si>
  <si>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</si>
  <si>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</si>
  <si>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</si>
  <si>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</si>
  <si>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</si>
  <si>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</si>
  <si>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</si>
  <si>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</si>
  <si>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</si>
  <si>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</si>
  <si>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</si>
  <si>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</si>
  <si>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</si>
  <si>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</si>
  <si>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</si>
  <si>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</si>
  <si>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</si>
  <si>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</si>
  <si>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</si>
  <si>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</si>
  <si>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</si>
  <si>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</si>
  <si>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</si>
  <si>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</si>
  <si>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</si>
  <si>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</si>
  <si>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</si>
  <si>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</si>
  <si>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</si>
  <si>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</si>
  <si>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</si>
  <si>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</si>
  <si>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</si>
  <si>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</si>
  <si>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</si>
  <si>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</si>
  <si>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</si>
  <si>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</si>
  <si>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</si>
  <si>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</si>
  <si>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</si>
  <si>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</si>
  <si>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</si>
  <si>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</si>
  <si>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</si>
  <si>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</si>
  <si>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</si>
  <si>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</si>
  <si>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</si>
  <si>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</si>
  <si>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</si>
  <si>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</si>
  <si>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</si>
  <si>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</si>
  <si>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</si>
  <si>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</si>
  <si>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</si>
  <si>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</si>
  <si>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</si>
  <si>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</si>
  <si>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</si>
  <si>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</si>
  <si>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</si>
  <si>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</si>
  <si>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</si>
  <si>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</si>
  <si>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</si>
  <si>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</si>
  <si>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</si>
  <si>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</si>
  <si>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</si>
  <si>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</si>
  <si>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</si>
  <si>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</si>
  <si>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</si>
  <si>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</si>
  <si>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</si>
  <si>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</si>
  <si>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</si>
  <si>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</si>
  <si>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</si>
  <si>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</si>
  <si>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</si>
  <si>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</si>
  <si>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</si>
  <si>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</si>
  <si>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</si>
  <si>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</si>
  <si>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</si>
  <si>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</si>
  <si>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</si>
  <si>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</si>
  <si>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</si>
  <si>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</si>
  <si>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</si>
  <si>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</si>
  <si>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</si>
  <si>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</si>
  <si>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</si>
  <si>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</si>
  <si>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</si>
  <si>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</si>
  <si>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</si>
  <si>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</si>
  <si>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</si>
  <si>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</si>
  <si>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</si>
  <si>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</si>
  <si>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</si>
  <si>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</si>
  <si>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</si>
  <si>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</si>
  <si>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</si>
  <si>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</si>
  <si>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</si>
  <si>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</si>
  <si>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</si>
  <si>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</si>
  <si>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</si>
  <si>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</si>
  <si>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</si>
  <si>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</si>
  <si>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</si>
  <si>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</si>
  <si>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</si>
  <si>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</si>
  <si>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</si>
  <si>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</si>
  <si>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</si>
  <si>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</si>
  <si>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</si>
  <si>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</si>
  <si>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</si>
  <si>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</si>
  <si>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</si>
  <si>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</si>
  <si>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</si>
  <si>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</si>
  <si>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</si>
  <si>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</si>
  <si>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</si>
  <si>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</si>
  <si>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</si>
  <si>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</si>
  <si>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</si>
  <si>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</si>
  <si>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</si>
  <si>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</si>
  <si>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</si>
  <si>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</si>
  <si>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</si>
  <si>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</si>
  <si>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</si>
  <si>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</si>
  <si>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</si>
  <si>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</si>
  <si>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</si>
  <si>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</si>
  <si>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</si>
  <si>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</si>
  <si>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</si>
  <si>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</si>
  <si>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</si>
  <si>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</si>
  <si>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</si>
  <si>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</si>
  <si>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</si>
  <si>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</si>
  <si>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</si>
  <si>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</si>
  <si>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</si>
  <si>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</si>
  <si>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</si>
  <si>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</si>
  <si>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</si>
  <si>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</si>
  <si>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</si>
  <si>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</si>
  <si>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</si>
  <si>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</si>
  <si>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</si>
  <si>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</si>
  <si>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</si>
  <si>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</si>
  <si>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</si>
  <si>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</si>
  <si>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</si>
  <si>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</si>
  <si>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</si>
  <si>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</si>
  <si>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</si>
  <si>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</si>
  <si>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</si>
  <si>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</si>
  <si>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</si>
  <si>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</si>
  <si>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</si>
  <si>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</si>
  <si>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</si>
  <si>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</si>
  <si>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</si>
  <si>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</si>
  <si>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</si>
  <si>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</si>
  <si>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</si>
  <si>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</si>
  <si>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</si>
  <si>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</si>
  <si>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</si>
  <si>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</si>
  <si>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</si>
  <si>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</si>
  <si>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</si>
  <si>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</si>
  <si>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</si>
  <si>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</si>
  <si>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</si>
  <si>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</si>
  <si>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</si>
  <si>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</si>
  <si>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</si>
  <si>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</si>
  <si>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</si>
  <si>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</si>
  <si>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</si>
  <si>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</si>
  <si>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</si>
  <si>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</si>
  <si>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</si>
  <si>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</si>
  <si>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</si>
  <si>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</si>
  <si>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</si>
  <si>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</si>
  <si>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</si>
  <si>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</si>
  <si>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</si>
  <si>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</si>
  <si>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</si>
  <si>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</si>
  <si>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</si>
  <si>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</si>
  <si>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</si>
  <si>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</si>
  <si>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</si>
  <si>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</si>
  <si>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</si>
  <si>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</si>
  <si>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</si>
  <si>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</si>
  <si>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</si>
  <si>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</si>
  <si>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</si>
  <si>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</si>
  <si>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</si>
  <si>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</si>
  <si>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</si>
  <si>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</si>
  <si>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</si>
  <si>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</si>
  <si>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</si>
  <si>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</si>
  <si>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</si>
  <si>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</si>
  <si>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</si>
  <si>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</si>
  <si>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</si>
  <si>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</si>
  <si>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</si>
  <si>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</si>
  <si>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</si>
  <si>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</si>
  <si>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</si>
  <si>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</si>
  <si>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</si>
  <si>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</si>
  <si>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</si>
  <si>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</si>
  <si>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</si>
  <si>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</si>
  <si>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</si>
  <si>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</si>
  <si>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</si>
  <si>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</si>
  <si>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</si>
  <si>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</si>
  <si>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</si>
  <si>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</si>
  <si>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</si>
  <si>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</si>
  <si>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</si>
  <si>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</si>
  <si>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</si>
  <si>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</si>
  <si>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</si>
  <si>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</si>
  <si>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</si>
  <si>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</si>
  <si>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</si>
  <si>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</si>
  <si>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</si>
  <si>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</si>
  <si>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</si>
  <si>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</si>
  <si>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</si>
  <si>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</si>
  <si>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</si>
  <si>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</si>
  <si>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</si>
  <si>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</si>
  <si>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</si>
  <si>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</si>
  <si>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</si>
  <si>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</si>
  <si>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</si>
  <si>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</si>
  <si>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</si>
  <si>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</si>
  <si>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</si>
  <si>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</si>
  <si>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</si>
  <si>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</si>
  <si>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</si>
  <si>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</si>
  <si>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</si>
  <si>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</si>
  <si>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</si>
  <si>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</si>
  <si>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</si>
  <si>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</si>
  <si>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</si>
  <si>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</si>
  <si>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</si>
  <si>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</si>
  <si>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</si>
  <si>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</si>
  <si>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</si>
  <si>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</si>
  <si>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</si>
  <si>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</si>
  <si>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</si>
  <si>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</si>
  <si>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</si>
  <si>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</si>
  <si>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</si>
  <si>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</si>
  <si>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</si>
  <si>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</si>
  <si>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</si>
  <si>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</si>
  <si>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</si>
  <si>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</si>
  <si>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</si>
  <si>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</si>
  <si>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</si>
  <si>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</si>
  <si>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</si>
  <si>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</si>
  <si>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</si>
  <si>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</si>
  <si>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</si>
  <si>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</si>
  <si>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</si>
  <si>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</si>
  <si>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</si>
  <si>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</si>
  <si>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</si>
  <si>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</si>
  <si>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</si>
  <si>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</si>
  <si>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</si>
  <si>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</si>
  <si>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</si>
  <si>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</si>
  <si>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</si>
  <si>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</si>
  <si>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</si>
  <si>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</si>
  <si>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</si>
  <si>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</si>
  <si>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</si>
  <si>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</si>
  <si>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</si>
  <si>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</si>
  <si>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</si>
  <si>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</si>
  <si>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</si>
  <si>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</si>
  <si>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</si>
  <si>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</si>
  <si>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</si>
  <si>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</si>
  <si>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</si>
  <si>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</si>
  <si>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</si>
  <si>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</si>
  <si>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</si>
  <si>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</si>
  <si>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</si>
  <si>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</si>
  <si>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</si>
  <si>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</si>
  <si>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</si>
  <si>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</si>
  <si>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</si>
  <si>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</si>
  <si>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</si>
  <si>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</si>
  <si>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</si>
  <si>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</si>
  <si>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</si>
  <si>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</si>
  <si>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</si>
  <si>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</si>
  <si>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</si>
  <si>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</si>
  <si>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</si>
  <si>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</si>
  <si>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</si>
  <si>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</si>
  <si>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</si>
  <si>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</si>
  <si>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</si>
  <si>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</si>
  <si>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</si>
  <si>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</si>
  <si>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</si>
  <si>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</si>
  <si>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</si>
  <si>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</si>
  <si>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</si>
  <si>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</si>
  <si>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</si>
  <si>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</si>
  <si>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</si>
  <si>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</si>
  <si>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</si>
  <si>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</si>
  <si>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</si>
  <si>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</si>
  <si>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</si>
  <si>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</si>
  <si>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</si>
  <si>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</si>
  <si>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</si>
  <si>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</si>
  <si>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</si>
  <si>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</si>
  <si>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</si>
  <si>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</si>
  <si>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</si>
  <si>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</si>
  <si>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</si>
  <si>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</si>
  <si>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</si>
  <si>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</si>
  <si>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</si>
  <si>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</si>
  <si>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</si>
  <si>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</si>
  <si>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</si>
  <si>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</si>
  <si>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</si>
  <si>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</si>
  <si>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</si>
  <si>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</si>
  <si>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</si>
  <si>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</si>
  <si>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</si>
  <si>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</si>
  <si>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</si>
  <si>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</si>
  <si>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</si>
  <si>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</si>
  <si>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</si>
  <si>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</si>
  <si>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</si>
  <si>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房地产市场价值</t>
  </si>
  <si>
    <t>北京市</t>
  </si>
  <si>
    <t>企业</t>
  </si>
  <si>
    <t>是</t>
  </si>
  <si>
    <t>地上</t>
  </si>
  <si>
    <t>办公</t>
    <phoneticPr fontId="7" type="noConversion"/>
  </si>
  <si>
    <t>成新度</t>
  </si>
  <si>
    <t>收益法</t>
  </si>
  <si>
    <t>宗地容积率</t>
  </si>
  <si>
    <t>不临65条商业街</t>
  </si>
  <si>
    <t>通路</t>
  </si>
  <si>
    <t>通电</t>
  </si>
  <si>
    <t>通讯</t>
  </si>
  <si>
    <t>通上水</t>
  </si>
  <si>
    <t>通下水</t>
  </si>
  <si>
    <t>通热</t>
  </si>
  <si>
    <t>燃气</t>
  </si>
  <si>
    <t>平整</t>
  </si>
  <si>
    <t>中心城区以外</t>
  </si>
  <si>
    <t>一般</t>
  </si>
  <si>
    <t>较好</t>
  </si>
  <si>
    <t>好</t>
  </si>
  <si>
    <t>未包含在土地购买价格中</t>
  </si>
  <si>
    <t>全部缴纳</t>
  </si>
  <si>
    <t>已包含在土地取得成本中</t>
  </si>
  <si>
    <t>押一</t>
  </si>
  <si>
    <t>砖混</t>
  </si>
  <si>
    <t>非生产用房</t>
  </si>
  <si>
    <t>否</t>
  </si>
  <si>
    <t>成本法</t>
  </si>
  <si>
    <t>总价</t>
  </si>
  <si>
    <t>成本比率</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</si>
  <si>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</si>
  <si>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</si>
  <si>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</si>
  <si>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</si>
  <si>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</si>
  <si>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</si>
  <si>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</si>
  <si>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</si>
  <si>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</si>
  <si>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</si>
  <si>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</si>
  <si>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</si>
  <si>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</si>
  <si>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</si>
  <si>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</si>
  <si>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</si>
  <si>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</si>
  <si>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北京城市副中心0403街区FZX-0403-0146、0148地块F3*其他类多功能用地</t>
  </si>
  <si>
    <t>商业/办公用地</t>
  </si>
  <si>
    <t>挂牌</t>
  </si>
  <si>
    <t>F3*其他类多功能用地</t>
  </si>
  <si>
    <t>2023-07-07</t>
  </si>
  <si>
    <t>北京通州投资发展有限公司</t>
  </si>
  <si>
    <t>5星</t>
  </si>
  <si>
    <t>北京市朝阳区太阳宫乡0301-613地块B4综合性商业金融服务业用地</t>
  </si>
  <si>
    <t>B4综合性商业金融服务业用地</t>
  </si>
  <si>
    <t>北京懋源鸿竺房地产开发有限公司</t>
  </si>
  <si>
    <t>北京市丰台区丽泽金融商务区FT00-0612-0016等地块F3其他类多功能用地、S32公交场站设施用地</t>
  </si>
  <si>
    <t>F3其他类多功能用地、S32公交场站设施用地</t>
  </si>
  <si>
    <t>2023-06-13</t>
  </si>
  <si>
    <t>北京金唐丽行科技服务有限责任公司、北京金唐建投科技服务中心(有限合伙)、北京丽控建投科技服务中心(有限合伙)</t>
  </si>
  <si>
    <t>北京市房山区窦店镇高端制造业基地06街区01地块FS00-DD06-0018、0019、0023、0024地块F3其他类多功能用地</t>
  </si>
  <si>
    <t>fs00-dd06-0018、0019容积率1.6;0023、0024容积率2.5</t>
  </si>
  <si>
    <t>F3其他类多功能用地</t>
  </si>
  <si>
    <t>2023-06-12</t>
  </si>
  <si>
    <t>北京京东方医院有限公司</t>
  </si>
  <si>
    <t>2星</t>
  </si>
  <si>
    <t>北京市通州区永顺镇0401街区*46号地块(西马庄收储)*B4综合性商业金融服务业用地</t>
  </si>
  <si>
    <t>≤2.8</t>
  </si>
  <si>
    <t>2023-04-14</t>
  </si>
  <si>
    <t>北京易创通景信息科技有限公司</t>
  </si>
  <si>
    <t>大兴区西红门镇集体经营性建设用地2号地2-002A地块</t>
  </si>
  <si>
    <t>F81集体产业用地</t>
  </si>
  <si>
    <t>2023-03-27</t>
  </si>
  <si>
    <t>电建智汇(北京)运营管理有限公司</t>
  </si>
  <si>
    <t>4星</t>
  </si>
  <si>
    <t>北京市朝阳区朝阳站交通枢纽南侧建设用地一体化项目0313-5597、5598、5599地块B4综合性商业金融服务业用地</t>
  </si>
  <si>
    <t>2023-02-23</t>
  </si>
  <si>
    <t>北京顺进商务咨询有限公司</t>
  </si>
  <si>
    <t>北京大兴国际机场临空经济区DX12-0105-6103地块S5加油加气站(加氢站)用地</t>
  </si>
  <si>
    <t>≤0.4</t>
  </si>
  <si>
    <t>S5加油加气站(加氢站)用地</t>
  </si>
  <si>
    <t>2023-01-19</t>
  </si>
  <si>
    <t>空气(北京)氢能科技有限公司</t>
  </si>
  <si>
    <t>北京市平谷区兴谷新消费综合体项目商业地块PG00-0106-0106地块B1商业用地</t>
  </si>
  <si>
    <t>B1商业用地</t>
  </si>
  <si>
    <t>2023-01-10</t>
  </si>
  <si>
    <t>北京市平谷区联扶实业管理有限公司</t>
  </si>
  <si>
    <t>3星</t>
  </si>
  <si>
    <t>北京市石景山区中关村科技园石景山园北Ⅱ区西井地块土地一级开发项目1606-605地块B23研发设计用地</t>
  </si>
  <si>
    <t>B23研发设计用地</t>
  </si>
  <si>
    <t>2023-01-05</t>
  </si>
  <si>
    <t>北京中关村工业互联网产业发展有限公司</t>
  </si>
  <si>
    <t>北京市海淀区西北旺镇永丰产业基地(新)HD00-0403-009地块F3其他类多功能用地</t>
  </si>
  <si>
    <t>2022-10-31</t>
  </si>
  <si>
    <t>北京永丰数字融汇科技有限责任公司</t>
  </si>
  <si>
    <t>北京市海淀区西北旺镇永丰产业基地(新)HD00-0403-001地块F3其他类多功能用地</t>
  </si>
  <si>
    <t>北京永丰数字先行科技有限责任公司</t>
  </si>
  <si>
    <t>北京市丰台区丽泽金融商务区D-01地块B4综合性商业金融服务业用地</t>
  </si>
  <si>
    <t>≤6.33</t>
  </si>
  <si>
    <t>2022-08-25</t>
  </si>
  <si>
    <t>北京福榕置业有限公司</t>
  </si>
  <si>
    <t>北京市通州经济开发区西区南扩区三、五、六期棚户区改造项目FZX-1102-6219地块F3其他类多功能用地</t>
  </si>
  <si>
    <t>≤2.2</t>
  </si>
  <si>
    <t>2022-08-23</t>
  </si>
  <si>
    <t>北京市工程咨询有限公司</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</si>
  <si>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</si>
  <si>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</si>
  <si>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</si>
  <si>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</si>
  <si>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2022-07-19</t>
  </si>
  <si>
    <t>北京首旅城市副中心投资有限公司</t>
  </si>
  <si>
    <t>北京经济技术开发区亦庄新城0303街区C14C-3地块F3其他类多功能用地</t>
  </si>
  <si>
    <t>≤5.0</t>
  </si>
  <si>
    <t>2022-06-23</t>
  </si>
  <si>
    <t>北京京东昆岳科技产业创新发展有限公司</t>
  </si>
  <si>
    <t>北京大兴国际机场临空经济区*DX12-0105-6006、6009*地块F3其他类多功能用地</t>
  </si>
  <si>
    <t>2022-04-29</t>
  </si>
  <si>
    <t>北京新航城建设实业发展有限公司</t>
  </si>
  <si>
    <t>北京大兴国际机场临空经济区(北京部分)0205街区DX09-0103-0205地块B4综合性商业金融服务业用地</t>
  </si>
  <si>
    <t>2022-03-01</t>
  </si>
  <si>
    <t>北京经济技术开发区亦庄新城0902街区JG01-07地块F3其他类多功能用地</t>
  </si>
  <si>
    <t>2022-02-08</t>
  </si>
  <si>
    <t>中国太平洋人寿保险股份有限公司</t>
  </si>
  <si>
    <t>北京市怀柔区怀北、雁栖镇HR00-0211-6031地块〔城市客厅B地块(北侧地块)〕F3其他类多功能用地(怀柔科学城核心区及周边土地一级开发项目)</t>
  </si>
  <si>
    <t>2022-01-19</t>
  </si>
  <si>
    <t>北京怀柔科学城城开三部开发建设有限公司</t>
  </si>
  <si>
    <t>北京市怀柔区北房镇、怀北镇HR00-0211-6027、6028、6029、6030地块(城市客厅C地块)F3其他类多功能用地(怀柔科学城核心区及周边土地一级开发项目)</t>
  </si>
  <si>
    <t>北京怀柔科学城城开四部开发建设有限公司</t>
  </si>
  <si>
    <t>北京城市副中心0101街区FZX-0101-0902地块F3其他类多功能用地</t>
  </si>
  <si>
    <t>2022-01-05</t>
  </si>
  <si>
    <t>华夏银行股份有限公司</t>
  </si>
  <si>
    <t>北京市大兴区黄村镇DX00-0201-6001地块B14旅馆用地</t>
  </si>
  <si>
    <t>B14旅馆用地</t>
  </si>
  <si>
    <t>第三批</t>
  </si>
  <si>
    <t>2021-12-24</t>
  </si>
  <si>
    <t>北京大兴宾馆有限责任公司</t>
  </si>
  <si>
    <t>北京市海淀区西北旺镇永丰产业基地(新)HD00-0403-024地块F3其他类多功能用地</t>
  </si>
  <si>
    <t>2021-10-26</t>
  </si>
  <si>
    <t>北京永丰数字共享科技有限责任公司</t>
  </si>
  <si>
    <t>北京市海淀区西北旺镇永丰产业基地(新)HD00-0403-011地块F3其他类多功能用地</t>
  </si>
  <si>
    <t>北京永丰数字融合科技有限责任公司</t>
  </si>
  <si>
    <t>北京市通州区张家湾车辆段综合利用供地项目FZX-1202-0079-02(上盖区)、FZX-1202-0079-03(落地区)、FZX-1202-0079-04(落地区)地块F3其他类多功能用地</t>
  </si>
  <si>
    <t>北京市基础设施投资有限公司、北京首都旅游集团有限责任公司、北京城建集团有限责任公司</t>
  </si>
  <si>
    <t>北京市石景山区首钢园区东南区土地一级开发项目1612-774地块B4综合性商业金融服务业用地</t>
  </si>
  <si>
    <t>北京首鹰置业有限公司</t>
  </si>
  <si>
    <t>北京市东城区广渠门外大街马圈土地一级开发项目0407-001地块F3其他类多功能用地</t>
  </si>
  <si>
    <t>F3(其他多功能用地)</t>
  </si>
  <si>
    <t>福建隆恩建材贸易有限公司</t>
  </si>
  <si>
    <t>北京市海淀区西北旺镇永丰产业基地(新)HD00-0403-003地块F3其他类多功能用地</t>
  </si>
  <si>
    <t>北京永丰数字先导科技有限责任公司</t>
  </si>
  <si>
    <t>北京城市副中心FZX-0902-0229、0230地块</t>
  </si>
  <si>
    <t>≤3.1</t>
  </si>
  <si>
    <t>B2商务用地</t>
  </si>
  <si>
    <t>2021-05-19</t>
  </si>
  <si>
    <t>北京城市副中心投资建设集团有限公司</t>
  </si>
  <si>
    <t>北京城市副中心12组团西北部</t>
  </si>
  <si>
    <t>≤2.15</t>
  </si>
  <si>
    <t>2021-02-07</t>
  </si>
  <si>
    <t>北京公联鼎成交通枢纽建设发展有限公司</t>
  </si>
  <si>
    <t>北京市怀柔区怀北镇雁柏山庄北侧地块B1商业用地</t>
  </si>
  <si>
    <t>≤0.45</t>
  </si>
  <si>
    <t>2021-01-28</t>
  </si>
  <si>
    <t>北京雁柏山庄有限责任公司</t>
  </si>
  <si>
    <t>1星</t>
  </si>
  <si>
    <t>北京市房山区长阳镇06、07街区棚户区改造土地开发七片区项目FS10-0107-0005地块F3其他类多功能用地</t>
  </si>
  <si>
    <t>≤3</t>
  </si>
  <si>
    <t>2020-12-28</t>
  </si>
  <si>
    <t>北京北投新城开发建设有限公司、北京城市副中心投资基金合伙企业(有限合伙)</t>
  </si>
  <si>
    <t>北京市石景山区中关村科技园石景山园北Ⅱ区西井地块土地一级开发项目1606-034地块B1商业用地</t>
  </si>
  <si>
    <t>≤4.0</t>
  </si>
  <si>
    <t>2020-12-14</t>
  </si>
  <si>
    <t>中关村发展集团股份有限公司、北京石景山产业发展有限公司联合体</t>
  </si>
  <si>
    <t>北京市延庆区张山营镇西大庄科村YQ06-0400-0016地块F3其他类多功能用地</t>
  </si>
  <si>
    <t>≤1.01</t>
  </si>
  <si>
    <t>招标</t>
  </si>
  <si>
    <t>2020-12-04</t>
  </si>
  <si>
    <t>2020-12-07</t>
  </si>
  <si>
    <t>北京北控智开实业发展有限公司</t>
  </si>
  <si>
    <t>北京市海淀区西八里庄0711-652、640、641地块B4综合性商业金融服务业用地</t>
  </si>
  <si>
    <t>0711一652≤4.5,0711一640≤1.7,0711一641≤1.3</t>
  </si>
  <si>
    <t>2020-12-02</t>
  </si>
  <si>
    <t>中国电建地产集团有限公司</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</si>
  <si>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</si>
  <si>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</si>
  <si>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</si>
  <si>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</si>
  <si>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</si>
  <si>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</si>
  <si>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</si>
  <si>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</si>
  <si>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</si>
  <si>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</si>
  <si>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北京经济技术开发区路东区G4F-4、G6F-1、G6F-5、G7F-1、G7F-2、G7F-3地块F3其他类多功能用地国有建设用地</t>
  </si>
  <si>
    <t>g4f-4≤3,g6f-1、g6f-5、g7f-1、g7f-2≤2.5,g7f-3≤1.96</t>
  </si>
  <si>
    <t>2020-08-03</t>
  </si>
  <si>
    <t>北京通明湖信息城发展有限公司</t>
  </si>
  <si>
    <t>六级</t>
    <phoneticPr fontId="134" type="noConversion"/>
  </si>
  <si>
    <t>三通</t>
    <phoneticPr fontId="134" type="noConversion"/>
  </si>
  <si>
    <t>六级</t>
    <phoneticPr fontId="134" type="noConversion"/>
  </si>
  <si>
    <t>六通</t>
    <phoneticPr fontId="134" type="noConversion"/>
  </si>
  <si>
    <t>五级</t>
    <phoneticPr fontId="134" type="noConversion"/>
  </si>
  <si>
    <t>三通</t>
    <phoneticPr fontId="134" type="noConversion"/>
  </si>
  <si>
    <t>正常</t>
  </si>
  <si>
    <t>正常</t>
    <phoneticPr fontId="30" type="noConversion"/>
  </si>
  <si>
    <t>一般</t>
    <phoneticPr fontId="30" type="noConversion"/>
  </si>
  <si>
    <t>较好</t>
    <phoneticPr fontId="30" type="noConversion"/>
  </si>
  <si>
    <t>一般</t>
    <phoneticPr fontId="30" type="noConversion"/>
  </si>
  <si>
    <t>较好</t>
    <phoneticPr fontId="30" type="noConversion"/>
  </si>
  <si>
    <t>七级</t>
    <phoneticPr fontId="30" type="noConversion"/>
  </si>
  <si>
    <t>五通</t>
    <phoneticPr fontId="30" type="noConversion"/>
  </si>
  <si>
    <t>五级</t>
    <phoneticPr fontId="30" type="noConversion"/>
  </si>
  <si>
    <t>六级</t>
    <phoneticPr fontId="30" type="noConversion"/>
  </si>
  <si>
    <t>七级</t>
    <phoneticPr fontId="30" type="noConversion"/>
  </si>
  <si>
    <t>七通</t>
    <phoneticPr fontId="30" type="noConversion"/>
  </si>
  <si>
    <t>六通</t>
    <phoneticPr fontId="30" type="noConversion"/>
  </si>
  <si>
    <t>四通</t>
    <phoneticPr fontId="30" type="noConversion"/>
  </si>
  <si>
    <t>三通</t>
    <phoneticPr fontId="30" type="noConversion"/>
  </si>
  <si>
    <t>周边办公</t>
    <phoneticPr fontId="134" type="noConversion"/>
  </si>
  <si>
    <r>
      <t>2</t>
    </r>
    <r>
      <rPr>
        <sz val="11"/>
        <color theme="1"/>
        <rFont val="宋体"/>
        <family val="3"/>
        <charset val="134"/>
        <scheme val="minor"/>
      </rPr>
      <t>-2.5W</t>
    </r>
    <phoneticPr fontId="134" type="noConversion"/>
  </si>
  <si>
    <r>
      <t>3</t>
    </r>
    <r>
      <rPr>
        <sz val="11"/>
        <color theme="1"/>
        <rFont val="宋体"/>
        <family val="3"/>
        <charset val="134"/>
        <scheme val="minor"/>
      </rPr>
      <t>-4元/平方米·天</t>
    </r>
    <phoneticPr fontId="134" type="noConversion"/>
  </si>
  <si>
    <t>商业</t>
    <phoneticPr fontId="134" type="noConversion"/>
  </si>
  <si>
    <r>
      <t>3</t>
    </r>
    <r>
      <rPr>
        <sz val="11"/>
        <color theme="1"/>
        <rFont val="宋体"/>
        <family val="3"/>
        <charset val="134"/>
        <scheme val="minor"/>
      </rPr>
      <t>-3.5W</t>
    </r>
    <phoneticPr fontId="134" type="noConversion"/>
  </si>
  <si>
    <r>
      <t>5</t>
    </r>
    <r>
      <rPr>
        <sz val="11"/>
        <color theme="1"/>
        <rFont val="宋体"/>
        <family val="3"/>
        <charset val="134"/>
        <scheme val="minor"/>
      </rPr>
      <t>-6元/平方米·天</t>
    </r>
    <phoneticPr fontId="134" type="noConversion"/>
  </si>
  <si>
    <t>项目模式</t>
  </si>
  <si>
    <t>售价</t>
  </si>
  <si>
    <t>空港科技大厦</t>
    <phoneticPr fontId="3" type="noConversion"/>
  </si>
  <si>
    <t>泰达科技园</t>
    <phoneticPr fontId="3" type="noConversion"/>
  </si>
  <si>
    <t>办公</t>
    <phoneticPr fontId="31" type="noConversion"/>
  </si>
  <si>
    <t>20-30</t>
    <phoneticPr fontId="31" type="noConversion"/>
  </si>
  <si>
    <t>20-30</t>
    <phoneticPr fontId="31" type="noConversion"/>
  </si>
  <si>
    <t>30-40</t>
    <phoneticPr fontId="31" type="noConversion"/>
  </si>
  <si>
    <t>20-30</t>
    <phoneticPr fontId="31" type="noConversion"/>
  </si>
  <si>
    <t>较好</t>
    <phoneticPr fontId="31" type="noConversion"/>
  </si>
  <si>
    <t>一般</t>
    <phoneticPr fontId="31" type="noConversion"/>
  </si>
  <si>
    <t>七通</t>
    <phoneticPr fontId="31" type="noConversion"/>
  </si>
  <si>
    <t>七通</t>
    <phoneticPr fontId="31" type="noConversion"/>
  </si>
  <si>
    <t>独栋</t>
    <phoneticPr fontId="31" type="noConversion"/>
  </si>
  <si>
    <t>混合</t>
    <phoneticPr fontId="31" type="noConversion"/>
  </si>
  <si>
    <t>钢混</t>
    <phoneticPr fontId="31" type="noConversion"/>
  </si>
  <si>
    <t>普装</t>
    <phoneticPr fontId="31" type="noConversion"/>
  </si>
  <si>
    <t>精装</t>
    <phoneticPr fontId="31" type="noConversion"/>
  </si>
  <si>
    <t>五通</t>
    <phoneticPr fontId="31" type="noConversion"/>
  </si>
  <si>
    <t>五通</t>
    <phoneticPr fontId="31" type="noConversion"/>
  </si>
  <si>
    <t>比较法-办公</t>
  </si>
  <si>
    <t>挂牌</t>
    <phoneticPr fontId="31" type="noConversion"/>
  </si>
  <si>
    <t>与级别开发程度一致</t>
  </si>
  <si>
    <t>七通</t>
  </si>
  <si>
    <t>七通</t>
    <phoneticPr fontId="31" type="noConversion"/>
  </si>
  <si>
    <t>六通</t>
    <phoneticPr fontId="31" type="noConversion"/>
  </si>
  <si>
    <t>五通</t>
    <phoneticPr fontId="31" type="noConversion"/>
  </si>
  <si>
    <t>标准层高</t>
  </si>
  <si>
    <t>标准层高</t>
    <phoneticPr fontId="31" type="noConversion"/>
  </si>
  <si>
    <t>商务金融用地</t>
  </si>
  <si>
    <t>较差</t>
  </si>
  <si>
    <r>
      <rPr>
        <sz val="11"/>
        <color indexed="8"/>
        <rFont val="宋体"/>
        <family val="3"/>
        <charset val="134"/>
      </rPr>
      <t>顺义新城范围内的建设项目，住宅按每建筑平方米</t>
    </r>
    <r>
      <rPr>
        <sz val="11"/>
        <color indexed="8"/>
        <rFont val="Arial"/>
        <family val="2"/>
      </rPr>
      <t>160</t>
    </r>
    <r>
      <rPr>
        <sz val="11"/>
        <color indexed="8"/>
        <rFont val="宋体"/>
        <family val="3"/>
        <charset val="134"/>
      </rPr>
      <t>元征收，非住宅按每建筑平方米</t>
    </r>
    <r>
      <rPr>
        <sz val="11"/>
        <color indexed="8"/>
        <rFont val="Arial"/>
        <family val="2"/>
      </rPr>
      <t>200</t>
    </r>
    <r>
      <rPr>
        <sz val="11"/>
        <color indexed="8"/>
        <rFont val="宋体"/>
        <family val="3"/>
        <charset val="134"/>
      </rPr>
      <t>元征收；顺义新城范围外的建设项目，住宅按每建筑平方米</t>
    </r>
    <r>
      <rPr>
        <sz val="11"/>
        <color indexed="8"/>
        <rFont val="Arial"/>
        <family val="2"/>
      </rPr>
      <t>150</t>
    </r>
    <r>
      <rPr>
        <sz val="11"/>
        <color indexed="8"/>
        <rFont val="宋体"/>
        <family val="3"/>
        <charset val="134"/>
      </rPr>
      <t>元征收，非住宅按每建筑平方米</t>
    </r>
    <r>
      <rPr>
        <sz val="11"/>
        <color indexed="8"/>
        <rFont val="Arial"/>
        <family val="2"/>
      </rPr>
      <t>190</t>
    </r>
    <r>
      <rPr>
        <sz val="11"/>
        <color indexed="8"/>
        <rFont val="宋体"/>
        <family val="3"/>
        <charset val="134"/>
      </rPr>
      <t>元征收。</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</si>
</sst>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53" fillId="0" borderId="0" xfId="19"/>
    <xf numFmtId="0" fontId="53" fillId="8" borderId="0" xfId="19" applyFill="1"/>
    <xf numFmtId="0" fontId="0" fillId="8" borderId="0" xfId="0" applyFill="1">
      <alignment vertical="center"/>
    </xf>
    <xf numFmtId="0" fontId="53" fillId="16" borderId="0" xfId="19" applyFill="1"/>
    <xf numFmtId="0" fontId="0" fillId="16" borderId="0" xfId="0" applyFill="1">
      <alignment vertical="center"/>
    </xf>
    <xf numFmtId="0" fontId="95" fillId="16" borderId="0" xfId="0" applyFont="1" applyFill="1">
      <alignment vertical="center"/>
    </xf>
    <xf numFmtId="49" fontId="128" fillId="2" borderId="26"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77" fontId="113" fillId="0"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4" fontId="53" fillId="0" borderId="13" xfId="0" applyNumberFormat="1" applyFont="1" applyFill="1" applyBorder="1" applyAlignment="1" applyProtection="1">
      <alignment horizontal="lef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2</xdr:row>
      <xdr:rowOff>85725</xdr:rowOff>
    </xdr:from>
    <xdr:to>
      <xdr:col>10</xdr:col>
      <xdr:colOff>523021</xdr:colOff>
      <xdr:row>17</xdr:row>
      <xdr:rowOff>152070</xdr:rowOff>
    </xdr:to>
    <xdr:pic>
      <xdr:nvPicPr>
        <xdr:cNvPr id="2" name="图片 1"/>
        <xdr:cNvPicPr>
          <a:picLocks noChangeAspect="1"/>
        </xdr:cNvPicPr>
      </xdr:nvPicPr>
      <xdr:blipFill>
        <a:blip xmlns:r="http://schemas.openxmlformats.org/officeDocument/2006/relationships" r:embed="rId1"/>
        <a:stretch>
          <a:fillRect/>
        </a:stretch>
      </xdr:blipFill>
      <xdr:spPr>
        <a:xfrm>
          <a:off x="542925" y="428625"/>
          <a:ext cx="6838096" cy="2638095"/>
        </a:xfrm>
        <a:prstGeom prst="rect">
          <a:avLst/>
        </a:prstGeom>
      </xdr:spPr>
    </xdr:pic>
    <xdr:clientData/>
  </xdr:twoCellAnchor>
  <xdr:twoCellAnchor editAs="oneCell">
    <xdr:from>
      <xdr:col>1</xdr:col>
      <xdr:colOff>0</xdr:colOff>
      <xdr:row>24</xdr:row>
      <xdr:rowOff>0</xdr:rowOff>
    </xdr:from>
    <xdr:to>
      <xdr:col>16</xdr:col>
      <xdr:colOff>370144</xdr:colOff>
      <xdr:row>56</xdr:row>
      <xdr:rowOff>37410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114800"/>
          <a:ext cx="10657144" cy="5523810"/>
        </a:xfrm>
        <a:prstGeom prst="rect">
          <a:avLst/>
        </a:prstGeom>
      </xdr:spPr>
    </xdr:pic>
    <xdr:clientData/>
  </xdr:twoCellAnchor>
  <xdr:twoCellAnchor editAs="oneCell">
    <xdr:from>
      <xdr:col>1</xdr:col>
      <xdr:colOff>0</xdr:colOff>
      <xdr:row>57</xdr:row>
      <xdr:rowOff>0</xdr:rowOff>
    </xdr:from>
    <xdr:to>
      <xdr:col>17</xdr:col>
      <xdr:colOff>36725</xdr:colOff>
      <xdr:row>87</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772650"/>
          <a:ext cx="11009525" cy="5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15</xdr:col>
      <xdr:colOff>313001</xdr:colOff>
      <xdr:row>69</xdr:row>
      <xdr:rowOff>151824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6686550"/>
          <a:ext cx="10600001" cy="46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579753</xdr:colOff>
      <xdr:row>28</xdr:row>
      <xdr:rowOff>18448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80953" cy="4819048"/>
        </a:xfrm>
        <a:prstGeom prst="rect">
          <a:avLst/>
        </a:prstGeom>
      </xdr:spPr>
    </xdr:pic>
    <xdr:clientData/>
  </xdr:twoCellAnchor>
  <xdr:twoCellAnchor editAs="oneCell">
    <xdr:from>
      <xdr:col>0</xdr:col>
      <xdr:colOff>0</xdr:colOff>
      <xdr:row>29</xdr:row>
      <xdr:rowOff>0</xdr:rowOff>
    </xdr:from>
    <xdr:to>
      <xdr:col>15</xdr:col>
      <xdr:colOff>74905</xdr:colOff>
      <xdr:row>57</xdr:row>
      <xdr:rowOff>142257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972050"/>
          <a:ext cx="10361905" cy="4942857"/>
        </a:xfrm>
        <a:prstGeom prst="rect">
          <a:avLst/>
        </a:prstGeom>
      </xdr:spPr>
    </xdr:pic>
    <xdr:clientData/>
  </xdr:twoCellAnchor>
  <xdr:twoCellAnchor editAs="oneCell">
    <xdr:from>
      <xdr:col>0</xdr:col>
      <xdr:colOff>0</xdr:colOff>
      <xdr:row>57</xdr:row>
      <xdr:rowOff>85725</xdr:rowOff>
    </xdr:from>
    <xdr:to>
      <xdr:col>14</xdr:col>
      <xdr:colOff>436896</xdr:colOff>
      <xdr:row>85</xdr:row>
      <xdr:rowOff>75602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858375"/>
          <a:ext cx="10038096" cy="4790477"/>
        </a:xfrm>
        <a:prstGeom prst="rect">
          <a:avLst/>
        </a:prstGeom>
      </xdr:spPr>
    </xdr:pic>
    <xdr:clientData/>
  </xdr:twoCellAnchor>
  <xdr:twoCellAnchor editAs="oneCell">
    <xdr:from>
      <xdr:col>15</xdr:col>
      <xdr:colOff>390525</xdr:colOff>
      <xdr:row>2</xdr:row>
      <xdr:rowOff>47625</xdr:rowOff>
    </xdr:from>
    <xdr:to>
      <xdr:col>25</xdr:col>
      <xdr:colOff>180145</xdr:colOff>
      <xdr:row>40</xdr:row>
      <xdr:rowOff>75383</xdr:rowOff>
    </xdr:to>
    <xdr:pic>
      <xdr:nvPicPr>
        <xdr:cNvPr id="3" name="图片 2"/>
        <xdr:cNvPicPr>
          <a:picLocks noChangeAspect="1"/>
        </xdr:cNvPicPr>
      </xdr:nvPicPr>
      <xdr:blipFill>
        <a:blip xmlns:r="http://schemas.openxmlformats.org/officeDocument/2006/relationships" r:embed="rId4"/>
        <a:stretch>
          <a:fillRect/>
        </a:stretch>
      </xdr:blipFill>
      <xdr:spPr>
        <a:xfrm>
          <a:off x="10677525" y="390525"/>
          <a:ext cx="6647620" cy="65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估价对象为北京市房地产，为所有。根据《国有土地使用证》[]，估价对象（分摊）出让国有建设用地使用权面积为527.48平方米，建筑面积为1216.87平方米。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估价对象为北京市房地产,属开发建设的，该项目尚在开发建设中。根据《国有土地使用证》[]，估价对象（分摊）出让国有建设用地使用权面积为527.48平方米，规划建筑面积为1216.87平方米。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2023年7月20日（评估专业人员实地查勘之日）</v>
      </c>
    </row>
    <row r="13" spans="1:2" s="1202" customFormat="1">
      <c r="A13" s="1200" t="s">
        <v>529</v>
      </c>
      <c r="B13" s="1201" t="str">
        <f>'预评函-1'!A18</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本次评估采用的主估价方法为比较法和成本法。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2133</v>
      </c>
    </row>
    <row r="21" spans="1:2" s="1202" customFormat="1">
      <c r="A21" s="1200" t="s">
        <v>537</v>
      </c>
      <c r="B21" s="1201">
        <f ca="1">'预评函-2'!D7</f>
        <v>17529</v>
      </c>
    </row>
    <row r="22" spans="1:2" s="1202" customFormat="1">
      <c r="A22" s="1200" t="s">
        <v>538</v>
      </c>
      <c r="B22" s="1201" t="str">
        <f ca="1">'预评函-2'!D6</f>
        <v>贰仟壹佰叁拾叁万元整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2133</v>
      </c>
    </row>
    <row r="31" spans="1:2" s="1202" customFormat="1">
      <c r="A31" s="1200" t="s">
        <v>576</v>
      </c>
      <c r="B31" s="1201">
        <f ca="1">'预评函-2'!D15</f>
        <v>17529</v>
      </c>
    </row>
    <row r="32" spans="1:2" s="1202" customFormat="1">
      <c r="A32" s="1200" t="s">
        <v>543</v>
      </c>
      <c r="B32" s="1201" t="str">
        <f ca="1">'预评函-2'!D14</f>
        <v>贰仟壹佰叁拾叁万元整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1216.8699999999999</v>
      </c>
    </row>
    <row r="44" spans="1:2" s="1202" customFormat="1">
      <c r="A44" s="1200" t="s">
        <v>575</v>
      </c>
      <c r="B44" s="1201" t="str">
        <f>'预评函-3'!C2</f>
        <v>(分摊)土地面积</v>
      </c>
    </row>
    <row r="45" spans="1:2" s="1202" customFormat="1">
      <c r="A45" s="1200" t="s">
        <v>547</v>
      </c>
      <c r="B45" s="1201">
        <f>'预评函-3'!C4</f>
        <v>527.48</v>
      </c>
    </row>
    <row r="46" spans="1:2" s="1202" customFormat="1">
      <c r="A46" s="1200" t="s">
        <v>573</v>
      </c>
      <c r="B46" s="1201" t="str">
        <f>'预评函-3'!D2</f>
        <v>出让国有建设用地使用权价值</v>
      </c>
    </row>
    <row r="47" spans="1:2" s="1202" customFormat="1">
      <c r="A47" s="1200" t="s">
        <v>548</v>
      </c>
      <c r="B47" s="1201">
        <f ca="1">'预评函-3'!D4</f>
        <v>1647</v>
      </c>
    </row>
    <row r="48" spans="1:2" s="1202" customFormat="1">
      <c r="A48" s="1200" t="s">
        <v>549</v>
      </c>
      <c r="B48" s="1201">
        <f ca="1">'预评函-3'!E4</f>
        <v>13535</v>
      </c>
    </row>
    <row r="49" spans="1:2" s="1202" customFormat="1">
      <c r="A49" s="1200" t="s">
        <v>550</v>
      </c>
      <c r="B49" s="1201" t="str">
        <f ca="1">'预评函-3'!D5</f>
        <v>壹仟陆佰肆拾柒万元整</v>
      </c>
    </row>
    <row r="50" spans="1:2" s="1202" customFormat="1">
      <c r="A50" s="1200" t="s">
        <v>574</v>
      </c>
      <c r="B50" s="1201" t="str">
        <f>'预评函-3'!F2</f>
        <v>在建建筑物价值</v>
      </c>
    </row>
    <row r="51" spans="1:2" s="1202" customFormat="1">
      <c r="A51" s="1200" t="s">
        <v>551</v>
      </c>
      <c r="B51" s="1201">
        <f ca="1">'预评函-3'!F4</f>
        <v>486</v>
      </c>
    </row>
    <row r="52" spans="1:2" s="1202" customFormat="1">
      <c r="A52" s="1200" t="s">
        <v>552</v>
      </c>
      <c r="B52" s="1201">
        <f ca="1">'预评函-3'!G4</f>
        <v>3994</v>
      </c>
    </row>
    <row r="53" spans="1:2" s="1202" customFormat="1">
      <c r="A53" s="1200" t="s">
        <v>580</v>
      </c>
      <c r="B53" s="1201" t="str">
        <f ca="1">'预评函-3'!F5</f>
        <v>肆佰捌拾陆万元整</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2581</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2582</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3" t="s">
        <v>385</v>
      </c>
      <c r="C54" s="1550" t="s">
        <v>583</v>
      </c>
    </row>
    <row r="55" spans="1:4">
      <c r="A55" s="3513"/>
      <c r="B55" s="1553" t="s">
        <v>386</v>
      </c>
      <c r="C55" s="1550" t="s">
        <v>584</v>
      </c>
    </row>
    <row r="56" spans="1:4">
      <c r="A56" s="3513"/>
      <c r="B56" s="1553" t="s">
        <v>387</v>
      </c>
      <c r="C56" s="1550" t="s">
        <v>588</v>
      </c>
    </row>
    <row r="57" spans="1:4">
      <c r="A57" s="351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514" t="s">
        <v>2584</v>
      </c>
      <c r="J2" s="3514"/>
      <c r="K2" s="3514"/>
      <c r="L2" s="3514"/>
      <c r="M2" s="3514"/>
      <c r="N2" s="3514"/>
      <c r="O2" s="3514"/>
      <c r="P2" s="3514"/>
      <c r="Q2" s="3514"/>
      <c r="R2" s="3514"/>
    </row>
    <row r="3" spans="1:18">
      <c r="A3" s="3018" t="s">
        <v>2505</v>
      </c>
      <c r="B3" s="3019">
        <f>项目基本情况!D3</f>
        <v>45127</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3.41</v>
      </c>
      <c r="D5" s="3023">
        <f>IF(ISERROR(ROUND(POWER(1+E5,A5-C5)*(POWER(1+E5,C5)-1)/(POWER(1+E5,A5)-1),3)),0,ROUND(POWER(1+E5,A5-C5)*(POWER(1+E5,C5)-1)/(POWER(1+E5,A5)-1),4))</f>
        <v>0.15809999999999999</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13.42</v>
      </c>
      <c r="D6" s="3023">
        <f>IF(ISERROR(ROUND(POWER(1+E6,A6-C6)*(POWER(1+E6,C6)-1)/(POWER(1+E6,A6)-1),3)),0,ROUND(POWER(1+E6,A6-C6)*(POWER(1+E6,C6)-1)/(POWER(1+E6,A6)-1),4))</f>
        <v>0.4763</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33.44</v>
      </c>
      <c r="D7" s="3023">
        <f>IF(ISERROR(ROUND(POWER(1+E7,A7-C7)*(POWER(1+E7,C7)-1)/(POWER(1+E7,A7)-1),3)),0,ROUND(POWER(1+E7,A7-C7)*(POWER(1+E7,C7)-1)/(POWER(1+E7,A7)-1),4))</f>
        <v>0.78069999999999995</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3" t="str">
        <f>IF(B10="北京市","北京市",C10)&amp;F10&amp;IF(结果表!G1="在建","出让国有建设用地使用权及在建建筑物",IF(结果表!G1="土地","出让国有建设用地使用权",))&amp;B9&amp;"预评估"</f>
        <v>北京市房地产市场价值预评估</v>
      </c>
      <c r="C1" s="3524"/>
      <c r="D1" s="3524"/>
      <c r="E1" s="3524"/>
      <c r="F1" s="3524"/>
      <c r="G1" s="3524"/>
      <c r="H1" s="3524"/>
      <c r="I1" s="3525"/>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2169</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3814">
        <v>45127</v>
      </c>
      <c r="C3" s="2372" t="s">
        <v>2171</v>
      </c>
      <c r="D3" s="3814">
        <f>B3</f>
        <v>45127</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3379</v>
      </c>
      <c r="C8" s="2388"/>
      <c r="D8" s="3526" t="s">
        <v>2177</v>
      </c>
      <c r="E8" s="2389"/>
      <c r="F8" s="2390"/>
      <c r="G8" s="2661"/>
      <c r="H8" s="2661"/>
      <c r="I8" s="2661"/>
      <c r="J8" s="2437"/>
      <c r="K8" s="2612"/>
      <c r="L8" s="2611"/>
      <c r="M8" s="2611"/>
      <c r="N8" s="2437"/>
      <c r="O8" s="2448"/>
      <c r="P8" s="2437"/>
      <c r="Q8" s="2437"/>
      <c r="R8" s="2437"/>
    </row>
    <row r="9" spans="1:30" ht="13.5" thickBot="1">
      <c r="A9" s="2391" t="s">
        <v>2178</v>
      </c>
      <c r="B9" s="2392" t="s">
        <v>3380</v>
      </c>
      <c r="C9" s="2393"/>
      <c r="D9" s="3527"/>
      <c r="E9" s="2392"/>
      <c r="F9" s="2394"/>
      <c r="G9" s="2663"/>
      <c r="H9" s="2663"/>
      <c r="I9" s="2663"/>
      <c r="J9" s="2437"/>
      <c r="K9" s="2614"/>
      <c r="L9" s="2611"/>
      <c r="M9" s="2611"/>
      <c r="N9" s="2437"/>
      <c r="O9" s="2448"/>
      <c r="P9" s="2437"/>
      <c r="Q9" s="2437"/>
      <c r="R9" s="2437"/>
    </row>
    <row r="10" spans="1:30" ht="13.5" thickTop="1">
      <c r="A10" s="2395" t="s">
        <v>2179</v>
      </c>
      <c r="B10" s="2396" t="s">
        <v>3381</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3382</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4"/>
    </row>
    <row r="13" spans="1:30">
      <c r="A13" s="3421" t="s">
        <v>3337</v>
      </c>
      <c r="B13" s="2405" t="s">
        <v>2190</v>
      </c>
      <c r="C13" s="856"/>
      <c r="D13" s="856">
        <v>54463</v>
      </c>
      <c r="E13" s="856">
        <v>54463</v>
      </c>
      <c r="F13" s="856"/>
      <c r="G13" s="856"/>
      <c r="H13" s="856"/>
      <c r="I13" s="856"/>
      <c r="J13" s="3060"/>
      <c r="K13" s="2611"/>
      <c r="L13" s="2611"/>
      <c r="M13" s="2437"/>
      <c r="N13" s="2448"/>
      <c r="O13" s="2437"/>
      <c r="P13" s="2437"/>
      <c r="Q13" s="2437"/>
      <c r="AD13" s="1744"/>
    </row>
    <row r="14" spans="1:30">
      <c r="A14" s="1081"/>
      <c r="B14" s="2405" t="s">
        <v>2191</v>
      </c>
      <c r="C14" s="2406"/>
      <c r="D14" s="2406">
        <v>40</v>
      </c>
      <c r="E14" s="2406">
        <v>50</v>
      </c>
      <c r="F14" s="2406"/>
      <c r="G14" s="2406"/>
      <c r="H14" s="2406"/>
      <c r="I14" s="2406"/>
      <c r="J14" s="3061"/>
      <c r="K14" s="2611"/>
      <c r="L14" s="2611"/>
      <c r="M14" s="2437"/>
      <c r="N14" s="2448"/>
      <c r="O14" s="2437"/>
      <c r="P14" s="2437"/>
      <c r="Q14" s="2437"/>
      <c r="AD14" s="1744"/>
    </row>
    <row r="15" spans="1:30">
      <c r="A15" s="320"/>
      <c r="B15" s="2407" t="s">
        <v>2192</v>
      </c>
      <c r="C15" s="2408" t="str">
        <f>IF(A13="出让",IF(C13="","",ROUNDDOWN(MIN((C13-$D$3)/365,C14),2)),C14)</f>
        <v/>
      </c>
      <c r="D15" s="2408">
        <f>IF(A13="出让",IF(D13="","",ROUNDDOWN(MIN((D13-$D$3)/365,D14),2)),D14)</f>
        <v>25.57</v>
      </c>
      <c r="E15" s="2408">
        <f>IF(A13="出让",IF(E13="","",ROUNDDOWN(MIN((E13-$D$3)/365,E14),2)),E14)</f>
        <v>25.57</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2193</v>
      </c>
      <c r="B16" s="3533"/>
      <c r="C16" s="3534"/>
      <c r="D16" s="3535"/>
      <c r="E16" s="2411" t="s">
        <v>2194</v>
      </c>
      <c r="F16" s="3536"/>
      <c r="G16" s="3537"/>
      <c r="H16" s="3537"/>
      <c r="I16" s="3538"/>
      <c r="J16" s="2437"/>
      <c r="K16" s="2615"/>
      <c r="L16" s="2449"/>
      <c r="M16" s="2449"/>
      <c r="N16" s="2507"/>
      <c r="O16" s="2449"/>
      <c r="P16" s="2507"/>
      <c r="Q16" s="2437"/>
      <c r="R16" s="2437"/>
    </row>
    <row r="17" spans="1:28">
      <c r="A17" s="313" t="s">
        <v>2195</v>
      </c>
      <c r="B17" s="302" t="s">
        <v>2196</v>
      </c>
      <c r="C17" s="8">
        <f>'数据-汇总表'!E3</f>
        <v>1216.8699999999999</v>
      </c>
      <c r="D17" s="2321" t="s">
        <v>2197</v>
      </c>
      <c r="E17" s="3539" t="s">
        <v>2198</v>
      </c>
      <c r="F17" s="3540"/>
      <c r="G17" s="3540"/>
      <c r="H17" s="3540"/>
      <c r="I17" s="3541"/>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527.48</v>
      </c>
      <c r="D18" s="1092" t="s">
        <v>2201</v>
      </c>
      <c r="E18" s="3542" t="s">
        <v>2202</v>
      </c>
      <c r="F18" s="3543"/>
      <c r="G18" s="3543"/>
      <c r="H18" s="3543"/>
      <c r="I18" s="3544"/>
      <c r="J18" s="2437"/>
      <c r="K18" s="2616"/>
      <c r="L18" s="2449"/>
      <c r="M18" s="2449"/>
      <c r="N18" s="2507"/>
      <c r="O18" s="2449"/>
      <c r="P18" s="2507"/>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29" t="s">
        <v>2206</v>
      </c>
      <c r="C20" s="3530"/>
      <c r="D20" s="3531" t="s">
        <v>2207</v>
      </c>
      <c r="E20" s="3532"/>
      <c r="F20" s="2645" t="s">
        <v>1056</v>
      </c>
      <c r="G20" s="2662"/>
      <c r="H20" s="2662"/>
      <c r="I20" s="2662"/>
      <c r="J20" s="2437"/>
      <c r="K20" s="352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2662"/>
      <c r="H21" s="2662"/>
      <c r="I21" s="2662"/>
      <c r="J21" s="2437"/>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c r="H22" s="2662"/>
      <c r="I22" s="2662"/>
      <c r="J22" s="2437"/>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2218</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2219</v>
      </c>
      <c r="B31" s="2420"/>
      <c r="C31" s="2322"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15" t="s">
        <v>2228</v>
      </c>
      <c r="T34" s="2426" t="str">
        <f>NUMBERSTRING(7-K34,1)&amp;"通"</f>
        <v>七通</v>
      </c>
      <c r="U34" s="2437"/>
      <c r="V34" s="2437"/>
    </row>
    <row r="35" spans="1:30">
      <c r="A35" s="2427"/>
      <c r="B35" s="3522" t="s">
        <v>2229</v>
      </c>
      <c r="C35" s="3522"/>
      <c r="D35" s="3522"/>
      <c r="E35" s="3522"/>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t="s">
        <v>304</v>
      </c>
      <c r="C37" s="2429" t="s">
        <v>304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264</v>
      </c>
      <c r="C38" s="2430" t="s">
        <v>264</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527.48</v>
      </c>
      <c r="B3" s="11">
        <f>IF(C3="否",G5-AT5,G5)</f>
        <v>1216.8699999999999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1216.8699999999999</v>
      </c>
      <c r="H5" s="13">
        <f t="shared" ref="H5:AT5" si="0">SUM(H13:H656)</f>
        <v>1216.8699999999999</v>
      </c>
      <c r="I5" s="13">
        <f t="shared" si="0"/>
        <v>1216.8699999999999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1216.8699999999999</v>
      </c>
      <c r="BA5" s="15">
        <f t="shared" si="1"/>
        <v>1216.8699999999999</v>
      </c>
      <c r="BB5" s="15">
        <f t="shared" si="1"/>
        <v>1216.8699999999999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527.48</v>
      </c>
      <c r="F6" s="13" t="s">
        <v>0</v>
      </c>
      <c r="G6" s="13" t="s">
        <v>1</v>
      </c>
      <c r="H6" s="17">
        <f>SUMIF(I$12:AB$12,"总值",I6:AB6)</f>
        <v>527.48</v>
      </c>
      <c r="I6" s="13">
        <f t="shared" ref="I6:AB6" si="2">ROUND($A$3*I5/$B$3,2)</f>
        <v>527.48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527.48</v>
      </c>
      <c r="AZ6" s="13" t="s">
        <v>2</v>
      </c>
      <c r="BA6" s="13">
        <f>ROUND($AY$6*BA5/$AZ$5,2)</f>
        <v>527.48</v>
      </c>
      <c r="BB6" s="13">
        <f>ROUND($AY$6*BB5/$AZ$5,2)</f>
        <v>527.48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3384</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3383</v>
      </c>
      <c r="E13" s="13">
        <f>IF($C$3="是",ROUND($A$3*G13/$B$3,2),ROUND($A$3*(G13-AT13)/$B$3,2))</f>
        <v>527.48</v>
      </c>
      <c r="F13" s="29"/>
      <c r="G13" s="30">
        <f>H13+AC13+AT13</f>
        <v>1216.8699999999999</v>
      </c>
      <c r="H13" s="17">
        <f>SUMIF(I$12:AB$12,"总值",I13:AB13)</f>
        <v>1216.8699999999999</v>
      </c>
      <c r="I13" s="1625">
        <v>1216.8699999999999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527.48</v>
      </c>
      <c r="AZ13" s="13">
        <f>BA13+BL13</f>
        <v>1216.8699999999999</v>
      </c>
      <c r="BA13" s="13">
        <f>SUM(BB13:BK13)</f>
        <v>1216.8699999999999</v>
      </c>
      <c r="BB13" s="13">
        <f>IF($D13="是",I13-J13,0)</f>
        <v>1216.8699999999999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38" sqref="D3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4" t="s">
        <v>1131</v>
      </c>
      <c r="B2" s="3554"/>
      <c r="C2" s="3554"/>
      <c r="D2" s="796" t="s">
        <v>1107</v>
      </c>
      <c r="E2" s="1638" t="s">
        <v>1108</v>
      </c>
      <c r="F2" s="2657"/>
      <c r="G2" s="2648"/>
      <c r="H2" s="2649"/>
      <c r="I2" s="2324" t="s">
        <v>1132</v>
      </c>
      <c r="J2" s="2657"/>
      <c r="K2" s="2657"/>
      <c r="L2" s="2657"/>
      <c r="M2" s="2657"/>
      <c r="N2" s="2659"/>
      <c r="O2" s="2657"/>
      <c r="P2" s="2657"/>
    </row>
    <row r="3" spans="1:16" ht="15.75" thickBot="1">
      <c r="A3" s="3555" t="s">
        <v>1105</v>
      </c>
      <c r="B3" s="3555"/>
      <c r="C3" s="3555"/>
      <c r="D3" s="43">
        <f>'数据-基础表'!AY6</f>
        <v>527.48</v>
      </c>
      <c r="E3" s="43">
        <f>'数据-基础表'!AZ5</f>
        <v>1216.8699999999999</v>
      </c>
      <c r="F3" s="2657"/>
      <c r="G3" s="1145"/>
      <c r="H3" s="1026" t="s">
        <v>1106</v>
      </c>
      <c r="I3" s="855">
        <f>ROUND('数据-基础表'!B3/'数据-基础表'!A3,2)</f>
        <v>2.31</v>
      </c>
      <c r="J3" s="2657"/>
      <c r="K3" s="2657"/>
      <c r="L3" s="2657"/>
      <c r="M3" s="2657"/>
      <c r="N3" s="2659"/>
      <c r="O3" s="2657"/>
      <c r="P3" s="2657"/>
    </row>
    <row r="4" spans="1:16" ht="15">
      <c r="A4" s="3556"/>
      <c r="B4" s="3557"/>
      <c r="C4" s="3558"/>
      <c r="D4" s="1640" t="s">
        <v>1107</v>
      </c>
      <c r="E4" s="1641" t="s">
        <v>1108</v>
      </c>
      <c r="F4" s="2657"/>
      <c r="G4" s="2650" t="s">
        <v>1133</v>
      </c>
      <c r="H4" s="1026" t="s">
        <v>1113</v>
      </c>
      <c r="I4" s="855">
        <f>ROUND(SUMIF('数据-基础表'!I9:AS9,"地上",'数据-基础表'!I5:AS5)/'数据-基础表'!A3,2)</f>
        <v>2.31</v>
      </c>
      <c r="J4" s="2657"/>
      <c r="K4" s="2657"/>
      <c r="L4" s="2657"/>
      <c r="M4" s="2657"/>
      <c r="N4" s="2659"/>
      <c r="O4" s="2657"/>
      <c r="P4" s="2657"/>
    </row>
    <row r="5" spans="1:16">
      <c r="A5" s="44" t="s">
        <v>1109</v>
      </c>
      <c r="B5" s="3559" t="s">
        <v>1110</v>
      </c>
      <c r="C5" s="3559"/>
      <c r="D5" s="45">
        <f>ROUND($D$3*E5/$E$3,2)</f>
        <v>0</v>
      </c>
      <c r="E5" s="46">
        <f>SUMIF('数据-基础表'!$11:$11,"住宅",'数据-基础表'!$5:$5)</f>
        <v>0</v>
      </c>
      <c r="F5" s="2657"/>
      <c r="G5" s="1145"/>
      <c r="H5" s="1026" t="s">
        <v>1106</v>
      </c>
      <c r="I5" s="855">
        <f>ROUND(E31/D31,2)</f>
        <v>2.31</v>
      </c>
      <c r="J5" s="2657"/>
      <c r="K5" s="2657"/>
      <c r="L5" s="2657"/>
      <c r="M5" s="2657"/>
      <c r="N5" s="2657"/>
      <c r="O5" s="2657"/>
      <c r="P5" s="2657"/>
    </row>
    <row r="6" spans="1:16" ht="15" thickBot="1">
      <c r="A6" s="1643"/>
      <c r="B6" s="3559" t="s">
        <v>1111</v>
      </c>
      <c r="C6" s="3559"/>
      <c r="D6" s="45">
        <f>ROUND($D$3*E6/$E$3,2)</f>
        <v>527.48</v>
      </c>
      <c r="E6" s="46">
        <f>E3-E5</f>
        <v>1216.8699999999999</v>
      </c>
      <c r="F6" s="2657"/>
      <c r="G6" s="2651" t="s">
        <v>1112</v>
      </c>
      <c r="H6" s="1146" t="s">
        <v>1113</v>
      </c>
      <c r="I6" s="2652">
        <f>ROUND(F31/D31,2)</f>
        <v>2.31</v>
      </c>
      <c r="J6" s="2657"/>
      <c r="K6" s="2657"/>
      <c r="L6" s="2657"/>
      <c r="M6" s="2657"/>
      <c r="N6" s="2657"/>
      <c r="O6" s="2657"/>
      <c r="P6" s="2657"/>
    </row>
    <row r="7" spans="1:16" ht="15.75" thickBot="1">
      <c r="A7" s="3551"/>
      <c r="B7" s="3552"/>
      <c r="C7" s="3553"/>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527.48</v>
      </c>
      <c r="E8" s="48">
        <f>SUMIF('数据-基础表'!BB10:BK10,"地上",'数据-基础表'!BB5:BK5)</f>
        <v>1216.8699999999999</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527.48</v>
      </c>
      <c r="E16" s="50">
        <f>SUM(E8:E15)</f>
        <v>1216.8699999999999</v>
      </c>
      <c r="F16" s="2657"/>
      <c r="G16" s="2658"/>
      <c r="H16" s="1647" t="s">
        <v>1135</v>
      </c>
      <c r="I16" s="1648"/>
      <c r="J16" s="1139"/>
      <c r="K16" s="3548" t="s">
        <v>1135</v>
      </c>
      <c r="L16" s="3549"/>
      <c r="M16" s="3549"/>
      <c r="N16" s="3549"/>
      <c r="O16" s="3549"/>
      <c r="P16" s="3550"/>
    </row>
    <row r="17" spans="1:19" ht="15">
      <c r="A17" s="1649" t="s">
        <v>1136</v>
      </c>
      <c r="B17" s="1650" t="s">
        <v>1137</v>
      </c>
      <c r="C17" s="1651" t="s">
        <v>1138</v>
      </c>
      <c r="D17" s="1652" t="s">
        <v>1126</v>
      </c>
      <c r="E17" s="1653" t="s">
        <v>1127</v>
      </c>
      <c r="F17" s="1654"/>
      <c r="G17" s="1655"/>
      <c r="H17" s="1656" t="s">
        <v>1139</v>
      </c>
      <c r="I17" s="1657" t="s">
        <v>1124</v>
      </c>
      <c r="J17" s="1139"/>
      <c r="K17" s="3545" t="s">
        <v>1140</v>
      </c>
      <c r="L17" s="3546"/>
      <c r="M17" s="3547"/>
      <c r="N17" s="3545" t="s">
        <v>1141</v>
      </c>
      <c r="O17" s="3546"/>
      <c r="P17" s="3547"/>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5" t="s">
        <v>3385</v>
      </c>
      <c r="D19" s="45">
        <f>ROUND($D$3*E19/$E$3,2)</f>
        <v>527.48</v>
      </c>
      <c r="E19" s="53">
        <f t="shared" ref="E19:E26" si="1">SUM(F19:G19)</f>
        <v>1216.8699999999999</v>
      </c>
      <c r="F19" s="2793">
        <f>'数据-基础表'!I13</f>
        <v>1216.8699999999999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527.48</v>
      </c>
      <c r="S19" s="1027">
        <f t="shared" si="5"/>
        <v>1216.8699999999999</v>
      </c>
    </row>
    <row r="20" spans="1:19">
      <c r="A20" s="1669"/>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527.48</v>
      </c>
      <c r="E27" s="1141">
        <f>IF(SUM(E19:E26)='数据-基础表'!BA5,SUM(E19:E26),IF(F27="地上面积有误","面积有误","地下面积有误"))</f>
        <v>1216.8699999999999</v>
      </c>
      <c r="F27" s="1140">
        <f>IF(SUM(F19:F26)=E8,SUM(F19:F26),"地上面积有误")</f>
        <v>1216.8699999999999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527.48</v>
      </c>
      <c r="S27" s="1026">
        <f>IF(SUM(S19:S26)=$E$3,SUM(S19:S26),SUM(S19:S26)&amp;"误差"&amp;ROUND(SUM(S19:S26)-E3,2))</f>
        <v>1216.8699999999999</v>
      </c>
    </row>
    <row r="28" spans="1:19">
      <c r="A28" s="1669"/>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5"/>
      <c r="B31" s="1676"/>
      <c r="C31" s="835" t="s">
        <v>1158</v>
      </c>
      <c r="D31" s="676">
        <f>D27+D30</f>
        <v>527.48</v>
      </c>
      <c r="E31" s="676">
        <f>E27+E30</f>
        <v>1216.8699999999999</v>
      </c>
      <c r="F31" s="677">
        <f>F27+F30</f>
        <v>1216.8699999999999</v>
      </c>
      <c r="G31" s="678">
        <f>G27+G30</f>
        <v>0</v>
      </c>
      <c r="H31" s="2657"/>
      <c r="I31" s="2657"/>
      <c r="J31" s="2657"/>
      <c r="K31" s="2657"/>
      <c r="L31" s="2657"/>
      <c r="M31" s="2657"/>
      <c r="N31" s="2657"/>
      <c r="O31" s="2657"/>
      <c r="P31" s="2657"/>
    </row>
    <row r="32" spans="1:19">
      <c r="A32" s="1642"/>
      <c r="B32" s="1642" t="s">
        <v>1159</v>
      </c>
      <c r="C32" s="1642"/>
      <c r="D32" s="1642"/>
      <c r="E32" s="1053">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5">
        <f>项目基本情况!D3</f>
        <v>45127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54463</v>
      </c>
      <c r="F6" s="64">
        <f>SUMIF(项目基本情况!C$12:I$12,C6,项目基本情况!C$15:I$15)</f>
        <v>25.57</v>
      </c>
      <c r="G6" s="65">
        <f>IF(ISERROR(ROUND(POWER(1+H6,D6-F6)*(POWER(1+H6,F6)-1)/(POWER(1+H6,D6)-1),3)),0,ROUND(POWER(1+H6,D6-F6)*(POWER(1+H6,F6)-1)/(POWER(1+H6,D6)-1),3))</f>
        <v>0.78100000000000003</v>
      </c>
      <c r="H6" s="732">
        <v>0.05</v>
      </c>
      <c r="I6" s="732">
        <v>5.5E-2</v>
      </c>
      <c r="J6" s="66">
        <v>7.0000000000000007E-2</v>
      </c>
      <c r="K6" s="1030">
        <f>SUMIF('数据-汇总表'!C$19:C$33,A6,'数据-汇总表'!E$19:E$33)</f>
        <v>1216.8699999999999</v>
      </c>
      <c r="L6" s="3472">
        <v>3000</v>
      </c>
      <c r="M6" s="67">
        <f t="shared" ref="M6:M14" si="0">ROUND(K6*L6/10000,0)</f>
        <v>365</v>
      </c>
      <c r="N6" s="731">
        <f>N22</f>
        <v>0.72</v>
      </c>
      <c r="O6" s="67" t="str">
        <f>IF($N$5="成新度","——",ROUND(M6*N6,0))</f>
        <v>——</v>
      </c>
      <c r="P6" s="68" t="str">
        <f>IF($N$5="成新度","——",M6-O6)</f>
        <v>——</v>
      </c>
      <c r="Q6" s="734">
        <v>0.15</v>
      </c>
      <c r="R6" s="69">
        <f ca="1">SUMIF('数据-汇总表'!C$19:C$33,A6,'数据-汇总表'!R$19:R$27)</f>
        <v>527.48</v>
      </c>
      <c r="S6" s="51">
        <f>IF('数据-汇总表'!$I$17="按面积比例",SUMIF('数据-汇总表'!C$19:C$33,A6,'数据-汇总表'!K$19:K$33),SUMIF('数据-汇总表'!C$19:C$33,A6,'数据-汇总表'!N$19:N$33))</f>
        <v>0</v>
      </c>
      <c r="T6" s="1172">
        <f>ROUND($L$14*S6/10000,0)</f>
        <v>0</v>
      </c>
      <c r="U6" s="3426">
        <v>3.6</v>
      </c>
      <c r="V6" s="70">
        <v>2.5000000000000001E-2</v>
      </c>
      <c r="W6" s="70">
        <v>0.1</v>
      </c>
      <c r="X6" s="1040"/>
      <c r="Y6" s="71">
        <f>N6</f>
        <v>0.72</v>
      </c>
      <c r="Z6" s="72"/>
      <c r="AA6" s="66"/>
      <c r="AB6" s="66"/>
      <c r="AC6" s="1040"/>
      <c r="AD6" s="73"/>
      <c r="AE6" s="1041">
        <f ca="1">IF(AN6="",0,SUMIF(INDIRECT("'"&amp;AN6&amp;"'"&amp;"!E:E"),$AE$5,INDIRECT("'"&amp;AN6&amp;"'"&amp;"!F:F")))</f>
        <v>25.57</v>
      </c>
      <c r="AF6" s="1347"/>
      <c r="AG6" s="138">
        <f>IF(AF6="",0,AE6-AF6)</f>
        <v>0</v>
      </c>
      <c r="AH6" s="74"/>
      <c r="AI6" s="76">
        <v>365</v>
      </c>
      <c r="AJ6" s="77"/>
      <c r="AK6" s="78">
        <v>0.01</v>
      </c>
      <c r="AL6" s="79">
        <v>1E-3</v>
      </c>
      <c r="AM6" s="80">
        <v>0.01</v>
      </c>
      <c r="AN6" s="1714" t="s">
        <v>3387</v>
      </c>
      <c r="AO6" s="52">
        <f ca="1">SUMIF(INDIRECT("'"&amp;AN6&amp;"'"&amp;"!A:A"),"总价",INDIRECT("'"&amp;AN6&amp;"'"&amp;"!B:B"))</f>
        <v>1998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0.78100000000000003</v>
      </c>
      <c r="H16" s="90">
        <f>ROUND(SUMPRODUCT(H6:H13,K6:K13)/SUMPRODUCT((H6:H13&gt;0)*(K6:K13)),3)</f>
        <v>0.05</v>
      </c>
      <c r="I16" s="91"/>
      <c r="J16" s="91"/>
      <c r="K16" s="92">
        <f>SUM(K6:K15)</f>
        <v>1216.8699999999999</v>
      </c>
      <c r="L16" s="93">
        <f>ROUND(M16*10000/SUM(K6:K14),0)</f>
        <v>2999</v>
      </c>
      <c r="M16" s="93">
        <f>SUM(M6:M14)</f>
        <v>365</v>
      </c>
      <c r="N16" s="94">
        <f>ROUND(SUMPRODUCT(M6:M14,N6:N14)/M16,3)</f>
        <v>0.72</v>
      </c>
      <c r="O16" s="93">
        <f>SUM(O6:O14)</f>
        <v>0</v>
      </c>
      <c r="P16" s="93">
        <f>SUM(P6:P14)</f>
        <v>0</v>
      </c>
      <c r="Q16" s="95">
        <f>ROUND(SUMPRODUCT(Q6:Q13,K6:K13)/SUMPRODUCT((Q6:Q13&gt;0)*(K6:K13)),2)</f>
        <v>0.15</v>
      </c>
      <c r="R16" s="1034">
        <f ca="1">SUM(R6:R13)</f>
        <v>527.48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2305</v>
      </c>
      <c r="D19" s="2674"/>
      <c r="E19" s="2671"/>
      <c r="F19" s="2671"/>
      <c r="G19" s="2671"/>
      <c r="H19" s="2671"/>
      <c r="I19" s="2671"/>
      <c r="J19" s="2671"/>
      <c r="K19" s="2670"/>
      <c r="L19" s="2670"/>
      <c r="M19" s="2669"/>
      <c r="N19" s="2669">
        <v>2007</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2303</v>
      </c>
      <c r="D20" s="2674"/>
      <c r="E20" s="2671"/>
      <c r="F20" s="2671"/>
      <c r="G20" s="2671"/>
      <c r="H20" s="2671"/>
      <c r="I20" s="2671"/>
      <c r="J20" s="2671"/>
      <c r="K20" s="2670"/>
      <c r="L20" s="2670"/>
      <c r="M20" s="2669"/>
      <c r="N20" s="2669">
        <f>ROUND(1-(1-2%)*(2023-N19)/50,2)</f>
        <v>0.69</v>
      </c>
      <c r="O20" s="2669"/>
      <c r="P20" s="2669"/>
      <c r="Q20" s="2669"/>
      <c r="R20" s="2669"/>
      <c r="S20" s="2669"/>
      <c r="T20" s="2669"/>
      <c r="U20" s="2669">
        <v>1</v>
      </c>
      <c r="V20" s="2669">
        <v>360.49</v>
      </c>
      <c r="W20" s="2669">
        <v>5</v>
      </c>
      <c r="X20" s="2669">
        <f>V20*W20</f>
        <v>1802.45</v>
      </c>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f>B20</f>
        <v>2</v>
      </c>
      <c r="C21" s="2671"/>
      <c r="D21" s="2674"/>
      <c r="E21" s="2671"/>
      <c r="F21" s="2671"/>
      <c r="G21" s="2671"/>
      <c r="H21" s="2671"/>
      <c r="I21" s="2671"/>
      <c r="J21" s="2671"/>
      <c r="K21" s="2670"/>
      <c r="L21" s="2670"/>
      <c r="M21" s="2669"/>
      <c r="N21" s="2669">
        <v>0.75</v>
      </c>
      <c r="O21" s="2669"/>
      <c r="P21" s="2669"/>
      <c r="Q21" s="2669"/>
      <c r="R21" s="2669"/>
      <c r="S21" s="2669"/>
      <c r="T21" s="2669"/>
      <c r="U21" s="2669">
        <v>2</v>
      </c>
      <c r="V21" s="2669">
        <v>210.66</v>
      </c>
      <c r="W21" s="2669">
        <v>3</v>
      </c>
      <c r="X21" s="2669">
        <f t="shared" ref="X21:X23" si="12">V21*W21</f>
        <v>631.98</v>
      </c>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f>(N20+N21)/2</f>
        <v>0.72</v>
      </c>
      <c r="O22" s="2669"/>
      <c r="P22" s="2669"/>
      <c r="Q22" s="2669"/>
      <c r="R22" s="2669"/>
      <c r="S22" s="2669"/>
      <c r="T22" s="2669"/>
      <c r="U22" s="2669">
        <v>3</v>
      </c>
      <c r="V22" s="2669">
        <v>322.86</v>
      </c>
      <c r="W22" s="2669">
        <v>3</v>
      </c>
      <c r="X22" s="2669">
        <f t="shared" si="12"/>
        <v>968.58</v>
      </c>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v>4</v>
      </c>
      <c r="V23" s="2669">
        <v>322.86</v>
      </c>
      <c r="W23" s="2669">
        <v>3</v>
      </c>
      <c r="X23" s="2669">
        <f t="shared" si="12"/>
        <v>968.58</v>
      </c>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f>V20+V21+V22+V23</f>
        <v>1216.8699999999999</v>
      </c>
      <c r="W24" s="2669">
        <f>X24/V24</f>
        <v>3.5924872829472339</v>
      </c>
      <c r="X24" s="2669">
        <f t="shared" ref="X24" si="13">X20+X21+X22+X23</f>
        <v>4371.59</v>
      </c>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8"/>
      <c r="D28" s="2677" t="s">
        <v>3637</v>
      </c>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ROUND(B28*K16/10000,0)</f>
        <v>24</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8">
        <f ca="1">IF(A40="利息：取LPR",存贷款利率!G1,存贷款利率!G1+C40)</f>
        <v>3.5499999999999997E-2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60" t="s">
        <v>2286</v>
      </c>
      <c r="B1" s="3561"/>
      <c r="C1" s="3561"/>
      <c r="D1" s="3561"/>
      <c r="E1" s="3561"/>
      <c r="F1" s="3561"/>
      <c r="G1" s="356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2"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32" sqref="L32"/>
    </sheetView>
  </sheetViews>
  <sheetFormatPr defaultColWidth="9" defaultRowHeight="13.5"/>
  <cols>
    <col min="1" max="1" width="25" style="2511" customWidth="1"/>
    <col min="2" max="9" width="15.75" style="2511" customWidth="1"/>
    <col min="10" max="16384" width="9" style="2511"/>
  </cols>
  <sheetData>
    <row r="1" spans="1:11">
      <c r="A1" s="2510" t="s">
        <v>665</v>
      </c>
      <c r="B1" s="2510">
        <f>SUM(B14:B23)</f>
        <v>1216.8699999999999</v>
      </c>
      <c r="C1" s="2684"/>
      <c r="D1" s="2684"/>
      <c r="E1" s="2684"/>
      <c r="F1" s="2684"/>
      <c r="G1" s="2685"/>
      <c r="H1" s="2686"/>
      <c r="I1" s="2686"/>
      <c r="J1" s="2686"/>
      <c r="K1" s="2686"/>
    </row>
    <row r="2" spans="1:11">
      <c r="A2" s="2510" t="s">
        <v>653</v>
      </c>
      <c r="B2" s="2510">
        <f>SUM(C14:C23)</f>
        <v>527.48</v>
      </c>
      <c r="C2" s="2684"/>
      <c r="D2" s="2684"/>
      <c r="E2" s="2684"/>
      <c r="F2" s="2684"/>
      <c r="G2" s="2685"/>
      <c r="H2" s="2686"/>
      <c r="I2" s="2686"/>
      <c r="J2" s="2686"/>
      <c r="K2" s="2686"/>
    </row>
    <row r="3" spans="1:11">
      <c r="A3" s="2510" t="s">
        <v>662</v>
      </c>
      <c r="B3" s="2512">
        <f>项目基本情况!D3</f>
        <v>45127</v>
      </c>
      <c r="C3" s="2684"/>
      <c r="D3" s="2684"/>
      <c r="E3" s="2684"/>
      <c r="F3" s="2684"/>
      <c r="G3" s="2685"/>
      <c r="H3" s="2686"/>
      <c r="I3" s="2686"/>
      <c r="J3" s="2686"/>
      <c r="K3" s="2686"/>
    </row>
    <row r="4" spans="1:11" ht="27">
      <c r="A4" s="2510" t="s">
        <v>661</v>
      </c>
      <c r="B4" s="2510" t="s">
        <v>660</v>
      </c>
      <c r="C4" s="2510" t="s">
        <v>659</v>
      </c>
      <c r="D4" s="2510" t="s">
        <v>658</v>
      </c>
      <c r="E4" s="2684"/>
      <c r="F4" s="2685"/>
      <c r="G4" s="2685"/>
      <c r="H4" s="2686"/>
      <c r="I4" s="2686"/>
      <c r="J4" s="2686"/>
      <c r="K4" s="2686"/>
    </row>
    <row r="5" spans="1:11">
      <c r="A5" s="2510" t="s">
        <v>657</v>
      </c>
      <c r="B5" s="2510">
        <f ca="1">SUM(D14:D23)</f>
        <v>2133</v>
      </c>
      <c r="C5" s="2510">
        <f ca="1">IF(B5=D14,结果表!H102,ROUND(B5*10000/$B$1,0))</f>
        <v>17529</v>
      </c>
      <c r="D5" s="2510">
        <f ca="1">ROUND(B5*10000/$B$2,0)</f>
        <v>40438</v>
      </c>
      <c r="E5" s="2684"/>
      <c r="F5" s="2685"/>
      <c r="G5" s="2685"/>
      <c r="H5" s="2686"/>
      <c r="I5" s="2686"/>
      <c r="J5" s="2686"/>
      <c r="K5" s="2686"/>
    </row>
    <row r="6" spans="1:11">
      <c r="A6" s="2510" t="s">
        <v>656</v>
      </c>
      <c r="B6" s="2510">
        <f>SUM(G14:G23)</f>
        <v>0</v>
      </c>
      <c r="C6" s="2510">
        <f ca="1">IF(B6=G14,结果表!H108,ROUND(B6*10000/$B$1,0))</f>
        <v>17529</v>
      </c>
      <c r="D6" s="2510">
        <f>ROUND(B6*10000/$B$2,0)</f>
        <v>0</v>
      </c>
      <c r="E6" s="2684"/>
      <c r="F6" s="2685"/>
      <c r="G6" s="2685"/>
      <c r="H6" s="2686"/>
      <c r="I6" s="2686"/>
      <c r="J6" s="2686"/>
      <c r="K6" s="2686"/>
    </row>
    <row r="7" spans="1:11">
      <c r="A7" s="2510" t="s">
        <v>664</v>
      </c>
      <c r="B7" s="2510">
        <f>SUM(H14:H23)</f>
        <v>0</v>
      </c>
      <c r="C7" s="2510" t="str">
        <f>IF(B7=H14,结果表!H110,ROUND(B7*10000/$B$1,0))</f>
        <v>——</v>
      </c>
      <c r="D7" s="2510">
        <f>ROUND(B7*10000/$B$2,0)</f>
        <v>0</v>
      </c>
      <c r="E7" s="2684"/>
      <c r="F7" s="2685"/>
      <c r="G7" s="2685"/>
      <c r="H7" s="2686"/>
      <c r="I7" s="2686"/>
      <c r="J7" s="2686"/>
      <c r="K7" s="2686"/>
    </row>
    <row r="8" spans="1:11">
      <c r="A8" s="2510" t="s">
        <v>587</v>
      </c>
      <c r="B8" s="2510">
        <f>SUM(I14:I23)</f>
        <v>0</v>
      </c>
      <c r="C8" s="2510" t="str">
        <f>IF(B8=I14,结果表!H112,ROUND(B8*10000/$B$1,0))</f>
        <v>——</v>
      </c>
      <c r="D8" s="2510">
        <f>ROUND(B8*10000/$B$2,0)</f>
        <v>0</v>
      </c>
      <c r="E8" s="2684"/>
      <c r="F8" s="2685"/>
      <c r="G8" s="2685"/>
      <c r="H8" s="2686"/>
      <c r="I8" s="2686"/>
      <c r="J8" s="2686"/>
      <c r="K8" s="2686"/>
    </row>
    <row r="9" spans="1:11">
      <c r="A9" s="2510" t="s">
        <v>655</v>
      </c>
      <c r="B9" s="2518"/>
      <c r="C9" s="2684"/>
      <c r="D9" s="2684"/>
      <c r="E9" s="2684"/>
      <c r="F9" s="2685"/>
      <c r="G9" s="2685"/>
      <c r="H9" s="2686"/>
      <c r="I9" s="2686"/>
      <c r="J9" s="2686"/>
      <c r="K9" s="2686"/>
    </row>
    <row r="10" spans="1:11">
      <c r="A10" s="2510" t="s">
        <v>654</v>
      </c>
      <c r="B10" s="2510">
        <f>IF(E10="",0,ROUND(B1*(E10*365/G10)/10000,0))</f>
        <v>0</v>
      </c>
      <c r="C10" s="2510" t="s">
        <v>3361</v>
      </c>
      <c r="D10" s="2510" t="s">
        <v>3362</v>
      </c>
      <c r="E10" s="3439"/>
      <c r="F10" s="3443" t="s">
        <v>3363</v>
      </c>
      <c r="G10" s="3440"/>
      <c r="H10" s="2686"/>
      <c r="I10" s="2686"/>
      <c r="J10" s="2686"/>
      <c r="K10" s="2686"/>
    </row>
    <row r="11" spans="1:11">
      <c r="A11" s="2510" t="s">
        <v>670</v>
      </c>
      <c r="B11" s="2518"/>
      <c r="C11" s="2684"/>
      <c r="D11" s="2684"/>
      <c r="E11" s="2684"/>
      <c r="F11" s="2685"/>
      <c r="G11" s="2685"/>
      <c r="H11" s="2686"/>
      <c r="I11" s="2686"/>
      <c r="J11" s="2686"/>
      <c r="K11" s="2686"/>
    </row>
    <row r="12" spans="1:11">
      <c r="A12" s="2684"/>
      <c r="B12" s="2684"/>
      <c r="C12" s="2684"/>
      <c r="D12" s="2684"/>
      <c r="E12" s="2684"/>
      <c r="F12" s="2685"/>
      <c r="G12" s="2685"/>
      <c r="H12" s="2686"/>
      <c r="I12" s="2686"/>
      <c r="J12" s="2686"/>
      <c r="K12" s="2686"/>
    </row>
    <row r="13" spans="1:11" ht="27">
      <c r="A13" s="2513" t="s">
        <v>669</v>
      </c>
      <c r="B13" s="2514" t="s">
        <v>666</v>
      </c>
      <c r="C13" s="2514" t="s">
        <v>668</v>
      </c>
      <c r="D13" s="2514" t="s">
        <v>667</v>
      </c>
      <c r="E13" s="2510" t="s">
        <v>659</v>
      </c>
      <c r="F13" s="2510" t="s">
        <v>658</v>
      </c>
      <c r="G13" s="2514" t="s">
        <v>652</v>
      </c>
      <c r="H13" s="2514" t="s">
        <v>663</v>
      </c>
      <c r="I13" s="2514" t="s">
        <v>651</v>
      </c>
      <c r="J13" s="2685"/>
      <c r="K13" s="2686"/>
    </row>
    <row r="14" spans="1:11">
      <c r="A14" s="2515" t="s">
        <v>650</v>
      </c>
      <c r="B14" s="2516">
        <f>结果表!B118</f>
        <v>1216.8699999999999</v>
      </c>
      <c r="C14" s="2516">
        <f>结果表!C118</f>
        <v>527.48</v>
      </c>
      <c r="D14" s="2516">
        <f ca="1">结果表!H118</f>
        <v>2133</v>
      </c>
      <c r="E14" s="2516">
        <f ca="1">ROUND(D14*10000/B14,0)</f>
        <v>17529</v>
      </c>
      <c r="F14" s="2516">
        <f ca="1">ROUND(D14*10000/C14,0)</f>
        <v>40438</v>
      </c>
      <c r="G14" s="2516"/>
      <c r="H14" s="2516"/>
      <c r="I14" s="2516"/>
      <c r="J14" s="2685"/>
      <c r="K14" s="2686"/>
    </row>
    <row r="15" spans="1:11">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c r="A16" s="2515" t="s">
        <v>648</v>
      </c>
      <c r="B16" s="2517"/>
      <c r="C16" s="2517"/>
      <c r="D16" s="2517"/>
      <c r="E16" s="2516" t="e">
        <f t="shared" si="0"/>
        <v>#DIV/0!</v>
      </c>
      <c r="F16" s="2516" t="e">
        <f t="shared" si="1"/>
        <v>#DIV/0!</v>
      </c>
      <c r="G16" s="1330"/>
      <c r="H16" s="1330"/>
      <c r="I16" s="2517"/>
      <c r="J16" s="2686"/>
      <c r="K16" s="2686"/>
    </row>
    <row r="17" spans="1:11">
      <c r="A17" s="2515" t="s">
        <v>647</v>
      </c>
      <c r="B17" s="2517"/>
      <c r="C17" s="2517"/>
      <c r="D17" s="2517"/>
      <c r="E17" s="2516" t="e">
        <f t="shared" si="0"/>
        <v>#DIV/0!</v>
      </c>
      <c r="F17" s="2516" t="e">
        <f t="shared" si="1"/>
        <v>#DIV/0!</v>
      </c>
      <c r="G17" s="1330"/>
      <c r="H17" s="1330"/>
      <c r="I17" s="2517"/>
      <c r="J17" s="2686"/>
      <c r="K17" s="2686"/>
    </row>
    <row r="18" spans="1:11">
      <c r="A18" s="2515" t="s">
        <v>646</v>
      </c>
      <c r="B18" s="2517"/>
      <c r="C18" s="2517"/>
      <c r="D18" s="2517"/>
      <c r="E18" s="2516" t="e">
        <f t="shared" si="0"/>
        <v>#DIV/0!</v>
      </c>
      <c r="F18" s="2516" t="e">
        <f t="shared" si="1"/>
        <v>#DIV/0!</v>
      </c>
      <c r="G18" s="2517"/>
      <c r="H18" s="2517"/>
      <c r="I18" s="2517"/>
      <c r="J18" s="2686"/>
      <c r="K18" s="2686"/>
    </row>
    <row r="19" spans="1:11">
      <c r="A19" s="2515" t="s">
        <v>645</v>
      </c>
      <c r="B19" s="2517"/>
      <c r="C19" s="2517"/>
      <c r="D19" s="2517"/>
      <c r="E19" s="2516" t="e">
        <f t="shared" si="0"/>
        <v>#DIV/0!</v>
      </c>
      <c r="F19" s="2516" t="e">
        <f t="shared" si="1"/>
        <v>#DIV/0!</v>
      </c>
      <c r="G19" s="2517"/>
      <c r="H19" s="2517"/>
      <c r="I19" s="2517"/>
      <c r="J19" s="2686"/>
      <c r="K19" s="2686"/>
    </row>
    <row r="20" spans="1:11">
      <c r="A20" s="2515" t="s">
        <v>644</v>
      </c>
      <c r="B20" s="2517"/>
      <c r="C20" s="2517"/>
      <c r="D20" s="2517"/>
      <c r="E20" s="2516" t="e">
        <f t="shared" si="0"/>
        <v>#DIV/0!</v>
      </c>
      <c r="F20" s="2516" t="e">
        <f t="shared" si="1"/>
        <v>#DIV/0!</v>
      </c>
      <c r="G20" s="2517"/>
      <c r="H20" s="2517"/>
      <c r="I20" s="2517"/>
      <c r="J20" s="2686"/>
      <c r="K20" s="2686"/>
    </row>
    <row r="21" spans="1:11">
      <c r="A21" s="2515" t="s">
        <v>643</v>
      </c>
      <c r="B21" s="2517"/>
      <c r="C21" s="2517"/>
      <c r="D21" s="2517"/>
      <c r="E21" s="2516" t="e">
        <f t="shared" si="0"/>
        <v>#DIV/0!</v>
      </c>
      <c r="F21" s="2516" t="e">
        <f t="shared" si="1"/>
        <v>#DIV/0!</v>
      </c>
      <c r="G21" s="2517"/>
      <c r="H21" s="2517"/>
      <c r="I21" s="2517"/>
      <c r="J21" s="2686"/>
      <c r="K21" s="2686"/>
    </row>
    <row r="22" spans="1:11">
      <c r="A22" s="2515" t="s">
        <v>642</v>
      </c>
      <c r="B22" s="2517"/>
      <c r="C22" s="2517"/>
      <c r="D22" s="2517"/>
      <c r="E22" s="2516" t="e">
        <f t="shared" si="0"/>
        <v>#DIV/0!</v>
      </c>
      <c r="F22" s="2516" t="e">
        <f t="shared" si="1"/>
        <v>#DIV/0!</v>
      </c>
      <c r="G22" s="2517"/>
      <c r="H22" s="2517"/>
      <c r="I22" s="2517"/>
      <c r="J22" s="2686"/>
      <c r="K22" s="2686"/>
    </row>
    <row r="23" spans="1:11">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27" sqref="H2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6" t="str">
        <f>项目基本情况!S2</f>
        <v>北京市房地产</v>
      </c>
      <c r="B2" s="3597"/>
      <c r="C2" s="3597"/>
      <c r="D2" s="3597"/>
      <c r="E2" s="3597"/>
      <c r="F2" s="3597"/>
      <c r="G2" s="3597"/>
      <c r="H2" s="3597"/>
      <c r="I2" s="3598"/>
    </row>
    <row r="3" spans="1:12" ht="12.75">
      <c r="A3" s="3600" t="s">
        <v>1264</v>
      </c>
      <c r="B3" s="3601"/>
      <c r="C3" s="3601"/>
      <c r="D3" s="3601"/>
      <c r="E3" s="3601"/>
      <c r="F3" s="3601"/>
      <c r="G3" s="3601"/>
      <c r="H3" s="3601"/>
      <c r="I3" s="3601"/>
    </row>
    <row r="4" spans="1:12" ht="14.25">
      <c r="A4" s="1753" t="s">
        <v>1265</v>
      </c>
      <c r="B4" s="1754" t="s">
        <v>1266</v>
      </c>
      <c r="C4" s="1755" t="s">
        <v>3626</v>
      </c>
      <c r="D4" s="1755" t="s">
        <v>3409</v>
      </c>
      <c r="E4" s="3602" t="s">
        <v>1267</v>
      </c>
      <c r="F4" s="3603"/>
      <c r="G4" s="3603"/>
      <c r="H4" s="3603"/>
      <c r="I4" s="360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6" t="s">
        <v>1268</v>
      </c>
      <c r="B5" s="3563">
        <v>25</v>
      </c>
      <c r="C5" s="3579"/>
      <c r="D5" s="3599"/>
      <c r="E5" s="131" t="s">
        <v>1269</v>
      </c>
      <c r="F5" s="1756"/>
      <c r="G5" s="1756"/>
      <c r="H5" s="1756"/>
      <c r="I5" s="1372"/>
    </row>
    <row r="6" spans="1:12" ht="12.75">
      <c r="A6" s="3576"/>
      <c r="B6" s="3563"/>
      <c r="C6" s="3580"/>
      <c r="D6" s="3599"/>
      <c r="E6" s="131" t="s">
        <v>1270</v>
      </c>
      <c r="F6" s="1756"/>
      <c r="G6" s="1756"/>
      <c r="H6" s="1756"/>
      <c r="I6" s="1372"/>
    </row>
    <row r="7" spans="1:12" ht="12.75">
      <c r="A7" s="3576"/>
      <c r="B7" s="3563"/>
      <c r="C7" s="3581"/>
      <c r="D7" s="3599"/>
      <c r="E7" s="131" t="s">
        <v>1271</v>
      </c>
      <c r="F7" s="1756"/>
      <c r="G7" s="1756"/>
      <c r="H7" s="1756"/>
      <c r="I7" s="1372"/>
    </row>
    <row r="8" spans="1:12" ht="12.75">
      <c r="A8" s="3576" t="s">
        <v>1272</v>
      </c>
      <c r="B8" s="3563">
        <v>15</v>
      </c>
      <c r="C8" s="3579"/>
      <c r="D8" s="3599"/>
      <c r="E8" s="131" t="s">
        <v>1273</v>
      </c>
      <c r="F8" s="1756"/>
      <c r="G8" s="1756"/>
      <c r="H8" s="1756"/>
      <c r="I8" s="1372"/>
    </row>
    <row r="9" spans="1:12" ht="12.75">
      <c r="A9" s="3576"/>
      <c r="B9" s="3563"/>
      <c r="C9" s="3581"/>
      <c r="D9" s="3599"/>
      <c r="E9" s="131" t="s">
        <v>1274</v>
      </c>
      <c r="F9" s="1756"/>
      <c r="G9" s="1756"/>
      <c r="H9" s="1756"/>
      <c r="I9" s="1372"/>
    </row>
    <row r="10" spans="1:12" ht="12.75">
      <c r="A10" s="3576" t="s">
        <v>1275</v>
      </c>
      <c r="B10" s="3563">
        <v>15</v>
      </c>
      <c r="C10" s="3579"/>
      <c r="D10" s="3599"/>
      <c r="E10" s="131" t="s">
        <v>1276</v>
      </c>
      <c r="F10" s="1756"/>
      <c r="G10" s="1756"/>
      <c r="H10" s="1756"/>
      <c r="I10" s="1372"/>
    </row>
    <row r="11" spans="1:12" ht="12.75">
      <c r="A11" s="3576"/>
      <c r="B11" s="3563"/>
      <c r="C11" s="3581"/>
      <c r="D11" s="3599"/>
      <c r="E11" s="131" t="s">
        <v>1277</v>
      </c>
      <c r="F11" s="1756"/>
      <c r="G11" s="1756"/>
      <c r="H11" s="1756"/>
      <c r="I11" s="1372"/>
    </row>
    <row r="12" spans="1:12" ht="12.75">
      <c r="A12" s="3576" t="s">
        <v>1278</v>
      </c>
      <c r="B12" s="3563">
        <v>15</v>
      </c>
      <c r="C12" s="3579"/>
      <c r="D12" s="3599"/>
      <c r="E12" s="131" t="s">
        <v>1279</v>
      </c>
      <c r="F12" s="1756"/>
      <c r="G12" s="1756"/>
      <c r="H12" s="1756"/>
      <c r="I12" s="1372"/>
    </row>
    <row r="13" spans="1:12" ht="12.75">
      <c r="A13" s="3576"/>
      <c r="B13" s="3563"/>
      <c r="C13" s="3581"/>
      <c r="D13" s="3599"/>
      <c r="E13" s="131" t="s">
        <v>1280</v>
      </c>
      <c r="F13" s="1756"/>
      <c r="G13" s="1756"/>
      <c r="H13" s="1756"/>
      <c r="I13" s="1372"/>
    </row>
    <row r="14" spans="1:12" ht="12.75">
      <c r="A14" s="3576" t="s">
        <v>1281</v>
      </c>
      <c r="B14" s="3563">
        <v>30</v>
      </c>
      <c r="C14" s="3579">
        <v>7</v>
      </c>
      <c r="D14" s="3599">
        <v>3</v>
      </c>
      <c r="E14" s="131" t="s">
        <v>1282</v>
      </c>
      <c r="F14" s="1756"/>
      <c r="G14" s="1756"/>
      <c r="H14" s="1756"/>
      <c r="I14" s="1372"/>
    </row>
    <row r="15" spans="1:12" ht="12.75">
      <c r="A15" s="3576"/>
      <c r="B15" s="3563"/>
      <c r="C15" s="3580"/>
      <c r="D15" s="3599"/>
      <c r="E15" s="131" t="s">
        <v>1283</v>
      </c>
      <c r="F15" s="1756"/>
      <c r="G15" s="1756"/>
      <c r="H15" s="1756"/>
      <c r="I15" s="1372"/>
    </row>
    <row r="16" spans="1:12" ht="12.75">
      <c r="A16" s="3576"/>
      <c r="B16" s="3563"/>
      <c r="C16" s="3581"/>
      <c r="D16" s="3599"/>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86" t="s">
        <v>2131</v>
      </c>
      <c r="F18" s="3587"/>
      <c r="G18" s="3587"/>
      <c r="H18" s="3587"/>
      <c r="I18" s="3587"/>
      <c r="K18" s="302" t="s">
        <v>1289</v>
      </c>
      <c r="L18" s="302">
        <f>IF(C1="",'数据-汇总表'!E3,SUMIF(项目类型,C1,'数据-汇总表'!E17:E26)+SUMIF(项目类型,C1,'数据-汇总表'!I17:I26))</f>
        <v>1216.8699999999999</v>
      </c>
      <c r="M18" s="302">
        <f>IF(C1="",'数据-汇总表'!E3,SUMIF(项目类型,C1,'数据-汇总表'!E17:E26))</f>
        <v>1216.8699999999999</v>
      </c>
    </row>
    <row r="19" spans="1:36" ht="15">
      <c r="A19" s="1760" t="s">
        <v>1290</v>
      </c>
      <c r="B19" s="1761" t="s">
        <v>1291</v>
      </c>
      <c r="C19" s="134">
        <f ca="1">SUMIF(INDIRECT("'"&amp;C4&amp;"'"&amp;"!A:A"),结果表!B19,INDIRECT("'"&amp;C4&amp;"'"&amp;"!B:B"))</f>
        <v>2330</v>
      </c>
      <c r="D19" s="135">
        <f ca="1">SUMIF(INDIRECT("'"&amp;D4&amp;"'"&amp;"!A:A"),结果表!B19,INDIRECT("'"&amp;D4&amp;"'"&amp;"!B:B"))</f>
        <v>1673</v>
      </c>
      <c r="E19" s="1760" t="s">
        <v>1292</v>
      </c>
      <c r="F19" s="1761" t="s">
        <v>1291</v>
      </c>
      <c r="G19" s="136">
        <f ca="1">ROUND(C19*$C$18+D19*$D$18,0)</f>
        <v>2133</v>
      </c>
      <c r="H19" s="1762" t="s">
        <v>1293</v>
      </c>
      <c r="I19" s="129"/>
      <c r="K19" s="302" t="s">
        <v>1294</v>
      </c>
      <c r="L19" s="302">
        <f>IF(C1="",'数据-汇总表'!D3,SUMIF(项目类型,C1,'数据-汇总表'!D17:D26)+SUMIF(项目类型,C1,'数据-汇总表'!H17:H27))</f>
        <v>527.48</v>
      </c>
      <c r="M19" s="302">
        <f>IF(C1="",'数据-汇总表'!D3,SUMIF(项目类型,C1,'数据-汇总表'!D17:D26))</f>
        <v>527.48</v>
      </c>
    </row>
    <row r="20" spans="1:36" ht="15">
      <c r="A20" s="1763"/>
      <c r="B20" s="1026" t="s">
        <v>1295</v>
      </c>
      <c r="C20" s="137">
        <f ca="1">SUMIF(INDIRECT("'"&amp;C4&amp;"'"&amp;"!A:A"),结果表!B20,INDIRECT("'"&amp;C4&amp;"'"&amp;"!B:B"))</f>
        <v>19144</v>
      </c>
      <c r="D20" s="138">
        <f ca="1">SUMIF(INDIRECT("'"&amp;D4&amp;"'"&amp;"!A:A"),结果表!B20,INDIRECT("'"&amp;D4&amp;"'"&amp;"!B:B"))</f>
        <v>13748</v>
      </c>
      <c r="E20" s="1763"/>
      <c r="F20" s="1026" t="s">
        <v>1295</v>
      </c>
      <c r="G20" s="139">
        <f ca="1">ROUND(C20*$C$18+D20*$D$18,0)</f>
        <v>17525</v>
      </c>
      <c r="H20" s="808" t="s">
        <v>1296</v>
      </c>
      <c r="I20" s="129"/>
    </row>
    <row r="21" spans="1:36" ht="15" customHeight="1" thickBot="1">
      <c r="A21" s="828"/>
      <c r="B21" s="1764" t="s">
        <v>1297</v>
      </c>
      <c r="C21" s="719">
        <f ca="1">ROUND(C19*10000/L19,0)</f>
        <v>44172</v>
      </c>
      <c r="D21" s="720">
        <f ca="1">ROUND(D19*10000/L19,0)</f>
        <v>31717</v>
      </c>
      <c r="E21" s="828"/>
      <c r="F21" s="1764" t="s">
        <v>1297</v>
      </c>
      <c r="G21" s="140">
        <f ca="1">ROUND(G19*10000/L19,0)</f>
        <v>40438</v>
      </c>
      <c r="H21" s="1765" t="s">
        <v>1296</v>
      </c>
      <c r="I21" s="129"/>
    </row>
    <row r="22" spans="1:36" ht="15" thickBot="1">
      <c r="A22" s="1687" t="s">
        <v>1298</v>
      </c>
      <c r="B22" s="1766"/>
      <c r="C22" s="1767"/>
      <c r="D22" s="721">
        <f ca="1">IF(C19&lt;D19,D19/C19-1,C19/D19-1)</f>
        <v>0.3927077106993424</v>
      </c>
      <c r="E22" s="129"/>
      <c r="F22" s="129"/>
      <c r="G22" s="129"/>
      <c r="H22" s="129"/>
      <c r="I22" s="129"/>
      <c r="K22" s="725">
        <v>2415</v>
      </c>
    </row>
    <row r="23" spans="1:36" ht="13.5" thickBot="1">
      <c r="A23" s="1746"/>
      <c r="B23" s="1746"/>
      <c r="C23" s="1746"/>
      <c r="D23" s="1746"/>
      <c r="E23" s="129"/>
      <c r="F23" s="129"/>
      <c r="G23" s="129"/>
      <c r="H23" s="129"/>
      <c r="I23" s="129"/>
      <c r="K23" s="725">
        <f>K22/L18*10000</f>
        <v>19845.998340003451</v>
      </c>
    </row>
    <row r="24" spans="1:36" ht="14.25">
      <c r="A24" s="3570" t="s">
        <v>1299</v>
      </c>
      <c r="B24" s="1761" t="s">
        <v>1291</v>
      </c>
      <c r="C24" s="136">
        <f>IF(B30=0,0,D30)</f>
        <v>0</v>
      </c>
      <c r="D24" s="1768"/>
      <c r="E24" s="129"/>
      <c r="F24" s="129"/>
      <c r="G24" s="129"/>
      <c r="H24" s="129"/>
      <c r="I24" s="129"/>
    </row>
    <row r="25" spans="1:36" ht="14.25">
      <c r="A25" s="3571"/>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2133</v>
      </c>
      <c r="D32" s="1774" t="s">
        <v>3410</v>
      </c>
      <c r="E32" s="129"/>
      <c r="F32" s="129"/>
      <c r="G32" s="129"/>
      <c r="H32" s="129"/>
      <c r="I32" s="129"/>
    </row>
    <row r="33" spans="1:15" ht="15">
      <c r="A33" s="786" t="s">
        <v>1306</v>
      </c>
      <c r="B33" s="1775"/>
      <c r="C33" s="1776" t="s">
        <v>3411</v>
      </c>
      <c r="D33" s="1777" t="s">
        <v>3409</v>
      </c>
      <c r="E33" s="1778" t="s">
        <v>1307</v>
      </c>
      <c r="F33" s="1779" t="str">
        <f>IF(D32="楼面单价","取值（单价）","取值（总价）")</f>
        <v>取值（总价）</v>
      </c>
      <c r="G33" s="129"/>
      <c r="H33" s="129"/>
      <c r="I33" s="129"/>
    </row>
    <row r="34" spans="1:15" ht="15">
      <c r="A34" s="1780"/>
      <c r="B34" s="1781" t="s">
        <v>1308</v>
      </c>
      <c r="C34" s="148">
        <f ca="1">IF(C33="自定义",F34,C32-C35)</f>
        <v>1647</v>
      </c>
      <c r="D34" s="861">
        <f ca="1">IF(C33="自定义",ROUND(C34/C32,3),IF(C33="收益比率",SUMIF(INDIRECT("'"&amp;D33&amp;"'"&amp;"!b:b"),"土地收益比率",INDIRECT("'"&amp;D33&amp;"'"&amp;"!c:c")),SUMIF(INDIRECT("'"&amp;D33&amp;"'"&amp;"!b:b"),"土地成本比率",INDIRECT("'"&amp;D33&amp;"'"&amp;"!c:c"))))</f>
        <v>0.77200000000000002</v>
      </c>
      <c r="E34" s="1782" t="s">
        <v>1309</v>
      </c>
      <c r="F34" s="1329"/>
      <c r="G34" s="129"/>
      <c r="H34" s="129"/>
      <c r="I34" s="129"/>
    </row>
    <row r="35" spans="1:15" ht="15.75" thickBot="1">
      <c r="A35" s="1783"/>
      <c r="B35" s="1784" t="s">
        <v>1310</v>
      </c>
      <c r="C35" s="1170">
        <f ca="1">IF(C33="自定义",F35,ROUND(C32*D35,0))</f>
        <v>486</v>
      </c>
      <c r="D35" s="1171">
        <f ca="1">IF(C33="自定义",ROUND(C35/C32,3),IF(C33="收益比率",SUMIF(INDIRECT("'"&amp;D33&amp;"'"&amp;"!b:b"),"建筑物收益比率",INDIRECT("'"&amp;D33&amp;"'"&amp;"!c:c")),SUMIF(INDIRECT("'"&amp;D33&amp;"'"&amp;"!b:b"),"建筑物成本比率",INDIRECT("'"&amp;D33&amp;"'"&amp;"!c:c"))))</f>
        <v>0.22800000000000001</v>
      </c>
      <c r="E35" s="1785" t="s">
        <v>1311</v>
      </c>
      <c r="F35" s="154"/>
      <c r="G35" s="129"/>
      <c r="H35" s="129"/>
      <c r="I35" s="129"/>
    </row>
    <row r="36" spans="1:15" ht="15.75" thickBot="1">
      <c r="A36" s="3590" t="s">
        <v>1312</v>
      </c>
      <c r="B36" s="1786" t="s">
        <v>1313</v>
      </c>
      <c r="C36" s="145"/>
      <c r="D36" s="1787"/>
      <c r="E36" s="1788"/>
      <c r="F36" s="1789"/>
      <c r="G36" s="129"/>
      <c r="H36" s="129"/>
      <c r="I36" s="129"/>
    </row>
    <row r="37" spans="1:15" ht="15.75" thickBot="1">
      <c r="A37" s="3591"/>
      <c r="B37" s="1673" t="s">
        <v>1314</v>
      </c>
      <c r="C37" s="147"/>
      <c r="D37" s="1139"/>
      <c r="E37" s="1139"/>
      <c r="F37" s="1789"/>
      <c r="G37" s="129"/>
      <c r="H37" s="129"/>
      <c r="I37" s="129"/>
    </row>
    <row r="38" spans="1:15" ht="15.75" thickBot="1">
      <c r="A38" s="3592"/>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7" t="s">
        <v>1326</v>
      </c>
      <c r="B45" s="3568"/>
      <c r="C45" s="3569"/>
      <c r="D45" s="155">
        <f ca="1">ROUND(H101*F45,0)</f>
        <v>2133</v>
      </c>
      <c r="E45" s="156" t="s">
        <v>1327</v>
      </c>
      <c r="F45" s="157">
        <v>1</v>
      </c>
      <c r="G45" s="158" t="s">
        <v>1328</v>
      </c>
      <c r="H45" s="129"/>
      <c r="I45" s="129"/>
      <c r="J45" s="3645" t="s">
        <v>1329</v>
      </c>
      <c r="K45" s="3645"/>
      <c r="L45" s="3645"/>
      <c r="M45" s="3645"/>
      <c r="N45" s="3645"/>
      <c r="O45" s="3645"/>
    </row>
    <row r="46" spans="1:15" ht="14.25" customHeight="1">
      <c r="A46" s="3564" t="s">
        <v>1330</v>
      </c>
      <c r="B46" s="3565"/>
      <c r="C46" s="3565"/>
      <c r="D46" s="3565"/>
      <c r="E46" s="3565"/>
      <c r="F46" s="3565"/>
      <c r="G46" s="3566"/>
      <c r="H46" s="1805"/>
      <c r="I46" s="159"/>
      <c r="J46" s="2521">
        <v>1</v>
      </c>
      <c r="K46" s="3626" t="s">
        <v>1331</v>
      </c>
      <c r="L46" s="3626"/>
      <c r="M46" s="3646"/>
      <c r="N46" s="3646"/>
      <c r="O46" s="3646"/>
    </row>
    <row r="47" spans="1:15" ht="12" customHeight="1">
      <c r="A47" s="160" t="s">
        <v>1332</v>
      </c>
      <c r="B47" s="161"/>
      <c r="C47" s="162"/>
      <c r="D47" s="1087" t="s">
        <v>1333</v>
      </c>
      <c r="E47" s="302" t="s">
        <v>1334</v>
      </c>
      <c r="F47" s="163" t="s">
        <v>1335</v>
      </c>
      <c r="G47" s="2544" t="s">
        <v>1336</v>
      </c>
      <c r="H47" s="2545"/>
      <c r="I47" s="159"/>
      <c r="J47" s="2521">
        <v>2</v>
      </c>
      <c r="K47" s="3626" t="s">
        <v>1337</v>
      </c>
      <c r="L47" s="3626"/>
      <c r="M47" s="3647">
        <f>'数据-取费表'!B2</f>
        <v>45127</v>
      </c>
      <c r="N47" s="3647"/>
      <c r="O47" s="3647"/>
    </row>
    <row r="48" spans="1:15" ht="25.5">
      <c r="A48" s="3595" t="s">
        <v>1338</v>
      </c>
      <c r="B48" s="3578"/>
      <c r="C48" s="3578"/>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626" t="s">
        <v>1340</v>
      </c>
      <c r="L48" s="3626"/>
      <c r="M48" s="3648">
        <f ca="1">H101</f>
        <v>2133</v>
      </c>
      <c r="N48" s="3648"/>
      <c r="O48" s="3648"/>
    </row>
    <row r="49" spans="1:35" ht="25.5" customHeight="1">
      <c r="A49" s="2332" t="s">
        <v>1341</v>
      </c>
      <c r="B49" s="3562" t="s">
        <v>1342</v>
      </c>
      <c r="C49" s="3562"/>
      <c r="D49" s="1589">
        <v>0</v>
      </c>
      <c r="E49" s="324" t="s">
        <v>1343</v>
      </c>
      <c r="F49" s="2422" t="s">
        <v>28</v>
      </c>
      <c r="G49" s="3632"/>
      <c r="H49" s="2309" t="s">
        <v>2134</v>
      </c>
      <c r="I49" s="2310"/>
      <c r="J49" s="2521">
        <v>4</v>
      </c>
      <c r="K49" s="3626" t="str">
        <f>IF(项目基本情况!E8="房地产抵押价值","房地产抵押价值","抵押担保权已注销时的房地产抵押价值")</f>
        <v>抵押担保权已注销时的房地产抵押价值</v>
      </c>
      <c r="L49" s="3626"/>
      <c r="M49" s="3648" t="str">
        <f>IF(项目基本情况!E8="房地产抵押价值",H107,H109)</f>
        <v>——</v>
      </c>
      <c r="N49" s="3648"/>
      <c r="O49" s="3648"/>
    </row>
    <row r="50" spans="1:35" ht="25.5" customHeight="1">
      <c r="A50" s="2549"/>
      <c r="B50" s="3562" t="s">
        <v>1344</v>
      </c>
      <c r="C50" s="3562"/>
      <c r="D50" s="2550"/>
      <c r="E50" s="332"/>
      <c r="F50" s="2422"/>
      <c r="G50" s="3633"/>
      <c r="H50" s="2311" t="s">
        <v>2135</v>
      </c>
      <c r="I50" s="2310"/>
      <c r="J50" s="3645" t="s">
        <v>1345</v>
      </c>
      <c r="K50" s="3645"/>
      <c r="L50" s="3645"/>
      <c r="M50" s="3645"/>
      <c r="N50" s="3645"/>
      <c r="O50" s="3645"/>
    </row>
    <row r="51" spans="1:35" ht="20.45" customHeight="1">
      <c r="A51" s="2551"/>
      <c r="B51" s="3562" t="s">
        <v>1346</v>
      </c>
      <c r="C51" s="3562"/>
      <c r="D51" s="1087"/>
      <c r="E51" s="327"/>
      <c r="F51" s="2422"/>
      <c r="G51" s="3634"/>
      <c r="H51" s="2311" t="s">
        <v>2136</v>
      </c>
      <c r="I51" s="2310"/>
      <c r="J51" s="2522" t="s">
        <v>1347</v>
      </c>
      <c r="K51" s="3626" t="s">
        <v>1348</v>
      </c>
      <c r="L51" s="3626"/>
      <c r="M51" s="2522" t="s">
        <v>1349</v>
      </c>
      <c r="N51" s="2522" t="s">
        <v>1350</v>
      </c>
      <c r="O51" s="2522" t="s">
        <v>1351</v>
      </c>
    </row>
    <row r="52" spans="1:35" ht="24" customHeight="1">
      <c r="A52" s="2334" t="s">
        <v>1352</v>
      </c>
      <c r="B52" s="3562" t="s">
        <v>1353</v>
      </c>
      <c r="C52" s="3562"/>
      <c r="D52" s="1087">
        <f ca="1">ROUND(D45*'数据-取费表'!B41/(1+'数据-取费表'!C42),0)</f>
        <v>112</v>
      </c>
      <c r="E52" s="2333" t="s">
        <v>1354</v>
      </c>
      <c r="F52" s="2552">
        <f>'数据-取费表'!B41</f>
        <v>5.5000000000000007E-2</v>
      </c>
      <c r="G52" s="2553"/>
      <c r="H52" s="2542"/>
      <c r="I52" s="1806"/>
      <c r="J52" s="2521">
        <v>1</v>
      </c>
      <c r="K52" s="3627" t="s">
        <v>1355</v>
      </c>
      <c r="L52" s="3627"/>
      <c r="M52" s="2523" t="b">
        <f>D48</f>
        <v>0</v>
      </c>
      <c r="N52" s="2521" t="str">
        <f>E48</f>
        <v>销售额×税（费）率</v>
      </c>
      <c r="O52" s="2524">
        <f>F48</f>
        <v>5.5000000000000007E-2</v>
      </c>
    </row>
    <row r="53" spans="1:35" ht="12" customHeight="1">
      <c r="A53" s="2334" t="s">
        <v>1356</v>
      </c>
      <c r="B53" s="3588" t="s">
        <v>2291</v>
      </c>
      <c r="C53" s="3589"/>
      <c r="D53" s="1087">
        <f ca="1">ROUND(D45*'数据-取费表'!B41/(1+'数据-取费表'!C42),0)</f>
        <v>112</v>
      </c>
      <c r="E53" s="2333" t="s">
        <v>1354</v>
      </c>
      <c r="F53" s="2552">
        <f>'数据-取费表'!B41</f>
        <v>5.5000000000000007E-2</v>
      </c>
      <c r="G53" s="2553"/>
      <c r="H53" s="2542"/>
      <c r="I53" s="1806"/>
      <c r="J53" s="2521">
        <v>2</v>
      </c>
      <c r="K53" s="3627" t="s">
        <v>1357</v>
      </c>
      <c r="L53" s="3627"/>
      <c r="M53" s="2523">
        <f t="shared" ref="M53:O54" ca="1" si="0">D55</f>
        <v>1</v>
      </c>
      <c r="N53" s="2521" t="str">
        <f t="shared" si="0"/>
        <v>销售额×税（费）率</v>
      </c>
      <c r="O53" s="2524" t="str">
        <f t="shared" si="0"/>
        <v>免征</v>
      </c>
    </row>
    <row r="54" spans="1:35" ht="12" customHeight="1">
      <c r="A54" s="2334" t="s">
        <v>1358</v>
      </c>
      <c r="B54" s="3588" t="s">
        <v>2292</v>
      </c>
      <c r="C54" s="3589"/>
      <c r="D54" s="1087">
        <f ca="1">C68</f>
        <v>112</v>
      </c>
      <c r="E54" s="327" t="s">
        <v>1359</v>
      </c>
      <c r="F54" s="2552">
        <f>'数据-取费表'!B41</f>
        <v>5.5000000000000007E-2</v>
      </c>
      <c r="G54" s="2553"/>
      <c r="H54" s="2554"/>
      <c r="I54" s="1806"/>
      <c r="J54" s="2521">
        <v>3</v>
      </c>
      <c r="K54" s="3627" t="s">
        <v>1360</v>
      </c>
      <c r="L54" s="3627"/>
      <c r="M54" s="2523">
        <f t="shared" ca="1" si="0"/>
        <v>1209</v>
      </c>
      <c r="N54" s="2521" t="str">
        <f t="shared" si="0"/>
        <v>增值额×税（费）率</v>
      </c>
      <c r="O54" s="2525" t="str">
        <f t="shared" si="0"/>
        <v>免征</v>
      </c>
    </row>
    <row r="55" spans="1:35" ht="24" customHeight="1">
      <c r="A55" s="3577" t="s">
        <v>1361</v>
      </c>
      <c r="B55" s="3578"/>
      <c r="C55" s="3578"/>
      <c r="D55" s="2323">
        <f ca="1">IF(H55="个人住宅",0,ROUND(D45*I55,0))</f>
        <v>1</v>
      </c>
      <c r="E55" s="2333" t="s">
        <v>1362</v>
      </c>
      <c r="F55" s="2552" t="str">
        <f>IF(H55="正常",I55,"免征")</f>
        <v>免征</v>
      </c>
      <c r="G55" s="2553"/>
      <c r="H55" s="2548"/>
      <c r="I55" s="165">
        <f>'数据-取费表'!B49</f>
        <v>5.0000000000000001E-4</v>
      </c>
      <c r="J55" s="2521">
        <f>IF(H59="非个人房产","",4)</f>
        <v>4</v>
      </c>
      <c r="K55" s="3627" t="str">
        <f>IF(H59="非个人房产","——","个人所得税")</f>
        <v>个人所得税</v>
      </c>
      <c r="L55" s="3627"/>
      <c r="M55" s="2526">
        <f ca="1">D59</f>
        <v>20</v>
      </c>
      <c r="N55" s="2039" t="str">
        <f>E59</f>
        <v>差额计税</v>
      </c>
      <c r="O55" s="2527">
        <f>F59</f>
        <v>0.01</v>
      </c>
    </row>
    <row r="56" spans="1:35" ht="24.75">
      <c r="A56" s="3577" t="s">
        <v>1363</v>
      </c>
      <c r="B56" s="3578"/>
      <c r="C56" s="3578"/>
      <c r="D56" s="2323">
        <f ca="1">IF(H56="个人住宅",D57,D58)</f>
        <v>1209</v>
      </c>
      <c r="E56" s="2333" t="s">
        <v>1364</v>
      </c>
      <c r="F56" s="2552" t="str">
        <f>IF(H56="正常",F58,"免征")</f>
        <v>免征</v>
      </c>
      <c r="G56" s="2555" t="s">
        <v>1365</v>
      </c>
      <c r="H56" s="2556"/>
      <c r="I56" s="1807"/>
      <c r="J56" s="2521" t="str">
        <f>IF(项目基本情况!K6="上海银行",IF(J55="",4,J55+1),"")</f>
        <v/>
      </c>
      <c r="K56" s="3650" t="str">
        <f>IF(项目基本情况!K6="上海银行","其他处置费用","")</f>
        <v/>
      </c>
      <c r="L56" s="3651"/>
      <c r="M56" s="2523" t="str">
        <f>IF(项目基本情况!K6="上海银行",M69,"")</f>
        <v/>
      </c>
      <c r="N56" s="3650" t="str">
        <f>IF(项目基本情况!K6="上海银行","包含处置中涉及的律师、诉讼、拍卖、评估等费用","")</f>
        <v/>
      </c>
      <c r="O56" s="3653"/>
    </row>
    <row r="57" spans="1:35" ht="12.75">
      <c r="A57" s="2334" t="s">
        <v>1341</v>
      </c>
      <c r="B57" s="3588" t="s">
        <v>1366</v>
      </c>
      <c r="C57" s="3589"/>
      <c r="D57" s="1589">
        <v>0</v>
      </c>
      <c r="E57" s="324" t="s">
        <v>1343</v>
      </c>
      <c r="F57" s="302"/>
      <c r="G57" s="2553"/>
      <c r="H57" s="2557"/>
      <c r="I57" s="1807"/>
      <c r="J57" s="3627">
        <f>IF(AND(J55="",J56=""),4,IF(项目基本情况!K6="上海银行",结果表!J56+1,结果表!J55+1))</f>
        <v>5</v>
      </c>
      <c r="K57" s="3627" t="s">
        <v>1367</v>
      </c>
      <c r="L57" s="2528" t="s">
        <v>1368</v>
      </c>
      <c r="M57" s="2529"/>
      <c r="N57" s="2530">
        <f ca="1">SUMIF(M52:M56,"&lt;9e307")</f>
        <v>1230</v>
      </c>
      <c r="O57" s="2531"/>
      <c r="P57" s="2688" t="e">
        <f ca="1">N57/M49</f>
        <v>#VALUE!</v>
      </c>
    </row>
    <row r="58" spans="1:35" ht="24.75">
      <c r="A58" s="2334" t="s">
        <v>1352</v>
      </c>
      <c r="B58" s="3588" t="s">
        <v>1369</v>
      </c>
      <c r="C58" s="3562"/>
      <c r="D58" s="2323">
        <f ca="1">IF(H58="转让取得",C81,C97)</f>
        <v>1209</v>
      </c>
      <c r="E58" s="2333" t="s">
        <v>1364</v>
      </c>
      <c r="F58" s="302" t="s">
        <v>28</v>
      </c>
      <c r="G58" s="2553"/>
      <c r="H58" s="2556"/>
      <c r="I58" s="1807"/>
      <c r="J58" s="3627"/>
      <c r="K58" s="3627"/>
      <c r="L58" s="2528" t="s">
        <v>1370</v>
      </c>
      <c r="M58" s="2532"/>
      <c r="N58" s="2533" t="str">
        <f ca="1">NUMBERSTRING(INT(N57*10000),2)&amp;"元整"</f>
        <v>壹仟贰佰叁拾万元整</v>
      </c>
      <c r="O58" s="2534"/>
    </row>
    <row r="59" spans="1:35" ht="24.75" thickBot="1">
      <c r="A59" s="3630" t="s">
        <v>1371</v>
      </c>
      <c r="B59" s="3631"/>
      <c r="C59" s="3631"/>
      <c r="D59" s="2558">
        <f ca="1">IF(H59="非个人房产","——",IF(H59="个人住宅（满五唯一有凭证）",0,IF(H59="个人其他（无凭证）",ROUND(D45*F59,0),ROUND(C67*F59,0))))</f>
        <v>20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628">
        <f>J57+1</f>
        <v>6</v>
      </c>
      <c r="K59" s="3627" t="s">
        <v>1372</v>
      </c>
      <c r="L59" s="2521" t="s">
        <v>1368</v>
      </c>
      <c r="M59" s="2535"/>
      <c r="N59" s="2536" t="e">
        <f ca="1">M49-N57</f>
        <v>#VALUE!</v>
      </c>
      <c r="O59" s="2537"/>
    </row>
    <row r="60" spans="1:35" ht="12" customHeight="1">
      <c r="A60" s="1808"/>
      <c r="B60" s="1746"/>
      <c r="C60" s="1746"/>
      <c r="D60" s="1746"/>
      <c r="E60" s="1577"/>
      <c r="F60" s="1807"/>
      <c r="G60" s="1807"/>
      <c r="H60" s="1809"/>
      <c r="I60" s="129"/>
      <c r="J60" s="3629"/>
      <c r="K60" s="3627"/>
      <c r="L60" s="2528" t="s">
        <v>1370</v>
      </c>
      <c r="M60" s="2532"/>
      <c r="N60" s="2533" t="e">
        <f ca="1">NUMBERSTRING(INT(N59*10000),2)&amp;"元整"</f>
        <v>#VALUE!</v>
      </c>
      <c r="O60" s="2534"/>
    </row>
    <row r="61" spans="1:35" ht="13.5" thickBot="1">
      <c r="A61" s="3575" t="s">
        <v>1373</v>
      </c>
      <c r="B61" s="3575"/>
      <c r="C61" s="3575"/>
      <c r="D61" s="3575"/>
      <c r="E61" s="3575"/>
      <c r="F61" s="1807"/>
      <c r="G61" s="1807"/>
      <c r="H61" s="1809"/>
      <c r="I61" s="129"/>
      <c r="J61" s="2521">
        <f>J59+1</f>
        <v>7</v>
      </c>
      <c r="K61" s="3627" t="s">
        <v>1374</v>
      </c>
      <c r="L61" s="3627"/>
      <c r="M61" s="2538"/>
      <c r="N61" s="2539" t="e">
        <f ca="1">ROUND(N59*10000/'数据-汇总表'!E3,0)</f>
        <v>#VALUE!</v>
      </c>
      <c r="O61" s="2540"/>
    </row>
    <row r="62" spans="1:35" ht="12.75">
      <c r="A62" s="3593" t="s">
        <v>1375</v>
      </c>
      <c r="B62" s="3594"/>
      <c r="C62" s="2020"/>
      <c r="D62" s="2020" t="s">
        <v>1376</v>
      </c>
      <c r="E62" s="166" t="s">
        <v>1377</v>
      </c>
      <c r="F62" s="1807"/>
      <c r="G62" s="1807"/>
      <c r="H62" s="1809"/>
      <c r="I62" s="129"/>
    </row>
    <row r="63" spans="1:35" ht="12.75">
      <c r="A63" s="173" t="s">
        <v>330</v>
      </c>
      <c r="B63" s="167" t="s">
        <v>1378</v>
      </c>
      <c r="C63" s="2562">
        <f ca="1">ROUND((C64+C65)/(1+'数据-取费表'!C42),0)</f>
        <v>2031</v>
      </c>
      <c r="D63" s="167"/>
      <c r="E63" s="168"/>
      <c r="F63" s="1807"/>
      <c r="G63" s="1807"/>
      <c r="H63" s="1809"/>
      <c r="I63" s="129"/>
      <c r="J63" s="3652"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f ca="1">D45</f>
        <v>2133</v>
      </c>
      <c r="D64" s="170" t="s">
        <v>26</v>
      </c>
      <c r="E64" s="172"/>
      <c r="F64" s="1807"/>
      <c r="G64" s="1807"/>
      <c r="H64" s="1809"/>
      <c r="I64" s="129"/>
      <c r="J64" s="3652"/>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652"/>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652"/>
      <c r="K66" s="1331" t="s">
        <v>1387</v>
      </c>
      <c r="L66" s="1331" t="e">
        <f>M49*0.5%</f>
        <v>#VALUE!</v>
      </c>
      <c r="M66" s="302" t="e">
        <f>IF(L66&gt;0.5,0.5,ROUND(L66,0))</f>
        <v>#VALUE!</v>
      </c>
      <c r="N66" s="2542" t="s">
        <v>1388</v>
      </c>
      <c r="Z66" s="1751"/>
      <c r="AI66" s="1752"/>
    </row>
    <row r="67" spans="1:35" ht="14.25" customHeight="1">
      <c r="A67" s="173" t="s">
        <v>328</v>
      </c>
      <c r="B67" s="174" t="s">
        <v>1389</v>
      </c>
      <c r="C67" s="2566">
        <f ca="1">C63-C66</f>
        <v>2031</v>
      </c>
      <c r="D67" s="170" t="s">
        <v>26</v>
      </c>
      <c r="E67" s="172"/>
      <c r="F67" s="1807"/>
      <c r="G67" s="1807"/>
      <c r="H67" s="1809"/>
      <c r="I67" s="129"/>
      <c r="J67" s="3652"/>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f ca="1">IF(C67&lt;=0,0,ROUND(C67*D68,0))</f>
        <v>112</v>
      </c>
      <c r="D68" s="2568">
        <f>'数据-取费表'!B41</f>
        <v>5.5000000000000007E-2</v>
      </c>
      <c r="E68" s="178"/>
      <c r="F68" s="1807"/>
      <c r="G68" s="1807"/>
      <c r="H68" s="1809"/>
      <c r="I68" s="129"/>
      <c r="J68" s="3652"/>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652"/>
      <c r="K69" s="1331" t="s">
        <v>1393</v>
      </c>
      <c r="L69" s="1331"/>
      <c r="M69" s="302" t="e">
        <f>ROUND(SUM(M63:M68),0)</f>
        <v>#VALUE!</v>
      </c>
      <c r="N69" s="2543"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4" t="s">
        <v>1394</v>
      </c>
      <c r="B70" s="3615"/>
      <c r="C70" s="3615"/>
      <c r="D70" s="3615"/>
      <c r="E70" s="3615"/>
      <c r="F70" s="3615"/>
      <c r="G70" s="3615"/>
      <c r="H70" s="3615"/>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3" t="s">
        <v>1375</v>
      </c>
      <c r="B71" s="3594"/>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2031</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10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588" t="s">
        <v>1402</v>
      </c>
      <c r="F76" s="3562"/>
      <c r="G76" s="3562"/>
      <c r="H76" s="361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10</v>
      </c>
      <c r="D78" s="2575">
        <f>'数据-取费表'!B43</f>
        <v>5.000000000000001E-3</v>
      </c>
      <c r="E78" s="3572" t="s">
        <v>1406</v>
      </c>
      <c r="F78" s="3573"/>
      <c r="G78" s="3573"/>
      <c r="H78" s="358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2021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202.1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1209</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4" t="s">
        <v>1410</v>
      </c>
      <c r="B83" s="3615"/>
      <c r="C83" s="3615"/>
      <c r="D83" s="3615"/>
      <c r="E83" s="3615"/>
      <c r="F83" s="3615"/>
      <c r="G83" s="3615"/>
      <c r="H83" s="361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3" t="s">
        <v>1375</v>
      </c>
      <c r="B84" s="359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2031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10</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654" t="s">
        <v>2129</v>
      </c>
      <c r="H90" s="3655"/>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72" t="s">
        <v>1419</v>
      </c>
      <c r="F91" s="3573"/>
      <c r="G91" s="357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72" t="s">
        <v>1422</v>
      </c>
      <c r="F92" s="3573"/>
      <c r="G92" s="3573"/>
      <c r="H92" s="3582"/>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10</v>
      </c>
      <c r="D93" s="2575">
        <f>'数据-取费表'!B43</f>
        <v>5.000000000000001E-3</v>
      </c>
      <c r="E93" s="3572" t="s">
        <v>1406</v>
      </c>
      <c r="F93" s="3573"/>
      <c r="G93" s="3573"/>
      <c r="H93" s="358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583" t="s">
        <v>1426</v>
      </c>
      <c r="F94" s="3584"/>
      <c r="G94" s="3584"/>
      <c r="H94" s="358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2021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202.1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1209</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6" t="s">
        <v>1428</v>
      </c>
      <c r="B100" s="3557"/>
      <c r="C100" s="3557"/>
      <c r="D100" s="3574"/>
      <c r="E100" s="3557" t="s">
        <v>1429</v>
      </c>
      <c r="F100" s="3557"/>
      <c r="G100" s="3557"/>
      <c r="H100" s="3574"/>
      <c r="I100" s="129"/>
    </row>
    <row r="101" spans="1:35" ht="18.75" customHeight="1">
      <c r="A101" s="3635" t="s">
        <v>1430</v>
      </c>
      <c r="B101" s="3636"/>
      <c r="C101" s="2583" t="str">
        <f>C4</f>
        <v>比较法-办公</v>
      </c>
      <c r="D101" s="2584" t="str">
        <f>D4</f>
        <v>成本法</v>
      </c>
      <c r="E101" s="3649" t="s">
        <v>1431</v>
      </c>
      <c r="F101" s="3606"/>
      <c r="G101" s="1826" t="s">
        <v>1432</v>
      </c>
      <c r="H101" s="2593">
        <f ca="1">H118</f>
        <v>2133</v>
      </c>
      <c r="I101" s="129"/>
    </row>
    <row r="102" spans="1:35" ht="18.75" customHeight="1">
      <c r="A102" s="3608" t="s">
        <v>1433</v>
      </c>
      <c r="B102" s="2582" t="s">
        <v>1432</v>
      </c>
      <c r="C102" s="2583">
        <f ca="1">IF(D32="楼面单价",ROUND(C19,0),C19)</f>
        <v>2330</v>
      </c>
      <c r="D102" s="2584">
        <f ca="1">IF(D32="楼面单价",ROUND(D19,0),D19)</f>
        <v>1673</v>
      </c>
      <c r="E102" s="3649"/>
      <c r="F102" s="3606"/>
      <c r="G102" s="1826" t="s">
        <v>1434</v>
      </c>
      <c r="H102" s="2553">
        <f ca="1">I118</f>
        <v>17529</v>
      </c>
      <c r="I102" s="129"/>
    </row>
    <row r="103" spans="1:35" ht="42.75" customHeight="1">
      <c r="A103" s="3608"/>
      <c r="B103" s="2582" t="s">
        <v>1434</v>
      </c>
      <c r="C103" s="2585">
        <f ca="1">C20</f>
        <v>19144</v>
      </c>
      <c r="D103" s="2586">
        <f ca="1">D20</f>
        <v>13748</v>
      </c>
      <c r="E103" s="3643" t="s">
        <v>1435</v>
      </c>
      <c r="F103" s="3644"/>
      <c r="G103" s="1827" t="s">
        <v>1436</v>
      </c>
      <c r="H103" s="2593">
        <f>IF(D36="正常操作",H104+H105+H106,H105+H106)</f>
        <v>0</v>
      </c>
      <c r="I103" s="129"/>
    </row>
    <row r="104" spans="1:35" ht="18.75" customHeight="1">
      <c r="A104" s="3608" t="s">
        <v>1437</v>
      </c>
      <c r="B104" s="2587" t="s">
        <v>1432</v>
      </c>
      <c r="C104" s="2588">
        <f ca="1">H118</f>
        <v>2133</v>
      </c>
      <c r="D104" s="2589"/>
      <c r="E104" s="1673" t="s">
        <v>1438</v>
      </c>
      <c r="F104" s="1665"/>
      <c r="G104" s="1827" t="s">
        <v>1436</v>
      </c>
      <c r="H104" s="2594">
        <f>IF(D36="同一抵押权人同一抵押物续贷",C36&amp;"（续贷，未扣减，详见特别提示）",C36)</f>
        <v>0</v>
      </c>
      <c r="I104" s="129"/>
    </row>
    <row r="105" spans="1:35" ht="18.75" customHeight="1" thickBot="1">
      <c r="A105" s="3609"/>
      <c r="B105" s="2590" t="s">
        <v>1434</v>
      </c>
      <c r="C105" s="2591">
        <f ca="1">I118</f>
        <v>17529</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05" t="str">
        <f>IF(项目基本情况!E8="已注销","——","3.房地产抵押价值")</f>
        <v>3.房地产抵押价值</v>
      </c>
      <c r="F107" s="3606"/>
      <c r="G107" s="1826" t="s">
        <v>1432</v>
      </c>
      <c r="H107" s="2593">
        <f ca="1">IF(E107="——","——",H101-H103)</f>
        <v>2133</v>
      </c>
      <c r="I107" s="129"/>
    </row>
    <row r="108" spans="1:35" ht="18.75" customHeight="1">
      <c r="A108" s="129"/>
      <c r="B108" s="129"/>
      <c r="C108" s="129"/>
      <c r="D108" s="129"/>
      <c r="E108" s="3605"/>
      <c r="F108" s="3606"/>
      <c r="G108" s="1826" t="s">
        <v>1434</v>
      </c>
      <c r="H108" s="2553">
        <f ca="1">IF(H107=H101,H102,ROUND(H107*10000/'数据-汇总表'!E3,0))</f>
        <v>17529</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6" t="s">
        <v>1432</v>
      </c>
      <c r="H109" s="2596" t="str">
        <f>IF(E109="——","——",H101-H105-H106)</f>
        <v>——</v>
      </c>
      <c r="I109" s="129"/>
    </row>
    <row r="110" spans="1:35" ht="18.75" customHeight="1">
      <c r="A110" s="129"/>
      <c r="B110" s="129"/>
      <c r="C110" s="129"/>
      <c r="D110" s="129"/>
      <c r="E110" s="3605"/>
      <c r="F110" s="3606"/>
      <c r="G110" s="1826" t="s">
        <v>1434</v>
      </c>
      <c r="H110" s="2553"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07"/>
      <c r="G111" s="1826" t="s">
        <v>1432</v>
      </c>
      <c r="H111" s="2593" t="str">
        <f>IF(E111="——","——",N59)</f>
        <v>——</v>
      </c>
      <c r="I111" s="129"/>
    </row>
    <row r="112" spans="1:35" ht="18.75" customHeight="1" thickBot="1">
      <c r="A112" s="129"/>
      <c r="B112" s="129"/>
      <c r="C112" s="129"/>
      <c r="D112" s="129"/>
      <c r="E112" s="3638"/>
      <c r="F112" s="3639"/>
      <c r="G112" s="1829" t="s">
        <v>1434</v>
      </c>
      <c r="H112" s="2597" t="str">
        <f>IF(E111="——","——",N61)</f>
        <v>——</v>
      </c>
      <c r="I112" s="129"/>
    </row>
    <row r="113" spans="1:27" ht="18.75" customHeight="1">
      <c r="A113" s="129"/>
      <c r="B113" s="129"/>
      <c r="C113" s="129"/>
      <c r="D113" s="129"/>
      <c r="E113" s="3610" t="s">
        <v>1440</v>
      </c>
      <c r="F113" s="3610"/>
      <c r="G113" s="3610"/>
      <c r="H113" s="3610"/>
      <c r="I113" s="129"/>
    </row>
    <row r="114" spans="1:27" ht="3.75" customHeight="1">
      <c r="A114" s="1746"/>
      <c r="B114" s="1746"/>
      <c r="C114" s="1746"/>
      <c r="D114" s="1746"/>
      <c r="E114" s="1808"/>
      <c r="F114" s="1808"/>
      <c r="G114" s="1808"/>
      <c r="H114" s="1808"/>
      <c r="I114" s="1746"/>
    </row>
    <row r="115" spans="1:27" ht="18.75" customHeight="1">
      <c r="A115" s="3620" t="s">
        <v>1442</v>
      </c>
      <c r="B115" s="3621"/>
      <c r="C115" s="3621"/>
      <c r="D115" s="3621"/>
      <c r="E115" s="3621"/>
      <c r="F115" s="3621"/>
      <c r="G115" s="3621"/>
      <c r="H115" s="3621"/>
      <c r="I115" s="3622"/>
    </row>
    <row r="116" spans="1:27" ht="27" customHeight="1">
      <c r="A116" s="3576" t="s">
        <v>1443</v>
      </c>
      <c r="B116" s="3611" t="s">
        <v>1444</v>
      </c>
      <c r="C116" s="3611" t="s">
        <v>1445</v>
      </c>
      <c r="D116" s="3624" t="s">
        <v>1446</v>
      </c>
      <c r="E116" s="3625"/>
      <c r="F116" s="3619" t="s">
        <v>1447</v>
      </c>
      <c r="G116" s="3619"/>
      <c r="H116" s="3576" t="s">
        <v>1448</v>
      </c>
      <c r="I116" s="3576"/>
    </row>
    <row r="117" spans="1:27" ht="18.75" customHeight="1">
      <c r="A117" s="3576"/>
      <c r="B117" s="3612"/>
      <c r="C117" s="3612"/>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1216.8699999999999</v>
      </c>
      <c r="C118" s="2328">
        <f>M19</f>
        <v>527.48</v>
      </c>
      <c r="D118" s="2328">
        <f ca="1">ROUND(IF(D32="总价",C34,E118*B118/10000),0)</f>
        <v>1647</v>
      </c>
      <c r="E118" s="2328">
        <f ca="1">ROUND(IF(C33="自定义",IF(D32="楼面单价",C34,D118*10000/B118),I118-G118),0)</f>
        <v>13535</v>
      </c>
      <c r="F118" s="2328">
        <f ca="1">ROUND(IF(D32="总价",C35,G118*B118/10000),0)</f>
        <v>486</v>
      </c>
      <c r="G118" s="2328">
        <f ca="1">ROUND(IF(D32="楼面单价",C35,F118*10000/B118),0)</f>
        <v>3994</v>
      </c>
      <c r="H118" s="2328">
        <f ca="1">ROUND(IF(D32="总价",C32,I118*B118/10000),0)</f>
        <v>2133</v>
      </c>
      <c r="I118" s="2328">
        <f ca="1">ROUND(IF(D32="楼面单价",C32,H118*10000/B118),0)</f>
        <v>17529</v>
      </c>
    </row>
    <row r="119" spans="1:27" ht="18.75" customHeight="1">
      <c r="A119" s="3576" t="s">
        <v>1452</v>
      </c>
      <c r="B119" s="3576"/>
      <c r="C119" s="3576"/>
      <c r="D119" s="3616" t="str">
        <f ca="1">NUMBERSTRING(INT(D118*10000),2)&amp;"元整"</f>
        <v>壹仟陆佰肆拾柒万元整</v>
      </c>
      <c r="E119" s="3618"/>
      <c r="F119" s="3616" t="str">
        <f ca="1">NUMBERSTRING(INT(F118*10000),2)&amp;"元整"</f>
        <v>肆佰捌拾陆万元整</v>
      </c>
      <c r="G119" s="3618"/>
      <c r="H119" s="3616" t="str">
        <f ca="1">NUMBERSTRING(INT(H118*10000),2)&amp;"元整"</f>
        <v>贰仟壹佰叁拾叁万元整</v>
      </c>
      <c r="I119" s="3618"/>
    </row>
    <row r="120" spans="1:27" ht="18.75" customHeight="1">
      <c r="A120" s="3640" t="str">
        <f>IF(项目基本情况!B9="房地产市场价值","",MID(E103,3,LEN(E103)-2))</f>
        <v/>
      </c>
      <c r="B120" s="3641"/>
      <c r="C120" s="3642"/>
      <c r="D120" s="3640">
        <f>H103</f>
        <v>0</v>
      </c>
      <c r="E120" s="3641"/>
      <c r="F120" s="3641"/>
      <c r="G120" s="3641"/>
      <c r="H120" s="3641"/>
      <c r="I120" s="3642"/>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16" t="s">
        <v>1452</v>
      </c>
      <c r="B121" s="3617"/>
      <c r="C121" s="3618"/>
      <c r="D121" s="3616" t="str">
        <f>IF(D120=0,"零元整",NUMBERSTRING(INT(D120*10000),2)&amp;"元整")</f>
        <v>零元整</v>
      </c>
      <c r="E121" s="3617"/>
      <c r="F121" s="3617"/>
      <c r="G121" s="3617"/>
      <c r="H121" s="3617"/>
      <c r="I121" s="3618"/>
      <c r="AA121" s="725"/>
    </row>
    <row r="122" spans="1:27" ht="18.75" customHeight="1">
      <c r="A122" s="3607" t="str">
        <f>IF(项目基本情况!B9="房地产市场价值","",MID(E107,3,LEN(E107)-2))</f>
        <v/>
      </c>
      <c r="B122" s="3607"/>
      <c r="C122" s="3607"/>
      <c r="D122" s="3640">
        <f ca="1">H107</f>
        <v>2133</v>
      </c>
      <c r="E122" s="3641"/>
      <c r="F122" s="3641"/>
      <c r="G122" s="3641"/>
      <c r="H122" s="3641"/>
      <c r="I122" s="3642"/>
      <c r="AA122" s="725"/>
    </row>
    <row r="123" spans="1:27" ht="18.75" customHeight="1">
      <c r="A123" s="3576" t="s">
        <v>1452</v>
      </c>
      <c r="B123" s="3576"/>
      <c r="C123" s="3576"/>
      <c r="D123" s="3616" t="str">
        <f ca="1">NUMBERSTRING(INT(D122*10000),2)&amp;"元整"</f>
        <v>贰仟壹佰叁拾叁万元整</v>
      </c>
      <c r="E123" s="3617"/>
      <c r="F123" s="3617"/>
      <c r="G123" s="3617"/>
      <c r="H123" s="3617"/>
      <c r="I123" s="3618"/>
      <c r="AA123" s="725"/>
    </row>
    <row r="124" spans="1:27" ht="18.75" customHeight="1">
      <c r="A124" s="3607" t="str">
        <f>IF(项目基本情况!B9="房地产市场价值","",MID(E109,3,LEN(E109)-2))</f>
        <v/>
      </c>
      <c r="B124" s="3607"/>
      <c r="C124" s="3607"/>
      <c r="D124" s="3640" t="str">
        <f>H109</f>
        <v>——</v>
      </c>
      <c r="E124" s="3641"/>
      <c r="F124" s="3641"/>
      <c r="G124" s="3641"/>
      <c r="H124" s="3641"/>
      <c r="I124" s="3642"/>
      <c r="AA124" s="725"/>
    </row>
    <row r="125" spans="1:27" ht="18.75" customHeight="1">
      <c r="A125" s="3576" t="s">
        <v>1452</v>
      </c>
      <c r="B125" s="3576"/>
      <c r="C125" s="3576"/>
      <c r="D125" s="3616" t="e">
        <f>NUMBERSTRING(INT(D124*10000),2)&amp;"元整"</f>
        <v>#VALUE!</v>
      </c>
      <c r="E125" s="3617"/>
      <c r="F125" s="3617"/>
      <c r="G125" s="3617"/>
      <c r="H125" s="3617"/>
      <c r="I125" s="3618"/>
      <c r="AA125" s="725"/>
    </row>
    <row r="126" spans="1:27" ht="18.75" customHeight="1">
      <c r="A126" s="3607" t="str">
        <f>IF(项目基本情况!B9="房地产市场价值","",MID(E111,3,LEN(E111)-2))</f>
        <v/>
      </c>
      <c r="B126" s="3607"/>
      <c r="C126" s="3607"/>
      <c r="D126" s="3640" t="str">
        <f>H111</f>
        <v>——</v>
      </c>
      <c r="E126" s="3641"/>
      <c r="F126" s="3641"/>
      <c r="G126" s="3641"/>
      <c r="H126" s="3641"/>
      <c r="I126" s="3642"/>
      <c r="AA126" s="725"/>
    </row>
    <row r="127" spans="1:27" ht="18.75" customHeight="1">
      <c r="A127" s="3576" t="s">
        <v>1452</v>
      </c>
      <c r="B127" s="3576"/>
      <c r="C127" s="3576"/>
      <c r="D127" s="3616" t="e">
        <f>NUMBERSTRING(INT(D126*10000),2)&amp;"元整"</f>
        <v>#VALUE!</v>
      </c>
      <c r="E127" s="3617"/>
      <c r="F127" s="3617"/>
      <c r="G127" s="3617"/>
      <c r="H127" s="3617"/>
      <c r="I127" s="3618"/>
      <c r="AA127" s="725"/>
    </row>
    <row r="128" spans="1:27" ht="21.75" customHeight="1">
      <c r="A128" s="3623" t="s">
        <v>1453</v>
      </c>
      <c r="B128" s="3623"/>
      <c r="C128" s="3623"/>
      <c r="D128" s="3623"/>
      <c r="E128" s="3623"/>
      <c r="F128" s="3623"/>
      <c r="G128" s="3623"/>
      <c r="H128" s="3623"/>
      <c r="I128" s="3623"/>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M40" sqref="M4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1" t="s">
        <v>3606</v>
      </c>
      <c r="F1" s="1878" t="s">
        <v>3607</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IF(E1="项目模式",IF(C2="——",ROUND(C50*D3/10000,0),ROUND(C50*D3/10000,0)-D2),IF(E1="单套模式",IF(C2="——",ROUND(C50*D3/10000,4),ROUND(C50*D3/10000,4)-D2)))</f>
        <v>2330</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19144</v>
      </c>
      <c r="C3" s="354" t="s">
        <v>1768</v>
      </c>
      <c r="D3" s="353">
        <f>IF(D1="",'数据-汇总表'!E3,SUMIF('数据-汇总表'!$C19:$C33,D1,'数据-汇总表'!$E19:$E33))</f>
        <v>1216.8699999999999</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84" t="s">
        <v>1771</v>
      </c>
      <c r="S4" s="3685"/>
      <c r="T4" s="3684" t="s">
        <v>1772</v>
      </c>
      <c r="U4" s="3685"/>
      <c r="V4" s="3690" t="s">
        <v>1773</v>
      </c>
      <c r="W4" s="3690"/>
      <c r="X4" s="1957"/>
      <c r="Y4" s="3684" t="s">
        <v>1775</v>
      </c>
      <c r="Z4" s="3685"/>
      <c r="AA4" s="3703" t="s">
        <v>1771</v>
      </c>
      <c r="AB4" s="3703" t="s">
        <v>1772</v>
      </c>
      <c r="AC4" s="3671" t="s">
        <v>1773</v>
      </c>
    </row>
    <row r="5" spans="1:29" ht="15">
      <c r="A5" s="358"/>
      <c r="B5" s="359"/>
      <c r="C5" s="3700" t="s">
        <v>1673</v>
      </c>
      <c r="D5" s="3695"/>
      <c r="E5" s="3706" t="s">
        <v>3608</v>
      </c>
      <c r="F5" s="3707"/>
      <c r="G5" s="3694" t="s">
        <v>3609</v>
      </c>
      <c r="H5" s="3695"/>
      <c r="I5" s="3700" t="s">
        <v>1676</v>
      </c>
      <c r="J5" s="3695"/>
      <c r="K5" s="559"/>
      <c r="L5" s="2713"/>
      <c r="M5" s="2714"/>
      <c r="N5" s="2714"/>
      <c r="O5" s="2714"/>
      <c r="P5" s="3680"/>
      <c r="Q5" s="3681"/>
      <c r="R5" s="3686"/>
      <c r="S5" s="3687"/>
      <c r="T5" s="3686"/>
      <c r="U5" s="3687"/>
      <c r="V5" s="3691"/>
      <c r="W5" s="3691"/>
      <c r="X5" s="1354"/>
      <c r="Y5" s="3686"/>
      <c r="Z5" s="3687"/>
      <c r="AA5" s="3704"/>
      <c r="AB5" s="3704"/>
      <c r="AC5" s="3672"/>
    </row>
    <row r="6" spans="1:29" ht="15.75" thickBot="1">
      <c r="A6" s="360"/>
      <c r="B6" s="361"/>
      <c r="C6" s="3692" t="s">
        <v>1677</v>
      </c>
      <c r="D6" s="3693"/>
      <c r="E6" s="3701" t="s">
        <v>1677</v>
      </c>
      <c r="F6" s="3702"/>
      <c r="G6" s="3692" t="s">
        <v>1677</v>
      </c>
      <c r="H6" s="3693"/>
      <c r="I6" s="3692" t="s">
        <v>1677</v>
      </c>
      <c r="J6" s="3693"/>
      <c r="K6" s="559" t="s">
        <v>1678</v>
      </c>
      <c r="L6" s="2713"/>
      <c r="M6" s="2714"/>
      <c r="N6" s="2714"/>
      <c r="O6" s="2714"/>
      <c r="P6" s="3682"/>
      <c r="Q6" s="3683"/>
      <c r="R6" s="3686"/>
      <c r="S6" s="3687"/>
      <c r="T6" s="3688"/>
      <c r="U6" s="3689"/>
      <c r="V6" s="3691"/>
      <c r="W6" s="3691"/>
      <c r="X6" s="1354"/>
      <c r="Y6" s="3688"/>
      <c r="Z6" s="3689"/>
      <c r="AA6" s="3705"/>
      <c r="AB6" s="3705"/>
      <c r="AC6" s="3673"/>
    </row>
    <row r="7" spans="1:29" s="108" customFormat="1" ht="15.75" thickBot="1">
      <c r="A7" s="362" t="s">
        <v>1679</v>
      </c>
      <c r="B7" s="363"/>
      <c r="C7" s="364">
        <f>'数据-取费表'!B2</f>
        <v>45127</v>
      </c>
      <c r="D7" s="365">
        <v>100</v>
      </c>
      <c r="E7" s="366">
        <f>C7</f>
        <v>45127</v>
      </c>
      <c r="F7" s="367">
        <f>SUMIF(59:59,YEAR(E7)&amp;"-"&amp;MONTH(E7),60:60)</f>
        <v>100</v>
      </c>
      <c r="G7" s="366">
        <f>C7</f>
        <v>45127</v>
      </c>
      <c r="H7" s="365">
        <f>SUMIF(59:59,YEAR(G7)&amp;"-"&amp;MONTH(G7),60:60)</f>
        <v>100</v>
      </c>
      <c r="I7" s="366">
        <f>C7</f>
        <v>45127</v>
      </c>
      <c r="J7" s="365">
        <f>SUMIF(59:59,YEAR(I7)&amp;"-"&amp;MONTH(I7),60:60)</f>
        <v>100</v>
      </c>
      <c r="K7" s="560"/>
      <c r="L7" s="2715"/>
      <c r="M7" s="2716"/>
      <c r="N7" s="2716"/>
      <c r="O7" s="2716"/>
      <c r="P7" s="3696" t="s">
        <v>1680</v>
      </c>
      <c r="Q7" s="3699"/>
      <c r="R7" s="701" t="s">
        <v>14</v>
      </c>
      <c r="S7" s="702">
        <f t="shared" ref="S7:S15" si="0">F7</f>
        <v>100</v>
      </c>
      <c r="T7" s="701" t="s">
        <v>14</v>
      </c>
      <c r="U7" s="702">
        <f t="shared" ref="U7:U15" si="1">H7</f>
        <v>100</v>
      </c>
      <c r="V7" s="701" t="s">
        <v>14</v>
      </c>
      <c r="W7" s="702">
        <f t="shared" ref="W7:W15" si="2">J7</f>
        <v>100</v>
      </c>
      <c r="X7" s="703"/>
      <c r="Y7" s="3698" t="s">
        <v>1680</v>
      </c>
      <c r="Z7" s="3697"/>
      <c r="AA7" s="704">
        <f>D7/F7</f>
        <v>1</v>
      </c>
      <c r="AB7" s="704">
        <f>D7/H7</f>
        <v>1</v>
      </c>
      <c r="AC7" s="1958">
        <f>D7/J7</f>
        <v>1</v>
      </c>
    </row>
    <row r="8" spans="1:29" s="108" customFormat="1" ht="15.75" thickBot="1">
      <c r="A8" s="362" t="s">
        <v>1681</v>
      </c>
      <c r="B8" s="363"/>
      <c r="C8" s="368" t="s">
        <v>3585</v>
      </c>
      <c r="D8" s="365">
        <v>100</v>
      </c>
      <c r="E8" s="3454" t="s">
        <v>3627</v>
      </c>
      <c r="F8" s="367">
        <f>SUMIF(62:62,E8,63:63)-SUMIF(62:62,C8,63:63)+100</f>
        <v>102</v>
      </c>
      <c r="G8" s="3454" t="s">
        <v>3627</v>
      </c>
      <c r="H8" s="365">
        <f>SUMIF(62:62,G8,63:63)-SUMIF(62:62,C8,63:63)+100</f>
        <v>102</v>
      </c>
      <c r="I8" s="3454" t="s">
        <v>3627</v>
      </c>
      <c r="J8" s="365">
        <f>SUMIF(62:62,I8,63:63)-SUMIF(62:62,C8,63:63)+100</f>
        <v>102</v>
      </c>
      <c r="K8" s="560"/>
      <c r="L8" s="2715"/>
      <c r="M8" s="2716"/>
      <c r="N8" s="2716"/>
      <c r="O8" s="2716"/>
      <c r="P8" s="3696" t="s">
        <v>1683</v>
      </c>
      <c r="Q8" s="3697"/>
      <c r="R8" s="701" t="s">
        <v>14</v>
      </c>
      <c r="S8" s="702">
        <f t="shared" si="0"/>
        <v>102</v>
      </c>
      <c r="T8" s="701" t="s">
        <v>14</v>
      </c>
      <c r="U8" s="702">
        <f t="shared" si="1"/>
        <v>102</v>
      </c>
      <c r="V8" s="701" t="s">
        <v>14</v>
      </c>
      <c r="W8" s="702">
        <f t="shared" si="2"/>
        <v>102</v>
      </c>
      <c r="X8" s="703"/>
      <c r="Y8" s="3698" t="s">
        <v>1683</v>
      </c>
      <c r="Z8" s="3697"/>
      <c r="AA8" s="704">
        <f t="shared" ref="AA8:AA47" si="3">D8/F8</f>
        <v>0.98039215686274506</v>
      </c>
      <c r="AB8" s="704">
        <f t="shared" ref="AB8:AB47" si="4">D8/H8</f>
        <v>0.98039215686274506</v>
      </c>
      <c r="AC8" s="1958">
        <f t="shared" ref="AC8:AC47" si="5">D8/J8</f>
        <v>0.98039215686274506</v>
      </c>
    </row>
    <row r="9" spans="1:29" s="108" customFormat="1">
      <c r="A9" s="369" t="s">
        <v>1684</v>
      </c>
      <c r="B9" s="63" t="s">
        <v>1685</v>
      </c>
      <c r="C9" s="3465" t="s">
        <v>3610</v>
      </c>
      <c r="D9" s="126">
        <v>100</v>
      </c>
      <c r="E9" s="3466" t="s">
        <v>3610</v>
      </c>
      <c r="F9" s="126">
        <f>SUMIF(64:64,E9,65:65)-SUMIF(64:64,C9,65:65)+100</f>
        <v>100</v>
      </c>
      <c r="G9" s="3467" t="s">
        <v>3610</v>
      </c>
      <c r="H9" s="126">
        <f>SUMIF(64:64,G9,65:65)-SUMIF(64:64,C9,65:65)+100</f>
        <v>100</v>
      </c>
      <c r="I9" s="3467" t="s">
        <v>3610</v>
      </c>
      <c r="J9" s="126">
        <f>SUMIF(64:64,I9,65:65)-SUMIF(64:64,C9,65:65)+100</f>
        <v>100</v>
      </c>
      <c r="K9" s="560"/>
      <c r="L9" s="2715"/>
      <c r="M9" s="2716"/>
      <c r="N9" s="2716"/>
      <c r="O9" s="2716"/>
      <c r="P9" s="3656"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1958">
        <f t="shared" si="5"/>
        <v>1</v>
      </c>
    </row>
    <row r="10" spans="1:29" s="378" customFormat="1" ht="27">
      <c r="A10" s="374"/>
      <c r="B10" s="375" t="s">
        <v>1688</v>
      </c>
      <c r="C10" s="3432" t="s">
        <v>3611</v>
      </c>
      <c r="D10" s="127">
        <v>100</v>
      </c>
      <c r="E10" s="3432" t="s">
        <v>3612</v>
      </c>
      <c r="F10" s="127">
        <f>SUMIF(66:66,E10,67:67)-SUMIF(66:66,C10,67:67)+100</f>
        <v>100</v>
      </c>
      <c r="G10" s="3433" t="s">
        <v>3613</v>
      </c>
      <c r="H10" s="127">
        <f>SUMIF(66:66,G10,67:67)-SUMIF(66:66,C10,67:67)+100</f>
        <v>102</v>
      </c>
      <c r="I10" s="3432" t="s">
        <v>3613</v>
      </c>
      <c r="J10" s="127">
        <f>SUMIF(66:66,I10,67:67)-SUMIF(66:66,C10,67:67)+100</f>
        <v>102</v>
      </c>
      <c r="K10" s="560"/>
      <c r="L10" s="2717"/>
      <c r="M10" s="2718"/>
      <c r="N10" s="2718"/>
      <c r="O10" s="2718"/>
      <c r="P10" s="3656"/>
      <c r="Q10" s="1342" t="str">
        <f t="shared" si="6"/>
        <v>土地使用年限（年）</v>
      </c>
      <c r="R10" s="701" t="s">
        <v>14</v>
      </c>
      <c r="S10" s="702">
        <f t="shared" si="0"/>
        <v>100</v>
      </c>
      <c r="T10" s="701" t="s">
        <v>14</v>
      </c>
      <c r="U10" s="702">
        <f t="shared" si="1"/>
        <v>102</v>
      </c>
      <c r="V10" s="701" t="s">
        <v>14</v>
      </c>
      <c r="W10" s="702">
        <f t="shared" si="2"/>
        <v>102</v>
      </c>
      <c r="X10" s="703"/>
      <c r="Y10" s="3563"/>
      <c r="Z10" s="52" t="str">
        <f t="shared" si="7"/>
        <v>土地使用年限（年）</v>
      </c>
      <c r="AA10" s="704">
        <f t="shared" si="3"/>
        <v>1</v>
      </c>
      <c r="AB10" s="704">
        <f t="shared" si="4"/>
        <v>0.98039215686274506</v>
      </c>
      <c r="AC10" s="1958">
        <f t="shared" si="5"/>
        <v>0.98039215686274506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6"/>
      <c r="Q11" s="1342"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56"/>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56"/>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56"/>
      <c r="Q14" s="1342">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102</v>
      </c>
      <c r="G15" s="393"/>
      <c r="H15" s="392">
        <f>SUMIF(77:77,G16,78:78)-SUMIF(77:77,C16,78:78)+100</f>
        <v>102</v>
      </c>
      <c r="I15" s="393"/>
      <c r="J15" s="392">
        <f>SUMIF(77:77,I16,78:78)-SUMIF(77:77,C16,78:78)+100</f>
        <v>102</v>
      </c>
      <c r="K15" s="563">
        <v>2</v>
      </c>
      <c r="L15" s="2720"/>
      <c r="M15" s="2714"/>
      <c r="N15" s="2714"/>
      <c r="O15" s="2714"/>
      <c r="P15" s="3662" t="s">
        <v>1691</v>
      </c>
      <c r="Q15" s="1351" t="str">
        <f t="shared" si="6"/>
        <v>办公集聚程度</v>
      </c>
      <c r="R15" s="705" t="s">
        <v>14</v>
      </c>
      <c r="S15" s="706">
        <f t="shared" si="0"/>
        <v>102</v>
      </c>
      <c r="T15" s="705" t="s">
        <v>14</v>
      </c>
      <c r="U15" s="706">
        <f t="shared" si="1"/>
        <v>102</v>
      </c>
      <c r="V15" s="705" t="s">
        <v>14</v>
      </c>
      <c r="W15" s="706">
        <f t="shared" si="2"/>
        <v>102</v>
      </c>
      <c r="X15" s="1354"/>
      <c r="Y15" s="3664" t="s">
        <v>1691</v>
      </c>
      <c r="Z15" s="1355" t="str">
        <f t="shared" si="7"/>
        <v>办公集聚程度</v>
      </c>
      <c r="AA15" s="1352">
        <f t="shared" si="3"/>
        <v>0.98039215686274506</v>
      </c>
      <c r="AB15" s="1352">
        <f t="shared" si="4"/>
        <v>0.98039215686274506</v>
      </c>
      <c r="AC15" s="1961">
        <f t="shared" si="5"/>
        <v>0.98039215686274506</v>
      </c>
    </row>
    <row r="16" spans="1:29" ht="15">
      <c r="A16" s="379"/>
      <c r="B16" s="578"/>
      <c r="C16" s="1903" t="s">
        <v>3399</v>
      </c>
      <c r="D16" s="399"/>
      <c r="E16" s="3457" t="s">
        <v>3615</v>
      </c>
      <c r="F16" s="399"/>
      <c r="G16" s="3459" t="s">
        <v>3615</v>
      </c>
      <c r="H16" s="401"/>
      <c r="I16" s="3457" t="s">
        <v>3615</v>
      </c>
      <c r="J16" s="399"/>
      <c r="K16" s="564"/>
      <c r="L16" s="2720"/>
      <c r="M16" s="2714"/>
      <c r="N16" s="2714"/>
      <c r="O16" s="2714"/>
      <c r="P16" s="3663"/>
      <c r="Q16" s="1351"/>
      <c r="R16" s="705"/>
      <c r="S16" s="706"/>
      <c r="T16" s="705"/>
      <c r="U16" s="706"/>
      <c r="V16" s="705"/>
      <c r="W16" s="706"/>
      <c r="X16" s="1354"/>
      <c r="Y16" s="3665"/>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63"/>
      <c r="Q17" s="1351" t="str">
        <f>B17</f>
        <v>交通便捷度</v>
      </c>
      <c r="R17" s="705" t="s">
        <v>14</v>
      </c>
      <c r="S17" s="706">
        <f>F17</f>
        <v>100</v>
      </c>
      <c r="T17" s="705" t="s">
        <v>14</v>
      </c>
      <c r="U17" s="706">
        <f>H17</f>
        <v>100</v>
      </c>
      <c r="V17" s="705" t="s">
        <v>14</v>
      </c>
      <c r="W17" s="706">
        <f>J17</f>
        <v>100</v>
      </c>
      <c r="X17" s="1354"/>
      <c r="Y17" s="3665"/>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0"/>
      <c r="M18" s="2714"/>
      <c r="N18" s="2714"/>
      <c r="O18" s="2714"/>
      <c r="P18" s="3663"/>
      <c r="Q18" s="1351"/>
      <c r="R18" s="705"/>
      <c r="S18" s="706"/>
      <c r="T18" s="705"/>
      <c r="U18" s="706"/>
      <c r="V18" s="705"/>
      <c r="W18" s="706"/>
      <c r="X18" s="1354"/>
      <c r="Y18" s="3665"/>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63"/>
      <c r="Q19" s="1351" t="str">
        <f>B19</f>
        <v>公共配套设施</v>
      </c>
      <c r="R19" s="705" t="s">
        <v>14</v>
      </c>
      <c r="S19" s="706">
        <f>F19</f>
        <v>100</v>
      </c>
      <c r="T19" s="705" t="s">
        <v>14</v>
      </c>
      <c r="U19" s="706">
        <f>H19</f>
        <v>100</v>
      </c>
      <c r="V19" s="705" t="s">
        <v>14</v>
      </c>
      <c r="W19" s="706">
        <f>J19</f>
        <v>100</v>
      </c>
      <c r="X19" s="1354"/>
      <c r="Y19" s="3665"/>
      <c r="Z19" s="1355" t="str">
        <f>Q19</f>
        <v>公共配套设施</v>
      </c>
      <c r="AA19" s="1352">
        <f t="shared" si="3"/>
        <v>1</v>
      </c>
      <c r="AB19" s="1352">
        <f t="shared" si="4"/>
        <v>1</v>
      </c>
      <c r="AC19" s="1961">
        <f t="shared" si="5"/>
        <v>1</v>
      </c>
    </row>
    <row r="20" spans="1:29" ht="15">
      <c r="A20" s="379"/>
      <c r="B20" s="580"/>
      <c r="C20" s="3459" t="s">
        <v>3616</v>
      </c>
      <c r="D20" s="399"/>
      <c r="E20" s="3456" t="s">
        <v>3615</v>
      </c>
      <c r="F20" s="399"/>
      <c r="G20" s="3455" t="s">
        <v>3615</v>
      </c>
      <c r="H20" s="399"/>
      <c r="I20" s="3455" t="s">
        <v>3615</v>
      </c>
      <c r="J20" s="399"/>
      <c r="K20" s="564"/>
      <c r="L20" s="2720"/>
      <c r="M20" s="2714"/>
      <c r="N20" s="2714"/>
      <c r="O20" s="2714"/>
      <c r="P20" s="3663"/>
      <c r="Q20" s="1351"/>
      <c r="R20" s="705"/>
      <c r="S20" s="706"/>
      <c r="T20" s="705"/>
      <c r="U20" s="706"/>
      <c r="V20" s="705"/>
      <c r="W20" s="706"/>
      <c r="X20" s="1354"/>
      <c r="Y20" s="3665"/>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63"/>
      <c r="Q21" s="1351" t="str">
        <f>B21</f>
        <v>基础设施水平</v>
      </c>
      <c r="R21" s="705" t="s">
        <v>14</v>
      </c>
      <c r="S21" s="706">
        <f>F21</f>
        <v>100</v>
      </c>
      <c r="T21" s="705" t="s">
        <v>14</v>
      </c>
      <c r="U21" s="706">
        <f>H21</f>
        <v>100</v>
      </c>
      <c r="V21" s="705" t="s">
        <v>14</v>
      </c>
      <c r="W21" s="706">
        <f>J21</f>
        <v>100</v>
      </c>
      <c r="X21" s="1354"/>
      <c r="Y21" s="3665"/>
      <c r="Z21" s="1355" t="str">
        <f>Q21</f>
        <v>基础设施水平</v>
      </c>
      <c r="AA21" s="1352">
        <f t="shared" ref="AA21" si="8">D21/F21</f>
        <v>1</v>
      </c>
      <c r="AB21" s="1352">
        <f t="shared" ref="AB21" si="9">D21/H21</f>
        <v>1</v>
      </c>
      <c r="AC21" s="1961">
        <f t="shared" ref="AC21" si="10">D21/J21</f>
        <v>1</v>
      </c>
    </row>
    <row r="22" spans="1:29" ht="15">
      <c r="A22" s="379"/>
      <c r="B22" s="581"/>
      <c r="C22" s="3468" t="s">
        <v>3617</v>
      </c>
      <c r="D22" s="399"/>
      <c r="E22" s="3457" t="s">
        <v>3618</v>
      </c>
      <c r="F22" s="399"/>
      <c r="G22" s="3459" t="s">
        <v>3618</v>
      </c>
      <c r="H22" s="399"/>
      <c r="I22" s="3459" t="s">
        <v>3618</v>
      </c>
      <c r="J22" s="399"/>
      <c r="K22" s="1130"/>
      <c r="L22" s="2720"/>
      <c r="M22" s="2714"/>
      <c r="N22" s="2714"/>
      <c r="O22" s="2714"/>
      <c r="P22" s="3663"/>
      <c r="Q22" s="1351"/>
      <c r="R22" s="705"/>
      <c r="S22" s="706"/>
      <c r="T22" s="705"/>
      <c r="U22" s="706"/>
      <c r="V22" s="705"/>
      <c r="W22" s="706"/>
      <c r="X22" s="1354"/>
      <c r="Y22" s="3665"/>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63"/>
      <c r="Q23" s="1351" t="str">
        <f>B23</f>
        <v>环境质量</v>
      </c>
      <c r="R23" s="705" t="s">
        <v>14</v>
      </c>
      <c r="S23" s="706">
        <f>F23</f>
        <v>100</v>
      </c>
      <c r="T23" s="705" t="s">
        <v>14</v>
      </c>
      <c r="U23" s="706">
        <f>H23</f>
        <v>100</v>
      </c>
      <c r="V23" s="705" t="s">
        <v>14</v>
      </c>
      <c r="W23" s="706">
        <f>J23</f>
        <v>100</v>
      </c>
      <c r="X23" s="1354"/>
      <c r="Y23" s="3665"/>
      <c r="Z23" s="1355" t="str">
        <f>Q23</f>
        <v>环境质量</v>
      </c>
      <c r="AA23" s="1352">
        <f t="shared" si="3"/>
        <v>1</v>
      </c>
      <c r="AB23" s="1352">
        <f t="shared" si="4"/>
        <v>1</v>
      </c>
      <c r="AC23" s="1961">
        <f t="shared" si="5"/>
        <v>1</v>
      </c>
    </row>
    <row r="24" spans="1:29" ht="15">
      <c r="A24" s="379"/>
      <c r="B24" s="581"/>
      <c r="C24" s="3459" t="s">
        <v>3616</v>
      </c>
      <c r="D24" s="399"/>
      <c r="E24" s="3456" t="s">
        <v>3616</v>
      </c>
      <c r="F24" s="399"/>
      <c r="G24" s="3455" t="s">
        <v>3616</v>
      </c>
      <c r="H24" s="399"/>
      <c r="I24" s="3455" t="s">
        <v>3616</v>
      </c>
      <c r="J24" s="399"/>
      <c r="K24" s="564"/>
      <c r="L24" s="2720"/>
      <c r="M24" s="2714"/>
      <c r="N24" s="2714"/>
      <c r="O24" s="2714"/>
      <c r="P24" s="3663"/>
      <c r="Q24" s="1351"/>
      <c r="R24" s="705"/>
      <c r="S24" s="706"/>
      <c r="T24" s="705"/>
      <c r="U24" s="706"/>
      <c r="V24" s="705"/>
      <c r="W24" s="706"/>
      <c r="X24" s="1354"/>
      <c r="Y24" s="3665"/>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663"/>
      <c r="Q25" s="1351" t="str">
        <f>B25</f>
        <v>毗邻道路的类型与等级</v>
      </c>
      <c r="R25" s="705" t="s">
        <v>14</v>
      </c>
      <c r="S25" s="706">
        <f>F25</f>
        <v>100</v>
      </c>
      <c r="T25" s="705" t="s">
        <v>14</v>
      </c>
      <c r="U25" s="706">
        <f>H25</f>
        <v>100</v>
      </c>
      <c r="V25" s="705" t="s">
        <v>14</v>
      </c>
      <c r="W25" s="706">
        <f>J25</f>
        <v>100</v>
      </c>
      <c r="X25" s="1354"/>
      <c r="Y25" s="366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663"/>
      <c r="Q26" s="1351"/>
      <c r="R26" s="705"/>
      <c r="S26" s="706"/>
      <c r="T26" s="705"/>
      <c r="U26" s="706"/>
      <c r="V26" s="705"/>
      <c r="W26" s="706"/>
      <c r="X26" s="1354"/>
      <c r="Y26" s="3665"/>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63"/>
      <c r="Q27" s="1351" t="str">
        <f t="shared" ref="Q27:Q47" si="11">B27</f>
        <v>楼层</v>
      </c>
      <c r="R27" s="705" t="s">
        <v>14</v>
      </c>
      <c r="S27" s="706">
        <f>F27</f>
        <v>100</v>
      </c>
      <c r="T27" s="705" t="s">
        <v>14</v>
      </c>
      <c r="U27" s="706">
        <f>H27</f>
        <v>100</v>
      </c>
      <c r="V27" s="705" t="s">
        <v>14</v>
      </c>
      <c r="W27" s="706">
        <f>J27</f>
        <v>100</v>
      </c>
      <c r="X27" s="1354"/>
      <c r="Y27" s="3665"/>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663"/>
      <c r="Q28" s="1342" t="str">
        <f t="shared" si="11"/>
        <v>朝向</v>
      </c>
      <c r="R28" s="701" t="s">
        <v>14</v>
      </c>
      <c r="S28" s="702">
        <f>F28</f>
        <v>100</v>
      </c>
      <c r="T28" s="701" t="s">
        <v>14</v>
      </c>
      <c r="U28" s="702">
        <f>H28</f>
        <v>100</v>
      </c>
      <c r="V28" s="701" t="s">
        <v>14</v>
      </c>
      <c r="W28" s="702">
        <f>J28</f>
        <v>100</v>
      </c>
      <c r="X28" s="703"/>
      <c r="Y28" s="366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63"/>
      <c r="Q29" s="1351">
        <f t="shared" si="11"/>
        <v>111</v>
      </c>
      <c r="R29" s="705" t="s">
        <v>14</v>
      </c>
      <c r="S29" s="706">
        <f t="shared" ref="S29:S47" si="12">F29</f>
        <v>100</v>
      </c>
      <c r="T29" s="705" t="s">
        <v>14</v>
      </c>
      <c r="U29" s="706">
        <f t="shared" ref="U29:U47" si="13">H29</f>
        <v>100</v>
      </c>
      <c r="V29" s="705" t="s">
        <v>14</v>
      </c>
      <c r="W29" s="706">
        <f t="shared" ref="W29:W47" si="14">J29</f>
        <v>100</v>
      </c>
      <c r="X29" s="1354"/>
      <c r="Y29" s="366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63"/>
      <c r="Q30" s="1351">
        <f t="shared" si="11"/>
        <v>111</v>
      </c>
      <c r="R30" s="705" t="s">
        <v>14</v>
      </c>
      <c r="S30" s="706">
        <f t="shared" si="12"/>
        <v>100</v>
      </c>
      <c r="T30" s="705" t="s">
        <v>14</v>
      </c>
      <c r="U30" s="706">
        <f t="shared" si="13"/>
        <v>100</v>
      </c>
      <c r="V30" s="705" t="s">
        <v>14</v>
      </c>
      <c r="W30" s="706">
        <f t="shared" si="14"/>
        <v>100</v>
      </c>
      <c r="X30" s="1354"/>
      <c r="Y30" s="366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63"/>
      <c r="Q31" s="1351">
        <f t="shared" si="11"/>
        <v>111</v>
      </c>
      <c r="R31" s="705" t="s">
        <v>14</v>
      </c>
      <c r="S31" s="706">
        <f t="shared" si="12"/>
        <v>100</v>
      </c>
      <c r="T31" s="705" t="s">
        <v>14</v>
      </c>
      <c r="U31" s="706">
        <f t="shared" si="13"/>
        <v>100</v>
      </c>
      <c r="V31" s="705" t="s">
        <v>14</v>
      </c>
      <c r="W31" s="706">
        <f t="shared" si="14"/>
        <v>100</v>
      </c>
      <c r="X31" s="1354"/>
      <c r="Y31" s="3665"/>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63"/>
      <c r="Q32" s="1351">
        <f t="shared" si="11"/>
        <v>111</v>
      </c>
      <c r="R32" s="705" t="s">
        <v>14</v>
      </c>
      <c r="S32" s="706">
        <f t="shared" si="12"/>
        <v>100</v>
      </c>
      <c r="T32" s="705" t="s">
        <v>14</v>
      </c>
      <c r="U32" s="706">
        <f t="shared" si="13"/>
        <v>100</v>
      </c>
      <c r="V32" s="705" t="s">
        <v>14</v>
      </c>
      <c r="W32" s="706">
        <f t="shared" si="14"/>
        <v>100</v>
      </c>
      <c r="X32" s="1354"/>
      <c r="Y32" s="3665"/>
      <c r="Z32" s="1355">
        <f t="shared" si="15"/>
        <v>111</v>
      </c>
      <c r="AA32" s="1352">
        <f t="shared" si="3"/>
        <v>1</v>
      </c>
      <c r="AB32" s="1352">
        <f t="shared" si="4"/>
        <v>1</v>
      </c>
      <c r="AC32" s="1961">
        <f t="shared" si="5"/>
        <v>1</v>
      </c>
    </row>
    <row r="33" spans="1:29" ht="15">
      <c r="A33" s="391" t="s">
        <v>1694</v>
      </c>
      <c r="B33" s="63" t="s">
        <v>1817</v>
      </c>
      <c r="C33" s="3469" t="s">
        <v>3619</v>
      </c>
      <c r="D33" s="418">
        <v>100</v>
      </c>
      <c r="E33" s="3469" t="s">
        <v>3619</v>
      </c>
      <c r="F33" s="412">
        <f>SUMIF(101:101,E33,102:102)-SUMIF(101:101,C33,102:102)+100</f>
        <v>100</v>
      </c>
      <c r="G33" s="3469" t="s">
        <v>3619</v>
      </c>
      <c r="H33" s="386">
        <f>SUMIF(101:101,G33,102:102)-SUMIF(101:101,C33,102:102)+100</f>
        <v>100</v>
      </c>
      <c r="I33" s="3469" t="s">
        <v>3619</v>
      </c>
      <c r="J33" s="418">
        <f>SUMIF(101:101,I33,102:102)-SUMIF(101:101,C33,102:102)+100</f>
        <v>100</v>
      </c>
      <c r="K33" s="561"/>
      <c r="L33" s="2720"/>
      <c r="M33" s="2714"/>
      <c r="N33" s="2714"/>
      <c r="O33" s="2714"/>
      <c r="P33" s="3666" t="s">
        <v>1696</v>
      </c>
      <c r="Q33" s="1351" t="str">
        <f t="shared" si="11"/>
        <v>建筑类型</v>
      </c>
      <c r="R33" s="705" t="s">
        <v>14</v>
      </c>
      <c r="S33" s="706">
        <f t="shared" si="12"/>
        <v>100</v>
      </c>
      <c r="T33" s="705" t="s">
        <v>14</v>
      </c>
      <c r="U33" s="706">
        <f t="shared" si="13"/>
        <v>100</v>
      </c>
      <c r="V33" s="705" t="s">
        <v>14</v>
      </c>
      <c r="W33" s="706">
        <f t="shared" si="14"/>
        <v>100</v>
      </c>
      <c r="X33" s="1354"/>
      <c r="Y33" s="3669" t="s">
        <v>1696</v>
      </c>
      <c r="Z33" s="1355" t="str">
        <f t="shared" si="15"/>
        <v>建筑类型</v>
      </c>
      <c r="AA33" s="1352">
        <f t="shared" si="3"/>
        <v>1</v>
      </c>
      <c r="AB33" s="1352">
        <f t="shared" si="4"/>
        <v>1</v>
      </c>
      <c r="AC33" s="1961">
        <f t="shared" si="5"/>
        <v>1</v>
      </c>
    </row>
    <row r="34" spans="1:29" s="422" customFormat="1" ht="15">
      <c r="A34" s="419"/>
      <c r="B34" s="375" t="s">
        <v>1697</v>
      </c>
      <c r="C34" s="420">
        <f>D3</f>
        <v>1216.8699999999999</v>
      </c>
      <c r="D34" s="127">
        <v>100</v>
      </c>
      <c r="E34" s="381">
        <v>1349.71</v>
      </c>
      <c r="F34" s="376">
        <f>LOOKUP(E34,104:104,105:105)-LOOKUP(C34,104:104,105:105)+100</f>
        <v>100</v>
      </c>
      <c r="G34" s="380">
        <v>1072.94</v>
      </c>
      <c r="H34" s="127">
        <f>LOOKUP(G34,104:104,105:105)-LOOKUP(C34,104:104,105:105)+100</f>
        <v>100</v>
      </c>
      <c r="I34" s="380">
        <v>1863</v>
      </c>
      <c r="J34" s="127">
        <f>LOOKUP(I34,104:104,105:105)-LOOKUP(C34,104:104,105:105)+100</f>
        <v>100</v>
      </c>
      <c r="K34" s="562"/>
      <c r="L34" s="2719"/>
      <c r="M34" s="2721"/>
      <c r="N34" s="2721"/>
      <c r="O34" s="2721"/>
      <c r="P34" s="3667"/>
      <c r="Q34" s="707" t="str">
        <f t="shared" si="11"/>
        <v>项目建筑规模</v>
      </c>
      <c r="R34" s="708" t="s">
        <v>14</v>
      </c>
      <c r="S34" s="709">
        <f t="shared" si="12"/>
        <v>100</v>
      </c>
      <c r="T34" s="708" t="s">
        <v>14</v>
      </c>
      <c r="U34" s="709">
        <f t="shared" si="13"/>
        <v>100</v>
      </c>
      <c r="V34" s="708" t="s">
        <v>14</v>
      </c>
      <c r="W34" s="709">
        <f t="shared" si="14"/>
        <v>100</v>
      </c>
      <c r="X34" s="710"/>
      <c r="Y34" s="3669"/>
      <c r="Z34" s="711" t="str">
        <f t="shared" si="15"/>
        <v>项目建筑规模</v>
      </c>
      <c r="AA34" s="1352">
        <f t="shared" si="3"/>
        <v>1</v>
      </c>
      <c r="AB34" s="1352">
        <f t="shared" si="4"/>
        <v>1</v>
      </c>
      <c r="AC34" s="1961">
        <f t="shared" si="5"/>
        <v>1</v>
      </c>
    </row>
    <row r="35" spans="1:29" ht="15">
      <c r="A35" s="423"/>
      <c r="B35" s="375" t="s">
        <v>1698</v>
      </c>
      <c r="C35" s="3470" t="s">
        <v>3620</v>
      </c>
      <c r="D35" s="386">
        <v>100</v>
      </c>
      <c r="E35" s="3470" t="s">
        <v>3621</v>
      </c>
      <c r="F35" s="412">
        <f>SUMIF(106:106,E35,107:107)-SUMIF(106:106,C35,107:107)+100</f>
        <v>102</v>
      </c>
      <c r="G35" s="3470" t="s">
        <v>3621</v>
      </c>
      <c r="H35" s="386">
        <f>SUMIF(106:106,G35,107:107)-SUMIF(106:106,C35,107:107)+100</f>
        <v>102</v>
      </c>
      <c r="I35" s="3470" t="s">
        <v>3621</v>
      </c>
      <c r="J35" s="386">
        <f>SUMIF(106:106,I35,107:107)-SUMIF(106:106,C35,107:107)+100</f>
        <v>102</v>
      </c>
      <c r="K35" s="561">
        <v>2</v>
      </c>
      <c r="L35" s="2720"/>
      <c r="M35" s="2714"/>
      <c r="N35" s="2714"/>
      <c r="O35" s="2714"/>
      <c r="P35" s="3667"/>
      <c r="Q35" s="1351" t="str">
        <f t="shared" si="11"/>
        <v>建筑结构</v>
      </c>
      <c r="R35" s="705" t="s">
        <v>14</v>
      </c>
      <c r="S35" s="706">
        <f t="shared" si="12"/>
        <v>102</v>
      </c>
      <c r="T35" s="705" t="s">
        <v>14</v>
      </c>
      <c r="U35" s="706">
        <f t="shared" si="13"/>
        <v>102</v>
      </c>
      <c r="V35" s="705" t="s">
        <v>14</v>
      </c>
      <c r="W35" s="706">
        <f t="shared" si="14"/>
        <v>102</v>
      </c>
      <c r="X35" s="1354"/>
      <c r="Y35" s="3669"/>
      <c r="Z35" s="1355" t="str">
        <f t="shared" si="15"/>
        <v>建筑结构</v>
      </c>
      <c r="AA35" s="1352">
        <f t="shared" si="3"/>
        <v>0.98039215686274506</v>
      </c>
      <c r="AB35" s="1352">
        <f t="shared" si="4"/>
        <v>0.98039215686274506</v>
      </c>
      <c r="AC35" s="1961">
        <f t="shared" si="5"/>
        <v>0.98039215686274506</v>
      </c>
    </row>
    <row r="36" spans="1:29" ht="15">
      <c r="A36" s="423"/>
      <c r="B36" s="375" t="s">
        <v>1785</v>
      </c>
      <c r="C36" s="3470" t="s">
        <v>3622</v>
      </c>
      <c r="D36" s="386">
        <v>100</v>
      </c>
      <c r="E36" s="3470" t="s">
        <v>3623</v>
      </c>
      <c r="F36" s="412">
        <f>SUMIF(108:108,E36,109:109)-SUMIF(108:108,C36,109:109)+100</f>
        <v>102</v>
      </c>
      <c r="G36" s="3470" t="s">
        <v>3623</v>
      </c>
      <c r="H36" s="386">
        <f>SUMIF(108:108,G36,109:109)-SUMIF(108:108,C36,109:109)+100</f>
        <v>102</v>
      </c>
      <c r="I36" s="3470" t="s">
        <v>3623</v>
      </c>
      <c r="J36" s="386">
        <f>SUMIF(108:108,I36,109:109)-SUMIF(108:108,C36,109:109)+100</f>
        <v>102</v>
      </c>
      <c r="K36" s="561">
        <v>2</v>
      </c>
      <c r="L36" s="2720"/>
      <c r="M36" s="2714"/>
      <c r="N36" s="2714"/>
      <c r="O36" s="2714"/>
      <c r="P36" s="3667"/>
      <c r="Q36" s="1351" t="str">
        <f t="shared" si="11"/>
        <v>公共部分装修</v>
      </c>
      <c r="R36" s="705" t="s">
        <v>14</v>
      </c>
      <c r="S36" s="706">
        <f t="shared" si="12"/>
        <v>102</v>
      </c>
      <c r="T36" s="705" t="s">
        <v>14</v>
      </c>
      <c r="U36" s="706">
        <f t="shared" si="13"/>
        <v>102</v>
      </c>
      <c r="V36" s="705" t="s">
        <v>14</v>
      </c>
      <c r="W36" s="706">
        <f t="shared" si="14"/>
        <v>102</v>
      </c>
      <c r="X36" s="1354"/>
      <c r="Y36" s="3669"/>
      <c r="Z36" s="1355" t="str">
        <f t="shared" si="15"/>
        <v>公共部分装修</v>
      </c>
      <c r="AA36" s="1352">
        <f t="shared" si="3"/>
        <v>0.98039215686274506</v>
      </c>
      <c r="AB36" s="1352">
        <f t="shared" si="4"/>
        <v>0.98039215686274506</v>
      </c>
      <c r="AC36" s="1961">
        <f t="shared" si="5"/>
        <v>0.98039215686274506</v>
      </c>
    </row>
    <row r="37" spans="1:29" ht="15">
      <c r="A37" s="423"/>
      <c r="B37" s="375" t="s">
        <v>1786</v>
      </c>
      <c r="C37" s="425">
        <v>0.72</v>
      </c>
      <c r="D37" s="386">
        <v>100</v>
      </c>
      <c r="E37" s="425">
        <v>0.7</v>
      </c>
      <c r="F37" s="412">
        <f>LOOKUP(E37,111:111,112:112)-LOOKUP(C37,111:111,112:112)+100</f>
        <v>100</v>
      </c>
      <c r="G37" s="425">
        <v>0.8</v>
      </c>
      <c r="H37" s="412">
        <f>LOOKUP(G37,111:111,112:112)-LOOKUP(C37,111:111,112:112)+100</f>
        <v>102</v>
      </c>
      <c r="I37" s="425">
        <v>0.8</v>
      </c>
      <c r="J37" s="386">
        <f>LOOKUP(I37,111:111,112:112)-LOOKUP(C37,111:111,112:112)+100</f>
        <v>102</v>
      </c>
      <c r="K37" s="561">
        <v>2</v>
      </c>
      <c r="L37" s="2720"/>
      <c r="M37" s="2714"/>
      <c r="N37" s="2714"/>
      <c r="O37" s="2714"/>
      <c r="P37" s="3667"/>
      <c r="Q37" s="1351" t="str">
        <f t="shared" si="11"/>
        <v>成新度</v>
      </c>
      <c r="R37" s="705" t="s">
        <v>14</v>
      </c>
      <c r="S37" s="706">
        <f t="shared" si="12"/>
        <v>100</v>
      </c>
      <c r="T37" s="705" t="s">
        <v>14</v>
      </c>
      <c r="U37" s="706">
        <f t="shared" si="13"/>
        <v>102</v>
      </c>
      <c r="V37" s="705" t="s">
        <v>14</v>
      </c>
      <c r="W37" s="706">
        <f t="shared" si="14"/>
        <v>102</v>
      </c>
      <c r="X37" s="1354"/>
      <c r="Y37" s="3669"/>
      <c r="Z37" s="1355" t="str">
        <f t="shared" si="15"/>
        <v>成新度</v>
      </c>
      <c r="AA37" s="1352">
        <f t="shared" si="3"/>
        <v>1</v>
      </c>
      <c r="AB37" s="1352">
        <f t="shared" si="4"/>
        <v>0.98039215686274506</v>
      </c>
      <c r="AC37" s="1961">
        <f t="shared" si="5"/>
        <v>0.98039215686274506</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7"/>
      <c r="Q38" s="1342" t="str">
        <f t="shared" si="11"/>
        <v>写字楼等级</v>
      </c>
      <c r="R38" s="701" t="s">
        <v>14</v>
      </c>
      <c r="S38" s="702">
        <f t="shared" si="12"/>
        <v>100</v>
      </c>
      <c r="T38" s="701" t="s">
        <v>14</v>
      </c>
      <c r="U38" s="702">
        <f t="shared" si="13"/>
        <v>100</v>
      </c>
      <c r="V38" s="701" t="s">
        <v>14</v>
      </c>
      <c r="W38" s="702">
        <f t="shared" si="14"/>
        <v>100</v>
      </c>
      <c r="X38" s="703"/>
      <c r="Y38" s="3669"/>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67" t="s">
        <v>1696</v>
      </c>
      <c r="Q39" s="1351" t="str">
        <f t="shared" si="11"/>
        <v>物业管理</v>
      </c>
      <c r="R39" s="705" t="s">
        <v>14</v>
      </c>
      <c r="S39" s="706">
        <f t="shared" si="12"/>
        <v>100</v>
      </c>
      <c r="T39" s="705" t="s">
        <v>14</v>
      </c>
      <c r="U39" s="706">
        <f t="shared" si="13"/>
        <v>100</v>
      </c>
      <c r="V39" s="705" t="s">
        <v>14</v>
      </c>
      <c r="W39" s="706">
        <f t="shared" si="14"/>
        <v>100</v>
      </c>
      <c r="X39" s="1354"/>
      <c r="Y39" s="3669" t="s">
        <v>1696</v>
      </c>
      <c r="Z39" s="1355" t="str">
        <f t="shared" si="15"/>
        <v>物业管理</v>
      </c>
      <c r="AA39" s="1352">
        <f t="shared" si="3"/>
        <v>1</v>
      </c>
      <c r="AB39" s="1352">
        <f t="shared" si="4"/>
        <v>1</v>
      </c>
      <c r="AC39" s="1961">
        <f t="shared" si="5"/>
        <v>1</v>
      </c>
    </row>
    <row r="40" spans="1:29" ht="15">
      <c r="A40" s="423"/>
      <c r="B40" s="375" t="s">
        <v>1787</v>
      </c>
      <c r="C40" s="3470" t="s">
        <v>3629</v>
      </c>
      <c r="D40" s="386">
        <v>100</v>
      </c>
      <c r="E40" s="3470" t="s">
        <v>3625</v>
      </c>
      <c r="F40" s="412">
        <f>SUMIF(117:117,E40,118:118)-SUMIF(117:117,C40,118:118)+100</f>
        <v>98</v>
      </c>
      <c r="G40" s="3470" t="s">
        <v>3625</v>
      </c>
      <c r="H40" s="386">
        <f>SUMIF(117:117,G40,118:118)-SUMIF(117:117,C40,118:118)+100</f>
        <v>98</v>
      </c>
      <c r="I40" s="3470" t="s">
        <v>3624</v>
      </c>
      <c r="J40" s="386">
        <f>SUMIF(117:117,I40,118:118)-SUMIF(117:117,C40,118:118)+100</f>
        <v>98</v>
      </c>
      <c r="K40" s="561">
        <v>1</v>
      </c>
      <c r="L40" s="2720"/>
      <c r="M40" s="2714"/>
      <c r="N40" s="2714"/>
      <c r="O40" s="2714"/>
      <c r="P40" s="3667"/>
      <c r="Q40" s="1351" t="str">
        <f t="shared" si="11"/>
        <v>市政基础设施</v>
      </c>
      <c r="R40" s="705" t="s">
        <v>14</v>
      </c>
      <c r="S40" s="706">
        <f t="shared" si="12"/>
        <v>98</v>
      </c>
      <c r="T40" s="705" t="s">
        <v>14</v>
      </c>
      <c r="U40" s="706">
        <f t="shared" si="13"/>
        <v>98</v>
      </c>
      <c r="V40" s="705" t="s">
        <v>14</v>
      </c>
      <c r="W40" s="706">
        <f t="shared" si="14"/>
        <v>98</v>
      </c>
      <c r="X40" s="1354"/>
      <c r="Y40" s="3669"/>
      <c r="Z40" s="1355" t="str">
        <f t="shared" si="15"/>
        <v>市政基础设施</v>
      </c>
      <c r="AA40" s="1352">
        <f t="shared" si="3"/>
        <v>1.0204081632653061</v>
      </c>
      <c r="AB40" s="1352">
        <f t="shared" si="4"/>
        <v>1.0204081632653061</v>
      </c>
      <c r="AC40" s="1961">
        <f t="shared" si="5"/>
        <v>1.0204081632653061</v>
      </c>
    </row>
    <row r="41" spans="1:29" ht="15">
      <c r="A41" s="423"/>
      <c r="B41" s="375" t="s">
        <v>1789</v>
      </c>
      <c r="C41" s="565" t="s">
        <v>3633</v>
      </c>
      <c r="D41" s="386">
        <v>100</v>
      </c>
      <c r="E41" s="565" t="s">
        <v>3633</v>
      </c>
      <c r="F41" s="412">
        <f>SUMIF(119:119,E41,120:120)-SUMIF(119:119,C41,120:120)+100</f>
        <v>100</v>
      </c>
      <c r="G41" s="565" t="s">
        <v>3633</v>
      </c>
      <c r="H41" s="386">
        <f>SUMIF(119:119,G41,120:120)-SUMIF(119:119,C41,120:120)+100</f>
        <v>100</v>
      </c>
      <c r="I41" s="565" t="s">
        <v>3633</v>
      </c>
      <c r="J41" s="386">
        <f>SUMIF(119:119,I41,120:120)-SUMIF(119:119,C41,120:120)+100</f>
        <v>100</v>
      </c>
      <c r="K41" s="561">
        <v>5</v>
      </c>
      <c r="L41" s="2720"/>
      <c r="M41" s="2714"/>
      <c r="N41" s="2714"/>
      <c r="O41" s="2714"/>
      <c r="P41" s="3667"/>
      <c r="Q41" s="1351" t="str">
        <f t="shared" si="11"/>
        <v>层高</v>
      </c>
      <c r="R41" s="705" t="s">
        <v>14</v>
      </c>
      <c r="S41" s="706">
        <f t="shared" si="12"/>
        <v>100</v>
      </c>
      <c r="T41" s="705" t="s">
        <v>14</v>
      </c>
      <c r="U41" s="706">
        <f t="shared" si="13"/>
        <v>100</v>
      </c>
      <c r="V41" s="705" t="s">
        <v>14</v>
      </c>
      <c r="W41" s="706">
        <f t="shared" si="14"/>
        <v>100</v>
      </c>
      <c r="X41" s="1354"/>
      <c r="Y41" s="3669"/>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7"/>
      <c r="Q42" s="707" t="str">
        <f t="shared" si="11"/>
        <v>单套建筑面积</v>
      </c>
      <c r="R42" s="708" t="s">
        <v>14</v>
      </c>
      <c r="S42" s="709">
        <f t="shared" si="12"/>
        <v>100</v>
      </c>
      <c r="T42" s="708" t="s">
        <v>14</v>
      </c>
      <c r="U42" s="709">
        <f t="shared" si="13"/>
        <v>100</v>
      </c>
      <c r="V42" s="708" t="s">
        <v>14</v>
      </c>
      <c r="W42" s="709">
        <f t="shared" si="14"/>
        <v>100</v>
      </c>
      <c r="X42" s="710"/>
      <c r="Y42" s="3669"/>
      <c r="Z42" s="711" t="str">
        <f t="shared" si="15"/>
        <v>单套建筑面积</v>
      </c>
      <c r="AA42" s="1352">
        <f t="shared" si="3"/>
        <v>1</v>
      </c>
      <c r="AB42" s="1352">
        <f t="shared" si="4"/>
        <v>1</v>
      </c>
      <c r="AC42" s="1961">
        <f t="shared" si="5"/>
        <v>1</v>
      </c>
    </row>
    <row r="43" spans="1:29" ht="15">
      <c r="A43" s="423"/>
      <c r="B43" s="375" t="s">
        <v>1792</v>
      </c>
      <c r="C43" s="3470" t="s">
        <v>3622</v>
      </c>
      <c r="D43" s="386">
        <v>100</v>
      </c>
      <c r="E43" s="3470" t="s">
        <v>3623</v>
      </c>
      <c r="F43" s="412">
        <f>SUMIF(123:123,E43,124:124)-SUMIF(123:123,C43,124:124)+100</f>
        <v>102</v>
      </c>
      <c r="G43" s="3470" t="s">
        <v>3623</v>
      </c>
      <c r="H43" s="386">
        <f>SUMIF(123:123,G43,124:124)-SUMIF(123:123,C43,124:124)+100</f>
        <v>102</v>
      </c>
      <c r="I43" s="3470" t="s">
        <v>3623</v>
      </c>
      <c r="J43" s="386">
        <f>SUMIF(123:123,I43,124:124)-SUMIF(123:123,C43,124:124)+100</f>
        <v>102</v>
      </c>
      <c r="K43" s="561">
        <v>2</v>
      </c>
      <c r="L43" s="2720"/>
      <c r="M43" s="2714"/>
      <c r="N43" s="2714"/>
      <c r="O43" s="2714"/>
      <c r="P43" s="3667"/>
      <c r="Q43" s="1351" t="str">
        <f t="shared" si="11"/>
        <v>内部装修</v>
      </c>
      <c r="R43" s="705" t="s">
        <v>14</v>
      </c>
      <c r="S43" s="706">
        <f t="shared" si="12"/>
        <v>102</v>
      </c>
      <c r="T43" s="705" t="s">
        <v>14</v>
      </c>
      <c r="U43" s="706">
        <f t="shared" si="13"/>
        <v>102</v>
      </c>
      <c r="V43" s="705" t="s">
        <v>14</v>
      </c>
      <c r="W43" s="706">
        <f t="shared" si="14"/>
        <v>102</v>
      </c>
      <c r="X43" s="1354"/>
      <c r="Y43" s="3669"/>
      <c r="Z43" s="1355" t="str">
        <f t="shared" si="15"/>
        <v>内部装修</v>
      </c>
      <c r="AA43" s="1352">
        <f t="shared" si="3"/>
        <v>0.98039215686274506</v>
      </c>
      <c r="AB43" s="1352">
        <f t="shared" si="4"/>
        <v>0.98039215686274506</v>
      </c>
      <c r="AC43" s="1961">
        <f t="shared" si="5"/>
        <v>0.98039215686274506</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v>2</v>
      </c>
      <c r="L44" s="2720"/>
      <c r="M44" s="2714"/>
      <c r="N44" s="2714"/>
      <c r="O44" s="2714"/>
      <c r="P44" s="3667"/>
      <c r="Q44" s="1351" t="str">
        <f t="shared" si="11"/>
        <v>内部装修维护情况</v>
      </c>
      <c r="R44" s="705" t="s">
        <v>14</v>
      </c>
      <c r="S44" s="706">
        <f t="shared" si="12"/>
        <v>100</v>
      </c>
      <c r="T44" s="705" t="s">
        <v>14</v>
      </c>
      <c r="U44" s="706">
        <f t="shared" si="13"/>
        <v>100</v>
      </c>
      <c r="V44" s="705" t="s">
        <v>14</v>
      </c>
      <c r="W44" s="706">
        <f t="shared" si="14"/>
        <v>100</v>
      </c>
      <c r="X44" s="1354"/>
      <c r="Y44" s="3669"/>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7"/>
      <c r="Q45" s="1342">
        <f t="shared" si="11"/>
        <v>111</v>
      </c>
      <c r="R45" s="701" t="s">
        <v>14</v>
      </c>
      <c r="S45" s="702">
        <f t="shared" si="12"/>
        <v>100</v>
      </c>
      <c r="T45" s="701" t="s">
        <v>14</v>
      </c>
      <c r="U45" s="702">
        <f t="shared" si="13"/>
        <v>100</v>
      </c>
      <c r="V45" s="701" t="s">
        <v>14</v>
      </c>
      <c r="W45" s="702">
        <f t="shared" si="14"/>
        <v>100</v>
      </c>
      <c r="X45" s="703"/>
      <c r="Y45" s="3669"/>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7"/>
      <c r="Q46" s="1351">
        <f t="shared" si="11"/>
        <v>111</v>
      </c>
      <c r="R46" s="705" t="s">
        <v>14</v>
      </c>
      <c r="S46" s="706">
        <f t="shared" si="12"/>
        <v>100</v>
      </c>
      <c r="T46" s="705" t="s">
        <v>14</v>
      </c>
      <c r="U46" s="706">
        <f t="shared" si="13"/>
        <v>100</v>
      </c>
      <c r="V46" s="705" t="s">
        <v>14</v>
      </c>
      <c r="W46" s="706">
        <f t="shared" si="14"/>
        <v>100</v>
      </c>
      <c r="X46" s="1354"/>
      <c r="Y46" s="366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8"/>
      <c r="Q47" s="1351">
        <f t="shared" si="11"/>
        <v>111</v>
      </c>
      <c r="R47" s="705" t="s">
        <v>14</v>
      </c>
      <c r="S47" s="706">
        <f t="shared" si="12"/>
        <v>100</v>
      </c>
      <c r="T47" s="705" t="s">
        <v>14</v>
      </c>
      <c r="U47" s="706">
        <f t="shared" si="13"/>
        <v>100</v>
      </c>
      <c r="V47" s="705" t="s">
        <v>14</v>
      </c>
      <c r="W47" s="706">
        <f t="shared" si="14"/>
        <v>100</v>
      </c>
      <c r="X47" s="1354"/>
      <c r="Y47" s="3670"/>
      <c r="Z47" s="1355">
        <f t="shared" si="15"/>
        <v>111</v>
      </c>
      <c r="AA47" s="1352">
        <f t="shared" si="3"/>
        <v>1</v>
      </c>
      <c r="AB47" s="1352">
        <f t="shared" si="4"/>
        <v>1</v>
      </c>
      <c r="AC47" s="1961">
        <f t="shared" si="5"/>
        <v>1</v>
      </c>
    </row>
    <row r="48" spans="1:29" ht="15">
      <c r="A48" s="430" t="s">
        <v>1708</v>
      </c>
      <c r="B48" s="431"/>
      <c r="C48" s="1154" t="s">
        <v>0</v>
      </c>
      <c r="D48" s="1155"/>
      <c r="E48" s="1156">
        <v>20005</v>
      </c>
      <c r="F48" s="1157"/>
      <c r="G48" s="1158">
        <v>22835</v>
      </c>
      <c r="H48" s="1159"/>
      <c r="I48" s="1156">
        <v>21004</v>
      </c>
      <c r="J48" s="436"/>
      <c r="K48" s="714"/>
      <c r="L48" s="2722"/>
      <c r="M48" s="2714"/>
      <c r="N48" s="2714"/>
      <c r="O48" s="2714"/>
      <c r="P48" s="3656" t="str">
        <f>A48</f>
        <v>成交单价（元/平方米）</v>
      </c>
      <c r="Q48" s="3657"/>
      <c r="R48" s="3658">
        <f>E48</f>
        <v>20005</v>
      </c>
      <c r="S48" s="3658"/>
      <c r="T48" s="3658">
        <f>G48</f>
        <v>22835</v>
      </c>
      <c r="U48" s="3658"/>
      <c r="V48" s="3658">
        <f>I48</f>
        <v>21004</v>
      </c>
      <c r="W48" s="3658"/>
      <c r="X48" s="397"/>
      <c r="Y48" s="712"/>
      <c r="Z48" s="397"/>
      <c r="AA48" s="397"/>
      <c r="AB48" s="397"/>
      <c r="AC48" s="578"/>
    </row>
    <row r="49" spans="1:29" ht="15.75" thickBot="1">
      <c r="A49" s="437" t="s">
        <v>1793</v>
      </c>
      <c r="B49" s="438"/>
      <c r="C49" s="1160">
        <f>R50</f>
        <v>19144</v>
      </c>
      <c r="D49" s="2316" t="s">
        <v>2138</v>
      </c>
      <c r="E49" s="1161">
        <f>R49</f>
        <v>18489</v>
      </c>
      <c r="F49" s="2317"/>
      <c r="G49" s="1160">
        <f>T49</f>
        <v>20285</v>
      </c>
      <c r="H49" s="2317"/>
      <c r="I49" s="1161">
        <f>V49</f>
        <v>18658</v>
      </c>
      <c r="J49" s="2317"/>
      <c r="K49" s="2319">
        <f>F49+H49+J49</f>
        <v>0</v>
      </c>
      <c r="L49" s="2722"/>
      <c r="M49" s="2714"/>
      <c r="N49" s="2714"/>
      <c r="O49" s="2714"/>
      <c r="P49" s="3656" t="str">
        <f>A49</f>
        <v>比较价值（元/平方米）</v>
      </c>
      <c r="Q49" s="3657"/>
      <c r="R49" s="3658">
        <f>IF(F1="售价",ROUND(PRODUCT(R48,AA7:AA47),0),ROUND(PRODUCT(R48,AA7:AA47),1))</f>
        <v>18489</v>
      </c>
      <c r="S49" s="3658"/>
      <c r="T49" s="3658">
        <f>IF(F1="售价",ROUND(PRODUCT(T48,AB7:AB47),0),ROUND(PRODUCT(T48,AB7:AB47),1))</f>
        <v>20285</v>
      </c>
      <c r="U49" s="3658"/>
      <c r="V49" s="3658">
        <f>IF(F1="售价",ROUND(PRODUCT(V48,AC7:AC47),0),ROUND(PRODUCT(V48,AC7:AC47),1))</f>
        <v>18658</v>
      </c>
      <c r="W49" s="3658"/>
      <c r="X49" s="397"/>
      <c r="Y49" s="397"/>
      <c r="Z49" s="397"/>
      <c r="AA49" s="397"/>
      <c r="AB49" s="397"/>
      <c r="AC49" s="578"/>
    </row>
    <row r="50" spans="1:29" ht="15.75" thickBot="1">
      <c r="A50" s="441" t="s">
        <v>1794</v>
      </c>
      <c r="B50" s="442"/>
      <c r="C50" s="1163">
        <f>R50</f>
        <v>19144</v>
      </c>
      <c r="D50" s="1163"/>
      <c r="E50" s="1163"/>
      <c r="F50" s="1163"/>
      <c r="G50" s="1163"/>
      <c r="H50" s="1163"/>
      <c r="I50" s="1163"/>
      <c r="J50" s="443"/>
      <c r="K50" s="715"/>
      <c r="L50" s="2722"/>
      <c r="M50" s="2714"/>
      <c r="N50" s="2714"/>
      <c r="O50" s="2714"/>
      <c r="P50" s="3659" t="str">
        <f>A50</f>
        <v>估价对象XX用房的比较价值（楼面单价，元/平方米）</v>
      </c>
      <c r="Q50" s="3660"/>
      <c r="R50" s="3661">
        <f>IF(F1="售价",ROUND(IF(D49="简单平均",AVERAGE(R49:V49),R49*F49+T49*H49+V49*J49),0),ROUND(IF(D49="简单平均",AVERAGE(R49:V49),R49*F49+T49*H49+V49*J49),1))</f>
        <v>19144</v>
      </c>
      <c r="S50" s="3661"/>
      <c r="T50" s="3661"/>
      <c r="U50" s="3661"/>
      <c r="V50" s="3661"/>
      <c r="W50" s="3661"/>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8.1994699551084516E-2</v>
      </c>
      <c r="F53" s="449" t="str">
        <f>IF(OR(E53&gt;=0.3,E53&lt;=-0.3),"超过30%","")</f>
        <v/>
      </c>
      <c r="G53" s="448">
        <f>IF(G48&lt;G49,G49/G48-1,G48/G49-1)</f>
        <v>0.12570865171308854</v>
      </c>
      <c r="H53" s="449" t="str">
        <f>IF(OR(G53&gt;=0.3,G53&lt;=-0.3),"超过30%","")</f>
        <v/>
      </c>
      <c r="I53" s="448">
        <f>IF(I48&lt;I49,I49/I48-1,I48/I49-1)</f>
        <v>0.12573694929788837</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9.7138839309860003E-2</v>
      </c>
      <c r="F54" s="449" t="str">
        <f>IF(OR(E54&gt;=0.2,E54&lt;=-0.2),"超过20%","")</f>
        <v/>
      </c>
      <c r="G54" s="448">
        <f>IF(G49&lt;I49,I49/G49-1,G49/I49-1)</f>
        <v>8.7201200557401659E-2</v>
      </c>
      <c r="H54" s="449" t="str">
        <f>IF(OR(G54&gt;=0.2,G54&lt;=-0.2),"超过20%","")</f>
        <v/>
      </c>
      <c r="I54" s="448">
        <f>IF(I49&lt;E49,E49/I49-1,I49/E49-1)</f>
        <v>9.1405700686895131E-3</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0.14146463384153951</v>
      </c>
      <c r="F55" s="449" t="str">
        <f>IF(OR(E55&gt;=0.3,E55&lt;=-0.3),"超过30%","")</f>
        <v/>
      </c>
      <c r="G55" s="448">
        <f>IF(G48&lt;I48,I48/G48-1,G48/I48-1)</f>
        <v>8.7173871643496437E-2</v>
      </c>
      <c r="H55" s="449" t="str">
        <f>IF(OR(G55&gt;=0.3,G55&lt;=-0.3),"超过30%","")</f>
        <v/>
      </c>
      <c r="I55" s="448">
        <f>IF(I48&lt;E48,E48/I48-1,I48/E48-1)</f>
        <v>4.993751562109483E-2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71" t="s">
        <v>3627</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3614</v>
      </c>
      <c r="D66" s="532" t="s">
        <v>3613</v>
      </c>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v>102</v>
      </c>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1737</v>
      </c>
      <c r="C103" s="527" t="str">
        <f>C104&amp;"(含)"&amp;"-"&amp;D104</f>
        <v>0(含)-1000</v>
      </c>
      <c r="D103" s="527" t="str">
        <f t="shared" ref="D103:L103" si="23">D104&amp;"(含)"&amp;"-"&amp;E104</f>
        <v>1000(含)-2000</v>
      </c>
      <c r="E103" s="527" t="str">
        <f t="shared" si="23"/>
        <v>2000(含)-3000</v>
      </c>
      <c r="F103" s="527" t="str">
        <f t="shared" si="23"/>
        <v>3000(含)-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1000</v>
      </c>
      <c r="E104" s="544">
        <v>2000</v>
      </c>
      <c r="F104" s="544">
        <v>3000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98</v>
      </c>
      <c r="E105" s="485">
        <v>96</v>
      </c>
      <c r="F105" s="485">
        <v>94</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3" t="s">
        <v>3621</v>
      </c>
      <c r="D106" s="3463" t="s">
        <v>3620</v>
      </c>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3" t="s">
        <v>3623</v>
      </c>
      <c r="D108" s="3463" t="s">
        <v>3622</v>
      </c>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3" t="s">
        <v>3630</v>
      </c>
      <c r="D117" s="3463" t="s">
        <v>3631</v>
      </c>
      <c r="E117" s="3463" t="s">
        <v>3632</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2" t="s">
        <v>3634</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3" t="s">
        <v>3623</v>
      </c>
      <c r="D123" s="3463" t="s">
        <v>3622</v>
      </c>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北京市房地产市场价值预评估</v>
      </c>
      <c r="C37" s="3473"/>
      <c r="D37" s="3473"/>
      <c r="E37" s="3473"/>
      <c r="F37" s="3473"/>
      <c r="G37" s="3473"/>
      <c r="H37" s="3473"/>
      <c r="I37" s="3473"/>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t="s">
        <v>21</v>
      </c>
      <c r="C1" s="198"/>
      <c r="D1" s="198"/>
      <c r="E1" s="198"/>
      <c r="F1" s="198"/>
      <c r="G1" s="1126">
        <f>MATCH(B1,'数据-取费表'!A6:A16,0)+5</f>
        <v>6</v>
      </c>
    </row>
    <row r="2" spans="1:9" s="200" customFormat="1" ht="18" customHeight="1">
      <c r="A2" s="201" t="s">
        <v>1462</v>
      </c>
      <c r="B2" s="202">
        <f ca="1">IF(D2="——",C52,C52-E2)</f>
        <v>1673</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13748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958</v>
      </c>
      <c r="D5" s="211" t="s">
        <v>1469</v>
      </c>
      <c r="E5" s="212" t="s">
        <v>1470</v>
      </c>
      <c r="F5" s="212" t="s">
        <v>1471</v>
      </c>
      <c r="G5" s="213"/>
    </row>
    <row r="6" spans="1:9" s="214" customFormat="1" ht="13.5" customHeight="1">
      <c r="A6" s="778" t="s">
        <v>1472</v>
      </c>
      <c r="B6" s="215" t="s">
        <v>1473</v>
      </c>
      <c r="C6" s="216">
        <f>基准地价修正!B2</f>
        <v>906</v>
      </c>
      <c r="D6" s="217"/>
      <c r="E6" s="218"/>
      <c r="F6" s="218"/>
      <c r="G6" s="219"/>
    </row>
    <row r="7" spans="1:9" s="214" customFormat="1" ht="13.5" customHeight="1">
      <c r="A7" s="778" t="s">
        <v>1474</v>
      </c>
      <c r="B7" s="215" t="s">
        <v>1475</v>
      </c>
      <c r="C7" s="220">
        <f>ROUND(C6*F7,0)</f>
        <v>28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24</v>
      </c>
      <c r="D8" s="222"/>
      <c r="E8" s="220"/>
      <c r="F8" s="221"/>
      <c r="G8" s="1855"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3403</v>
      </c>
      <c r="H9" s="1137"/>
      <c r="I9" s="1857" t="s">
        <v>1479</v>
      </c>
    </row>
    <row r="10" spans="1:9" s="214" customFormat="1" ht="13.5" customHeight="1">
      <c r="A10" s="779" t="s">
        <v>356</v>
      </c>
      <c r="B10" s="224" t="s">
        <v>1480</v>
      </c>
      <c r="C10" s="225">
        <f ca="1">ROUND(D10*E10/10000,0)</f>
        <v>24</v>
      </c>
      <c r="D10" s="845">
        <f ca="1">IF(B1="",'数据-汇总表'!E6,IF(INDIRECT("'数据-取费表'!c"&amp;$G$1)="住宅",INDIRECT("'数据-取费表'!s"&amp;$G$1),INDIRECT("'数据-取费表'!k"&amp;$G$1)+INDIRECT("'数据-取费表'!s"&amp;$G$1)))</f>
        <v>1216.8699999999999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1216.8699999999999</v>
      </c>
      <c r="E19" s="211">
        <f>'数据-取费表'!B31</f>
        <v>200</v>
      </c>
      <c r="F19" s="231"/>
      <c r="G19" s="1855" t="s">
        <v>3404</v>
      </c>
    </row>
    <row r="20" spans="1:7" s="214" customFormat="1" ht="13.5" customHeight="1">
      <c r="A20" s="255" t="s">
        <v>1493</v>
      </c>
      <c r="B20" s="210" t="s">
        <v>1494</v>
      </c>
      <c r="C20" s="232">
        <f ca="1">ROUND((C5+C19)*F20,0)</f>
        <v>19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147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147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1292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405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365</v>
      </c>
      <c r="D34" s="217"/>
      <c r="E34" s="220"/>
      <c r="F34" s="257">
        <f ca="1">IF('数据-取费表'!B24=0,1,IF(B1="",'数据-取费表'!N16,INDIRECT("'数据-取费表'!n"&amp;$G$1)))</f>
        <v>1</v>
      </c>
      <c r="G34" s="219" t="s">
        <v>1526</v>
      </c>
    </row>
    <row r="35" spans="1:7" ht="13.5" customHeight="1">
      <c r="A35" s="780" t="s">
        <v>351</v>
      </c>
      <c r="B35" s="215" t="s">
        <v>1527</v>
      </c>
      <c r="C35" s="220">
        <f ca="1">ROUND(C34*F35,0)</f>
        <v>11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24</v>
      </c>
      <c r="D37" s="217">
        <f ca="1">D19</f>
        <v>1216.8699999999999</v>
      </c>
      <c r="E37" s="249">
        <f>'数据-取费表'!B35</f>
        <v>200</v>
      </c>
      <c r="F37" s="259"/>
      <c r="G37" s="261" t="s">
        <v>1532</v>
      </c>
    </row>
    <row r="38" spans="1:7" ht="13.5" customHeight="1">
      <c r="A38" s="780"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14</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14</v>
      </c>
      <c r="D42" s="238"/>
      <c r="E42" s="238"/>
      <c r="F42" s="239"/>
      <c r="G42" s="3708" t="s">
        <v>1544</v>
      </c>
    </row>
    <row r="43" spans="1:7" ht="13.5" customHeight="1">
      <c r="A43" s="780" t="s">
        <v>347</v>
      </c>
      <c r="B43" s="215" t="s">
        <v>1545</v>
      </c>
      <c r="C43" s="238">
        <f ca="1">ROUND(IF('数据-取费表'!B22&lt;=1,C39*F22*'数据-取费表'!B21/2,C39*(POWER((1+F22),'数据-取费表'!B21/2)-1)),0)</f>
        <v>0</v>
      </c>
      <c r="D43" s="238"/>
      <c r="E43" s="238"/>
      <c r="F43" s="239"/>
      <c r="G43" s="3709"/>
    </row>
    <row r="44" spans="1:7" ht="13.5" customHeight="1">
      <c r="A44" s="780" t="s">
        <v>348</v>
      </c>
      <c r="B44" s="215" t="s">
        <v>1546</v>
      </c>
      <c r="C44" s="238">
        <f ca="1">ROUND(IF('数据-取费表'!B22&lt;=1,C40*F22*'数据-取费表'!B21/2,C40*(POWER((1+F22),'数据-取费表'!B21/2)-1)),4)</f>
        <v>6.9999999999999999E-4</v>
      </c>
      <c r="D44" s="238"/>
      <c r="E44" s="238"/>
      <c r="F44" s="239"/>
      <c r="G44" s="3710"/>
    </row>
    <row r="45" spans="1:7" s="214" customFormat="1" ht="13.5" customHeight="1">
      <c r="A45" s="255" t="s">
        <v>1547</v>
      </c>
      <c r="B45" s="244" t="s">
        <v>1513</v>
      </c>
      <c r="C45" s="245">
        <f ca="1">C46</f>
        <v>62</v>
      </c>
      <c r="D45" s="235">
        <f ca="1">C47</f>
        <v>3.0000000000000001E-3</v>
      </c>
      <c r="E45" s="236" t="s">
        <v>1539</v>
      </c>
      <c r="F45" s="246">
        <f ca="1">F27</f>
        <v>0.15</v>
      </c>
      <c r="G45" s="247" t="s">
        <v>1548</v>
      </c>
    </row>
    <row r="46" spans="1:7" s="214" customFormat="1" ht="13.5" customHeight="1">
      <c r="A46" s="780" t="s">
        <v>346</v>
      </c>
      <c r="B46" s="248" t="s">
        <v>1549</v>
      </c>
      <c r="C46" s="249">
        <f ca="1">ROUND((C33+C39)*F27,0)</f>
        <v>62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529</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381</v>
      </c>
      <c r="D51" s="232"/>
      <c r="E51" s="232"/>
      <c r="F51" s="264"/>
      <c r="G51" s="234" t="s">
        <v>1560</v>
      </c>
    </row>
    <row r="52" spans="1:7" s="208" customFormat="1" ht="16.5" thickBot="1">
      <c r="A52" s="265" t="s">
        <v>1561</v>
      </c>
      <c r="B52" s="266"/>
      <c r="C52" s="267">
        <f ca="1">C31+C51</f>
        <v>1673</v>
      </c>
      <c r="D52" s="266"/>
      <c r="E52" s="266"/>
      <c r="F52" s="266"/>
      <c r="G52" s="268"/>
    </row>
    <row r="55" spans="1:7" ht="15">
      <c r="B55" s="270" t="s">
        <v>1562</v>
      </c>
      <c r="C55" s="271"/>
    </row>
    <row r="56" spans="1:7">
      <c r="B56" s="273" t="s">
        <v>802</v>
      </c>
      <c r="C56" s="275">
        <f ca="1">1-C57</f>
        <v>0.77200000000000002</v>
      </c>
    </row>
    <row r="57" spans="1:7">
      <c r="B57" s="273" t="s">
        <v>803</v>
      </c>
      <c r="C57" s="274">
        <f ca="1">ROUND(C51/C52,3)</f>
        <v>0.22800000000000001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448.07029999999997</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3682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243374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243374</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243374</v>
      </c>
      <c r="D10" s="845">
        <f ca="1">IF(B1="",'数据-汇总表'!E6,IF(INDIRECT("'数据-取费表'!c"&amp;$G$1)="住宅",INDIRECT("'数据-取费表'!s"&amp;$G$1),INDIRECT("'数据-取费表'!k"&amp;$G$1)+INDIRECT("'数据-取费表'!s"&amp;$G$1)))</f>
        <v>1216.8699999999999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243374</v>
      </c>
      <c r="D19" s="849">
        <f ca="1">D9+D10</f>
        <v>1216.8699999999999</v>
      </c>
      <c r="E19" s="211">
        <f>'数据-取费表'!B31</f>
        <v>200</v>
      </c>
      <c r="F19" s="231"/>
      <c r="G19" s="1855"/>
    </row>
    <row r="20" spans="1:7" s="214" customFormat="1" ht="13.5" customHeight="1">
      <c r="A20" s="255" t="s">
        <v>1574</v>
      </c>
      <c r="B20" s="210" t="s">
        <v>1575</v>
      </c>
      <c r="C20" s="232">
        <f ca="1">ROUND((C5+C19)*F20,0)</f>
        <v>9735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35518</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17586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17586</v>
      </c>
      <c r="D24" s="238"/>
      <c r="E24" s="238"/>
      <c r="F24" s="239"/>
      <c r="G24" s="240" t="s">
        <v>1586</v>
      </c>
    </row>
    <row r="25" spans="1:7" s="214" customFormat="1" ht="24">
      <c r="A25" s="780" t="s">
        <v>1476</v>
      </c>
      <c r="B25" s="215" t="s">
        <v>1587</v>
      </c>
      <c r="C25" s="1128">
        <f ca="1">ROUND(IF('数据-取费表'!B22&lt;=1,C20*F22*'数据-取费表'!B22/2,C20*(POWER((1+F22),'数据-取费表'!B22/2)-1)),0)</f>
        <v>346</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74472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74472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656427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4058261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3650610</v>
      </c>
      <c r="D34" s="217"/>
      <c r="E34" s="220"/>
      <c r="F34" s="257"/>
      <c r="G34" s="219"/>
    </row>
    <row r="35" spans="1:7" ht="13.5" customHeight="1">
      <c r="A35" s="780" t="s">
        <v>351</v>
      </c>
      <c r="B35" s="215" t="s">
        <v>1527</v>
      </c>
      <c r="C35" s="220">
        <f ca="1">ROUND(C34*F35,0)</f>
        <v>109518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243374</v>
      </c>
      <c r="D37" s="217">
        <f ca="1">D19</f>
        <v>1216.8699999999999</v>
      </c>
      <c r="E37" s="249">
        <f>'数据-取费表'!B35</f>
        <v>200</v>
      </c>
      <c r="F37" s="259"/>
      <c r="G37" s="261"/>
    </row>
    <row r="38" spans="1:7" ht="13.5" customHeight="1">
      <c r="A38" s="780" t="s">
        <v>354</v>
      </c>
      <c r="B38" s="215" t="s">
        <v>1533</v>
      </c>
      <c r="C38" s="220">
        <f ca="1">ROUND(C34*F38,0)</f>
        <v>54759</v>
      </c>
      <c r="D38" s="220"/>
      <c r="E38" s="220"/>
      <c r="F38" s="259">
        <f>'数据-取费表'!B36</f>
        <v>1.4999999999999999E-2</v>
      </c>
      <c r="G38" s="219" t="s">
        <v>1528</v>
      </c>
    </row>
    <row r="39" spans="1:7" s="214" customFormat="1" ht="13.5" customHeight="1">
      <c r="A39" s="255" t="s">
        <v>1534</v>
      </c>
      <c r="B39" s="210" t="s">
        <v>1535</v>
      </c>
      <c r="C39" s="232">
        <f ca="1">ROUND(C33*F20,0)</f>
        <v>81165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146949</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144068</v>
      </c>
      <c r="D42" s="238"/>
      <c r="E42" s="238"/>
      <c r="F42" s="239"/>
      <c r="G42" s="3708" t="s">
        <v>1591</v>
      </c>
    </row>
    <row r="43" spans="1:7" ht="13.5" customHeight="1">
      <c r="A43" s="780" t="s">
        <v>347</v>
      </c>
      <c r="B43" s="215" t="s">
        <v>1545</v>
      </c>
      <c r="C43" s="238">
        <f ca="1">ROUND(IF('数据-取费表'!B22&lt;=1,C39*F22*'数据-取费表'!B20/2,C39*(POWER((1+F22),'数据-取费表'!B20/2)-1)),0)</f>
        <v>2881</v>
      </c>
      <c r="D43" s="238"/>
      <c r="E43" s="238"/>
      <c r="F43" s="239"/>
      <c r="G43" s="3709"/>
    </row>
    <row r="44" spans="1:7" ht="13.5" customHeight="1">
      <c r="A44" s="780" t="s">
        <v>348</v>
      </c>
      <c r="B44" s="215" t="s">
        <v>1546</v>
      </c>
      <c r="C44" s="238">
        <f ca="1">ROUND(IF('数据-取费表'!B22&lt;=1,C40*F22*'数据-取费表'!B20/2,C40*(POWER((1+F22),'数据-取费表'!B20/2)-1)),4)</f>
        <v>6.9999999999999999E-4</v>
      </c>
      <c r="D44" s="238"/>
      <c r="E44" s="238"/>
      <c r="F44" s="239"/>
      <c r="G44" s="3710"/>
    </row>
    <row r="45" spans="1:7" s="214" customFormat="1" ht="13.5" customHeight="1">
      <c r="A45" s="255" t="s">
        <v>1547</v>
      </c>
      <c r="B45" s="244" t="s">
        <v>1513</v>
      </c>
      <c r="C45" s="245">
        <f ca="1">C46</f>
        <v>620914</v>
      </c>
      <c r="D45" s="235">
        <f ca="1">C47</f>
        <v>3.0000000000000001E-3</v>
      </c>
      <c r="E45" s="236" t="s">
        <v>1539</v>
      </c>
      <c r="F45" s="246">
        <f ca="1">F27</f>
        <v>0.15</v>
      </c>
      <c r="G45" s="247" t="s">
        <v>1548</v>
      </c>
    </row>
    <row r="46" spans="1:7" s="214" customFormat="1" ht="13.5" customHeight="1">
      <c r="A46" s="780" t="s">
        <v>346</v>
      </c>
      <c r="B46" s="248" t="s">
        <v>1549</v>
      </c>
      <c r="C46" s="249">
        <f ca="1">ROUND((C33+C39)*F27,0)</f>
        <v>620914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5311494</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3824276</v>
      </c>
      <c r="D51" s="232"/>
      <c r="E51" s="232"/>
      <c r="F51" s="264"/>
      <c r="G51" s="234" t="s">
        <v>1560</v>
      </c>
    </row>
    <row r="52" spans="1:7" s="208" customFormat="1" ht="16.5" thickBot="1">
      <c r="A52" s="265" t="s">
        <v>1561</v>
      </c>
      <c r="B52" s="266"/>
      <c r="C52" s="267">
        <f ca="1">C31+C51</f>
        <v>4480703</v>
      </c>
      <c r="D52" s="266"/>
      <c r="E52" s="266"/>
      <c r="F52" s="266"/>
      <c r="G52" s="268"/>
    </row>
    <row r="55" spans="1:7" ht="15">
      <c r="B55" s="270" t="s">
        <v>1562</v>
      </c>
      <c r="C55" s="271"/>
    </row>
    <row r="56" spans="1:7">
      <c r="B56" s="273" t="s">
        <v>802</v>
      </c>
      <c r="C56" s="275">
        <f ca="1">1-C57</f>
        <v>0.14700000000000002</v>
      </c>
    </row>
    <row r="57" spans="1:7">
      <c r="B57" s="273" t="s">
        <v>803</v>
      </c>
      <c r="C57" s="274">
        <f ca="1">ROUND(C51/C52,3)</f>
        <v>0.85299999999999998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1216.8699999999999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1216.8699999999999</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24</v>
      </c>
      <c r="D20" s="846">
        <f ca="1">IF(C1="",'数据-汇总表'!E6,IF(INDIRECT("'数据-取费表'!c"&amp;$K$1)="住宅",INDIRECT("'数据-取费表'!s"&amp;$K$1),INDIRECT("'数据-取费表'!k"&amp;$K$1)+INDIRECT("'数据-取费表'!s"&amp;$K$1)))</f>
        <v>1216.8699999999999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25" sqref="K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25.57</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1998</v>
      </c>
      <c r="C2" s="1386" t="s">
        <v>805</v>
      </c>
      <c r="D2" s="1386"/>
      <c r="E2" s="1387"/>
      <c r="F2" s="1388"/>
      <c r="G2" s="2704"/>
      <c r="H2" s="2693"/>
      <c r="I2" s="2693"/>
      <c r="J2" s="2693"/>
      <c r="K2" s="2694"/>
      <c r="L2" s="2693"/>
      <c r="M2" s="2693"/>
    </row>
    <row r="3" spans="1:37" ht="18" customHeight="1" thickBot="1">
      <c r="A3" s="1389" t="s">
        <v>806</v>
      </c>
      <c r="B3" s="1390">
        <f ca="1">IF(ISERROR(B2*10000/F43),0,ROUND(B2*10000/F43,0))</f>
        <v>16419</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144</v>
      </c>
      <c r="D5" s="1363" t="s">
        <v>693</v>
      </c>
      <c r="E5" s="1071"/>
      <c r="F5" s="1072"/>
      <c r="G5" s="1383"/>
      <c r="H5" s="299">
        <v>1</v>
      </c>
      <c r="I5" s="300" t="s">
        <v>692</v>
      </c>
      <c r="J5" s="1070">
        <f ca="1">J6+J10+J12</f>
        <v>0</v>
      </c>
      <c r="K5" s="1363" t="s">
        <v>693</v>
      </c>
      <c r="L5" s="1071"/>
      <c r="M5" s="1072"/>
    </row>
    <row r="6" spans="1:37" ht="18" customHeight="1">
      <c r="A6" s="1069" t="s">
        <v>398</v>
      </c>
      <c r="B6" s="3713" t="s">
        <v>694</v>
      </c>
      <c r="C6" s="1074">
        <f ca="1">ROUND(F6*F8*F7*(1-F9)/10000,0)</f>
        <v>144</v>
      </c>
      <c r="D6" s="155" t="s">
        <v>2109</v>
      </c>
      <c r="E6" s="302" t="s">
        <v>696</v>
      </c>
      <c r="F6" s="303">
        <f ca="1">INDIRECT("'数据-取费表'!u"&amp;$G$1)</f>
        <v>3.6</v>
      </c>
      <c r="G6" s="1383"/>
      <c r="H6" s="1069" t="s">
        <v>398</v>
      </c>
      <c r="I6" s="3713" t="s">
        <v>694</v>
      </c>
      <c r="J6" s="301">
        <f ca="1">ROUND(M6*M8*M7*(1-M9)/10000,0)</f>
        <v>0</v>
      </c>
      <c r="K6" s="155" t="s">
        <v>2108</v>
      </c>
      <c r="L6" s="302" t="s">
        <v>696</v>
      </c>
      <c r="M6" s="303">
        <f ca="1">INDIRECT("'数据-取费表'!z"&amp;$G$1)</f>
        <v>0</v>
      </c>
    </row>
    <row r="7" spans="1:37" ht="18" customHeight="1">
      <c r="A7" s="1073"/>
      <c r="B7" s="3714"/>
      <c r="C7" s="1075"/>
      <c r="D7" s="307"/>
      <c r="E7" s="1076" t="s">
        <v>697</v>
      </c>
      <c r="F7" s="303">
        <f ca="1">IF(INDIRECT("'数据-取费表'!ah"&amp;$G$1)="",INDIRECT("'数据-取费表'!k"&amp;$G$1),INDIRECT("'数据-取费表'!ah"&amp;$G$1))</f>
        <v>1216.8699999999999</v>
      </c>
      <c r="G7" s="1383"/>
      <c r="H7" s="304"/>
      <c r="I7" s="3714"/>
      <c r="J7" s="306"/>
      <c r="K7" s="307"/>
      <c r="L7" s="302" t="s">
        <v>697</v>
      </c>
      <c r="M7" s="303">
        <f ca="1">F7</f>
        <v>1216.8699999999999</v>
      </c>
    </row>
    <row r="8" spans="1:37" ht="18" customHeight="1">
      <c r="A8" s="304"/>
      <c r="B8" s="3714"/>
      <c r="C8" s="306"/>
      <c r="D8" s="307"/>
      <c r="E8" s="302" t="s">
        <v>698</v>
      </c>
      <c r="F8" s="303">
        <f ca="1">INDIRECT("'数据-取费表'!ai"&amp;$G$1)</f>
        <v>365</v>
      </c>
      <c r="G8" s="1383"/>
      <c r="H8" s="304"/>
      <c r="I8" s="3714"/>
      <c r="J8" s="306"/>
      <c r="K8" s="307"/>
      <c r="L8" s="302" t="s">
        <v>698</v>
      </c>
      <c r="M8" s="303">
        <f ca="1">INDIRECT("'数据-取费表'!ai"&amp;$G$1)</f>
        <v>365</v>
      </c>
    </row>
    <row r="9" spans="1:37" ht="18" customHeight="1">
      <c r="A9" s="304"/>
      <c r="B9" s="3715"/>
      <c r="C9" s="306"/>
      <c r="D9" s="307"/>
      <c r="E9" s="302" t="s">
        <v>699</v>
      </c>
      <c r="F9" s="312">
        <f ca="1">INDIRECT("'数据-取费表'!w"&amp;$G$1)</f>
        <v>0.1</v>
      </c>
      <c r="G9" s="1383"/>
      <c r="H9" s="304"/>
      <c r="I9" s="371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3405</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381</v>
      </c>
      <c r="D13" s="1081" t="s">
        <v>705</v>
      </c>
      <c r="E13" s="1081" t="s">
        <v>706</v>
      </c>
      <c r="F13" s="1082">
        <f ca="1">INDIRECT("'数据-取费表'!y"&amp;$G$1)</f>
        <v>0.72</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365</v>
      </c>
      <c r="D14" s="1344" t="s">
        <v>708</v>
      </c>
      <c r="E14" s="1341"/>
      <c r="F14" s="319"/>
      <c r="G14" s="1383"/>
      <c r="H14" s="982" t="s">
        <v>398</v>
      </c>
      <c r="I14" s="302" t="s">
        <v>709</v>
      </c>
      <c r="J14" s="21">
        <f ca="1">C29</f>
        <v>529</v>
      </c>
      <c r="K14" s="12"/>
      <c r="L14" s="807"/>
      <c r="M14" s="808"/>
    </row>
    <row r="15" spans="1:37" s="1396" customFormat="1" ht="18" customHeight="1" thickBot="1">
      <c r="A15" s="982" t="s">
        <v>399</v>
      </c>
      <c r="B15" s="302" t="s">
        <v>710</v>
      </c>
      <c r="C15" s="21">
        <f ca="1">ROUND(C14*F15,0)</f>
        <v>11</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5</v>
      </c>
      <c r="K16" s="1087" t="s">
        <v>715</v>
      </c>
      <c r="L16" s="1088"/>
      <c r="M16" s="1072"/>
    </row>
    <row r="17" spans="1:37" s="1396" customFormat="1" ht="18" customHeight="1">
      <c r="A17" s="982" t="s">
        <v>681</v>
      </c>
      <c r="B17" s="302" t="s">
        <v>716</v>
      </c>
      <c r="C17" s="21">
        <f ca="1">ROUND(F17*(F43+INDIRECT("'数据-取费表'!S"&amp;$G$1))/10000,0)</f>
        <v>24</v>
      </c>
      <c r="D17" s="302" t="s">
        <v>717</v>
      </c>
      <c r="E17" s="302" t="s">
        <v>718</v>
      </c>
      <c r="F17" s="23">
        <f>'数据-取费表'!B35</f>
        <v>200</v>
      </c>
      <c r="G17" s="1395"/>
      <c r="H17" s="982" t="s">
        <v>398</v>
      </c>
      <c r="I17" s="302" t="s">
        <v>719</v>
      </c>
      <c r="J17" s="2315">
        <f ca="1">ROUND(IF(AND(项目基本情况!B11="自然人",项目基本情况!B10="北京市"),J6*M17/(1+'数据-取费表'!C42),J18+J19+J20),2)</f>
        <v>0.08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5</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405</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8</v>
      </c>
      <c r="D20" s="323" t="s">
        <v>729</v>
      </c>
      <c r="E20" s="302" t="s">
        <v>712</v>
      </c>
      <c r="F20" s="322">
        <f>'数据-取费表'!B37</f>
        <v>0.02</v>
      </c>
      <c r="G20" s="1395"/>
      <c r="H20" s="982" t="s">
        <v>680</v>
      </c>
      <c r="I20" s="155" t="s">
        <v>730</v>
      </c>
      <c r="J20" s="22">
        <f ca="1">ROUND(M20*M21/10000,2)</f>
        <v>0.08</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527.48</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5.29</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-5</v>
      </c>
      <c r="K25" s="1095" t="s">
        <v>753</v>
      </c>
      <c r="L25" s="1096"/>
      <c r="M25" s="1097"/>
    </row>
    <row r="26" spans="1:37">
      <c r="A26" s="982" t="s">
        <v>397</v>
      </c>
      <c r="B26" s="302" t="s">
        <v>754</v>
      </c>
      <c r="C26" s="21">
        <f ca="1">ROUND((C19+C20)*F26,0)</f>
        <v>62</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529</v>
      </c>
      <c r="D29" s="1092"/>
      <c r="E29" s="1090"/>
      <c r="F29" s="1093"/>
      <c r="G29" s="1395"/>
      <c r="H29" s="334" t="s">
        <v>396</v>
      </c>
      <c r="I29" s="335" t="s">
        <v>768</v>
      </c>
      <c r="J29" s="336">
        <f ca="1">ROUND(J26/(1+F40)^F41,0)</f>
        <v>0</v>
      </c>
      <c r="K29" s="337" t="s">
        <v>769</v>
      </c>
      <c r="L29" s="338"/>
      <c r="M29" s="339">
        <f ca="1">INDIRECT("'数据-取费表'!k"&amp;$G$1)</f>
        <v>1216.8699999999999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31</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ROUND(IF(AND(项目基本情况!B11="自然人",项目基本情况!B10="北京市"),C6*F31/(1+'数据-取费表'!C42),C32+C33+C34),2)</f>
        <v>24.08</v>
      </c>
      <c r="D31" s="1344" t="s">
        <v>720</v>
      </c>
      <c r="E31" s="1343" t="s">
        <v>770</v>
      </c>
      <c r="F31" s="2314" t="str">
        <f>IF(项目基本情况!B11="企业","——",IF(M47="住宅",IF(F6*F7*F8/12/(1+'数据-取费表'!F30)&gt;100000,4%,2.5%),IF(F6*F7*F8/12/(1+'数据-取费表'!F30)&gt;100000,12%,7%)))</f>
        <v>——</v>
      </c>
      <c r="G31" s="1383"/>
      <c r="H31" s="2806" t="s">
        <v>2310</v>
      </c>
      <c r="I31" s="1397"/>
      <c r="J31" s="1398"/>
      <c r="K31" s="2473"/>
      <c r="L31" s="2696"/>
      <c r="M31" s="2697"/>
    </row>
    <row r="32" spans="1:37" ht="18" customHeight="1">
      <c r="A32" s="982" t="s">
        <v>397</v>
      </c>
      <c r="B32" s="302" t="s">
        <v>723</v>
      </c>
      <c r="C32" s="21">
        <f ca="1">IF(项目基本情况!B11="自然人","——",ROUND(C6*F32/(1+'数据-取费表'!C42),2))</f>
        <v>7.54</v>
      </c>
      <c r="D32" s="1343"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16.46</v>
      </c>
      <c r="D33" s="1369" t="s">
        <v>3341</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IF(项目基本情况!B11="自然人","——",ROUND(F34*F35/10000,2))</f>
        <v>0.08</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527.48</v>
      </c>
      <c r="G35" s="1383"/>
      <c r="H35" s="2695"/>
      <c r="I35" s="1397"/>
      <c r="J35" s="1398"/>
      <c r="K35" s="2699"/>
      <c r="L35" s="2698"/>
      <c r="M35" s="2698"/>
    </row>
    <row r="36" spans="1:18" ht="18" customHeight="1">
      <c r="A36" s="1102" t="s">
        <v>402</v>
      </c>
      <c r="B36" s="302" t="s">
        <v>738</v>
      </c>
      <c r="C36" s="21">
        <f ca="1">ROUND(C29*F36,2)</f>
        <v>5.29</v>
      </c>
      <c r="D36" s="1343" t="s">
        <v>771</v>
      </c>
      <c r="E36" s="302" t="s">
        <v>712</v>
      </c>
      <c r="F36" s="328">
        <f ca="1">INDIRECT("'数据-取费表'!Ak"&amp;$G$1)</f>
        <v>0.01</v>
      </c>
      <c r="G36" s="1383"/>
      <c r="H36" s="2698"/>
      <c r="I36" s="1397"/>
      <c r="J36" s="1398"/>
      <c r="K36" s="2542"/>
      <c r="L36" s="2698"/>
      <c r="M36" s="2698"/>
    </row>
    <row r="37" spans="1:18" ht="18" customHeight="1">
      <c r="A37" s="982" t="s">
        <v>437</v>
      </c>
      <c r="B37" s="302" t="s">
        <v>742</v>
      </c>
      <c r="C37" s="21">
        <f ca="1">ROUND(C13*F37,2)</f>
        <v>0.38</v>
      </c>
      <c r="D37" s="1343" t="s">
        <v>743</v>
      </c>
      <c r="E37" s="302" t="s">
        <v>744</v>
      </c>
      <c r="F37" s="330">
        <f ca="1">INDIRECT("'数据-取费表'!Al"&amp;$G$1)</f>
        <v>1E-3</v>
      </c>
      <c r="G37" s="1383"/>
      <c r="H37" s="2698"/>
      <c r="I37" s="1397"/>
      <c r="J37" s="1398"/>
      <c r="K37" s="2542"/>
      <c r="L37" s="2698"/>
      <c r="M37" s="2698"/>
    </row>
    <row r="38" spans="1:18" ht="18" customHeight="1" thickBot="1">
      <c r="A38" s="1089" t="s">
        <v>684</v>
      </c>
      <c r="B38" s="1090" t="s">
        <v>728</v>
      </c>
      <c r="C38" s="1091">
        <f ca="1">ROUND(C5*F38,2)</f>
        <v>1.44</v>
      </c>
      <c r="D38" s="1092" t="s">
        <v>748</v>
      </c>
      <c r="E38" s="1090" t="s">
        <v>744</v>
      </c>
      <c r="F38" s="1086">
        <f ca="1">INDIRECT("'数据-取费表'!Am"&amp;$G$1)</f>
        <v>0.01</v>
      </c>
      <c r="G38" s="1383"/>
      <c r="H38" s="2698"/>
      <c r="I38" s="1397"/>
      <c r="J38" s="1398"/>
      <c r="K38" s="2702"/>
      <c r="L38" s="2698"/>
      <c r="M38" s="2698"/>
    </row>
    <row r="39" spans="1:18" ht="24.6" customHeight="1" thickTop="1">
      <c r="A39" s="1079" t="s">
        <v>394</v>
      </c>
      <c r="B39" s="1094" t="s">
        <v>772</v>
      </c>
      <c r="C39" s="310">
        <f ca="1">C5-C30</f>
        <v>113</v>
      </c>
      <c r="D39" s="1095" t="s">
        <v>773</v>
      </c>
      <c r="E39" s="1096"/>
      <c r="F39" s="1097"/>
      <c r="G39" s="1383"/>
      <c r="H39" s="2698"/>
      <c r="I39" s="1397"/>
      <c r="J39" s="1398"/>
      <c r="K39" s="2702"/>
      <c r="L39" s="2698"/>
      <c r="M39" s="2698"/>
    </row>
    <row r="40" spans="1:18" ht="18" customHeight="1">
      <c r="A40" s="299" t="s">
        <v>395</v>
      </c>
      <c r="B40" s="300" t="s">
        <v>774</v>
      </c>
      <c r="C40" s="301">
        <f ca="1">ROUND(C39*(1-((1+F42)/(1+F40))^F41)/(F40-F42),0)</f>
        <v>1965</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25.57</v>
      </c>
      <c r="G41" s="1383"/>
      <c r="H41" s="1190"/>
      <c r="I41" s="1397"/>
      <c r="J41" s="1398"/>
      <c r="K41" s="2542"/>
      <c r="L41" s="1190"/>
      <c r="M41" s="1190"/>
    </row>
    <row r="42" spans="1:18" ht="18" customHeight="1">
      <c r="A42" s="308"/>
      <c r="B42" s="309"/>
      <c r="C42" s="310"/>
      <c r="D42" s="327"/>
      <c r="E42" s="302" t="s">
        <v>766</v>
      </c>
      <c r="F42" s="312">
        <f ca="1">INDIRECT("'数据-取费表'!v"&amp;$G$1)</f>
        <v>2.5000000000000001E-2</v>
      </c>
      <c r="G42" s="1383"/>
      <c r="H42" s="1190"/>
      <c r="I42" s="1397"/>
      <c r="J42" s="1398"/>
      <c r="K42" s="2542"/>
      <c r="L42" s="1190"/>
      <c r="M42" s="1190"/>
    </row>
    <row r="43" spans="1:18" ht="18" customHeight="1" thickBot="1">
      <c r="A43" s="334" t="s">
        <v>396</v>
      </c>
      <c r="B43" s="335" t="s">
        <v>776</v>
      </c>
      <c r="C43" s="336">
        <f ca="1">ROUND(C40*10000/F43,0)</f>
        <v>16148</v>
      </c>
      <c r="D43" s="337" t="s">
        <v>777</v>
      </c>
      <c r="E43" s="338" t="s">
        <v>778</v>
      </c>
      <c r="F43" s="339">
        <f ca="1">INDIRECT("'数据-取费表'!k"&amp;$G$1)</f>
        <v>1216.8699999999999</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f ca="1">C68-C40</f>
        <v>-2046</v>
      </c>
      <c r="D46" s="1405" t="str">
        <f>C2</f>
        <v>万元</v>
      </c>
      <c r="E46" s="1399"/>
      <c r="F46" s="1399"/>
      <c r="I46" s="1406" t="s">
        <v>810</v>
      </c>
      <c r="J46" s="1407"/>
      <c r="K46" s="1408"/>
      <c r="L46" s="1409">
        <f ca="1">IF(M47="住宅",0,IF(L48&gt;J51,L60,J60))</f>
        <v>33</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3406</v>
      </c>
      <c r="K47" s="1415" t="s">
        <v>816</v>
      </c>
      <c r="L47" s="1416">
        <f ca="1">INDIRECT("'数据-取费表'!d"&amp;$G$1)</f>
        <v>50</v>
      </c>
      <c r="M47" s="1379" t="str">
        <f>IF(ISNUMBER(FIND("住宅",C1)),"住宅","非住宅")</f>
        <v>非住宅</v>
      </c>
      <c r="O47" s="1417" t="s">
        <v>403</v>
      </c>
      <c r="P47" s="1418" t="s">
        <v>817</v>
      </c>
      <c r="Q47" s="1419">
        <f ca="1">C40+J29</f>
        <v>1965</v>
      </c>
      <c r="R47" s="1419" t="s">
        <v>818</v>
      </c>
    </row>
    <row r="48" spans="1:18" s="1383" customFormat="1" ht="28.5" thickBot="1">
      <c r="A48" s="1110" t="s">
        <v>438</v>
      </c>
      <c r="B48" s="300" t="s">
        <v>692</v>
      </c>
      <c r="C48" s="1358">
        <f ca="1">C49+C53+C55</f>
        <v>0</v>
      </c>
      <c r="D48" s="1112"/>
      <c r="E48" s="1113"/>
      <c r="F48" s="962"/>
      <c r="G48" s="722"/>
      <c r="H48" s="723"/>
      <c r="I48" s="1420" t="s">
        <v>819</v>
      </c>
      <c r="J48" s="1421" t="s">
        <v>3407</v>
      </c>
      <c r="K48" s="1422" t="s">
        <v>820</v>
      </c>
      <c r="L48" s="1423">
        <f ca="1">INDIRECT("'数据-取费表'!f"&amp;$G$1)</f>
        <v>25.57</v>
      </c>
      <c r="O48" s="1417" t="s">
        <v>404</v>
      </c>
      <c r="P48" s="1418" t="s">
        <v>821</v>
      </c>
      <c r="Q48" s="1419">
        <f ca="1">J60</f>
        <v>33</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2007</v>
      </c>
      <c r="K49" s="1422" t="s">
        <v>824</v>
      </c>
      <c r="L49" s="1426"/>
      <c r="O49" s="1427" t="s">
        <v>405</v>
      </c>
      <c r="P49" s="1418" t="s">
        <v>825</v>
      </c>
      <c r="Q49" s="1419">
        <f ca="1">C29</f>
        <v>529</v>
      </c>
      <c r="R49" s="1419" t="s">
        <v>818</v>
      </c>
    </row>
    <row r="50" spans="1:18" s="1383" customFormat="1" ht="13.5" thickBot="1">
      <c r="A50" s="976"/>
      <c r="B50" s="979"/>
      <c r="C50" s="1118"/>
      <c r="D50" s="953"/>
      <c r="E50" s="1056" t="s">
        <v>697</v>
      </c>
      <c r="F50" s="1057">
        <f ca="1">F7</f>
        <v>1216.8699999999999</v>
      </c>
      <c r="H50" s="723"/>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34</v>
      </c>
      <c r="K51" s="1433" t="s">
        <v>830</v>
      </c>
      <c r="L51" s="1434">
        <f ca="1">ROUND(-PV(INDIRECT("'数据-取费表'!h"&amp;$G$1),J51,(C39-C13*C76),0),0)</f>
        <v>1398</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25.57</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25.57</v>
      </c>
      <c r="K53" s="3711" t="s">
        <v>837</v>
      </c>
      <c r="L53" s="3712"/>
      <c r="O53" s="1417" t="s">
        <v>409</v>
      </c>
      <c r="P53" s="1418" t="s">
        <v>838</v>
      </c>
      <c r="Q53" s="1419">
        <f ca="1">Q47+Q48</f>
        <v>1998</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0.185</v>
      </c>
      <c r="K55" s="1444" t="s">
        <v>841</v>
      </c>
      <c r="L55" s="1445"/>
      <c r="O55" s="1410" t="s">
        <v>811</v>
      </c>
      <c r="P55" s="1411" t="s">
        <v>812</v>
      </c>
      <c r="Q55" s="1412" t="s">
        <v>813</v>
      </c>
      <c r="R55" s="1412" t="s">
        <v>814</v>
      </c>
    </row>
    <row r="56" spans="1:18" s="1383" customFormat="1" ht="25.5" thickTop="1" thickBot="1">
      <c r="A56" s="957">
        <v>2</v>
      </c>
      <c r="B56" s="958" t="s">
        <v>704</v>
      </c>
      <c r="C56" s="232">
        <f ca="1">C13</f>
        <v>381</v>
      </c>
      <c r="D56" s="1446"/>
      <c r="E56" s="1447"/>
      <c r="F56" s="1439"/>
      <c r="I56" s="1448" t="s">
        <v>842</v>
      </c>
      <c r="J56" s="1449" t="s">
        <v>3408</v>
      </c>
      <c r="K56" s="1420" t="s">
        <v>843</v>
      </c>
      <c r="L56" s="1423" t="str">
        <f ca="1">IF(L48&lt;J51,"——",L48-J53)</f>
        <v>——</v>
      </c>
      <c r="O56" s="1417" t="s">
        <v>403</v>
      </c>
      <c r="P56" s="1418" t="s">
        <v>817</v>
      </c>
      <c r="Q56" s="1419">
        <f ca="1">C40+J29</f>
        <v>1965</v>
      </c>
      <c r="R56" s="1419" t="s">
        <v>818</v>
      </c>
    </row>
    <row r="57" spans="1:18" s="1383" customFormat="1" ht="24.75" thickBot="1">
      <c r="A57" s="1450"/>
      <c r="B57" s="950" t="s">
        <v>767</v>
      </c>
      <c r="C57" s="238">
        <f ca="1">C29</f>
        <v>529</v>
      </c>
      <c r="D57" s="1451"/>
      <c r="E57" s="1452"/>
      <c r="F57" s="1453"/>
      <c r="I57" s="1454" t="s">
        <v>844</v>
      </c>
      <c r="J57" s="1455">
        <f ca="1">IF(OR(M47="住宅",J51&lt;L48,J56="是"),"——",J51-L48)</f>
        <v>8.43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6</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212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33</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0.08</v>
      </c>
      <c r="D62" s="965" t="s">
        <v>786</v>
      </c>
      <c r="E62" s="950" t="s">
        <v>787</v>
      </c>
      <c r="F62" s="325">
        <f t="shared" si="0"/>
        <v>1.5</v>
      </c>
      <c r="I62" s="1461" t="s">
        <v>858</v>
      </c>
      <c r="J62" s="1462" t="s">
        <v>859</v>
      </c>
      <c r="K62" s="1462" t="s">
        <v>860</v>
      </c>
      <c r="L62" s="1462" t="s">
        <v>861</v>
      </c>
      <c r="M62" s="1463" t="s">
        <v>862</v>
      </c>
      <c r="O62" s="1417" t="s">
        <v>409</v>
      </c>
      <c r="P62" s="1418" t="s">
        <v>863</v>
      </c>
      <c r="Q62" s="1419">
        <f ca="1">Q56+Q57</f>
        <v>1965</v>
      </c>
      <c r="R62" s="1419" t="s">
        <v>410</v>
      </c>
    </row>
    <row r="63" spans="1:18" s="1383" customFormat="1" ht="13.5" thickBot="1">
      <c r="A63" s="326"/>
      <c r="B63" s="956"/>
      <c r="C63" s="26"/>
      <c r="D63" s="966"/>
      <c r="E63" s="950" t="s">
        <v>788</v>
      </c>
      <c r="F63" s="303">
        <f t="shared" ca="1" si="0"/>
        <v>527.48</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5.29</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0.38</v>
      </c>
      <c r="D65" s="964" t="s">
        <v>743</v>
      </c>
      <c r="E65" s="950" t="s">
        <v>744</v>
      </c>
      <c r="F65" s="330">
        <f t="shared" ca="1" si="0"/>
        <v>1E-3</v>
      </c>
      <c r="I65" s="1461" t="s">
        <v>867</v>
      </c>
      <c r="J65" s="1462">
        <v>40</v>
      </c>
      <c r="K65" s="1462">
        <v>30</v>
      </c>
      <c r="L65" s="1462">
        <v>50</v>
      </c>
      <c r="M65" s="1464">
        <v>0.02</v>
      </c>
      <c r="O65" s="1417" t="s">
        <v>403</v>
      </c>
      <c r="P65" s="1418" t="s">
        <v>868</v>
      </c>
      <c r="Q65" s="1419">
        <f ca="1">C40+J29</f>
        <v>1965</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-6</v>
      </c>
      <c r="D67" s="963" t="s">
        <v>753</v>
      </c>
      <c r="E67" s="968"/>
      <c r="F67" s="969"/>
      <c r="O67" s="1427" t="s">
        <v>405</v>
      </c>
      <c r="P67" s="1418" t="s">
        <v>850</v>
      </c>
      <c r="Q67" s="1465">
        <f ca="1">L51</f>
        <v>1398</v>
      </c>
      <c r="R67" s="1419" t="s">
        <v>870</v>
      </c>
    </row>
    <row r="68" spans="1:18" s="1383" customFormat="1" ht="16.5" thickBot="1">
      <c r="A68" s="947" t="s">
        <v>395</v>
      </c>
      <c r="B68" s="948" t="s">
        <v>774</v>
      </c>
      <c r="C68" s="301">
        <f ca="1">ROUND(C67*(1-((1+F70)/(1+F68))^F69)/(F68-F70),0)</f>
        <v>-81</v>
      </c>
      <c r="D68" s="965" t="s">
        <v>758</v>
      </c>
      <c r="E68" s="950" t="s">
        <v>759</v>
      </c>
      <c r="F68" s="312">
        <f ca="1">F40</f>
        <v>5.5E-2</v>
      </c>
      <c r="O68" s="1427" t="s">
        <v>406</v>
      </c>
      <c r="P68" s="1466" t="s">
        <v>871</v>
      </c>
      <c r="Q68" s="1419">
        <f ca="1">ROUND(Q69-Q70*Q71,0)</f>
        <v>86</v>
      </c>
      <c r="R68" s="1419" t="s">
        <v>414</v>
      </c>
    </row>
    <row r="69" spans="1:18" s="1383" customFormat="1" ht="13.5" thickBot="1">
      <c r="A69" s="951"/>
      <c r="B69" s="952"/>
      <c r="C69" s="306"/>
      <c r="D69" s="970" t="s">
        <v>762</v>
      </c>
      <c r="E69" s="950" t="s">
        <v>763</v>
      </c>
      <c r="F69" s="333">
        <f ca="1">F41</f>
        <v>25.57</v>
      </c>
      <c r="O69" s="1427" t="s">
        <v>411</v>
      </c>
      <c r="P69" s="1466" t="s">
        <v>872</v>
      </c>
      <c r="Q69" s="1419">
        <f ca="1">C39</f>
        <v>113</v>
      </c>
      <c r="R69" s="1419" t="s">
        <v>818</v>
      </c>
    </row>
    <row r="70" spans="1:18" s="1383" customFormat="1" ht="13.5" thickBot="1">
      <c r="A70" s="954"/>
      <c r="B70" s="955"/>
      <c r="C70" s="310"/>
      <c r="D70" s="966"/>
      <c r="E70" s="950" t="s">
        <v>766</v>
      </c>
      <c r="F70" s="1054"/>
      <c r="O70" s="1427" t="s">
        <v>412</v>
      </c>
      <c r="P70" s="1466" t="s">
        <v>873</v>
      </c>
      <c r="Q70" s="1419">
        <f ca="1">C13</f>
        <v>381</v>
      </c>
      <c r="R70" s="1419" t="s">
        <v>818</v>
      </c>
    </row>
    <row r="71" spans="1:18" s="1383" customFormat="1" ht="13.5" thickBot="1">
      <c r="A71" s="971" t="s">
        <v>396</v>
      </c>
      <c r="B71" s="972" t="s">
        <v>776</v>
      </c>
      <c r="C71" s="336">
        <f ca="1">ROUND(C68*10000/F71,0)</f>
        <v>-666</v>
      </c>
      <c r="D71" s="973" t="s">
        <v>777</v>
      </c>
      <c r="E71" s="974" t="s">
        <v>778</v>
      </c>
      <c r="F71" s="339">
        <f ca="1">F43</f>
        <v>1216.8699999999999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27</v>
      </c>
      <c r="D75" s="1383"/>
      <c r="E75" s="1383"/>
      <c r="F75" s="1383"/>
      <c r="K75" s="1401"/>
      <c r="L75" s="1383"/>
      <c r="O75" s="1417" t="s">
        <v>409</v>
      </c>
      <c r="P75" s="1418" t="s">
        <v>838</v>
      </c>
      <c r="Q75" s="1419">
        <f ca="1">Q65+Q66</f>
        <v>1965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0.76100000000000001</v>
      </c>
    </row>
    <row r="80" spans="1:18">
      <c r="B80" s="340" t="s">
        <v>800</v>
      </c>
      <c r="C80" s="274">
        <f ca="1">ROUND(C75/C39,3)</f>
        <v>0.23899999999999999</v>
      </c>
    </row>
    <row r="81" spans="2:3">
      <c r="B81" s="270" t="s">
        <v>801</v>
      </c>
      <c r="C81" s="238"/>
    </row>
    <row r="82" spans="2:3">
      <c r="B82" s="273" t="s">
        <v>802</v>
      </c>
      <c r="C82" s="275">
        <f ca="1">1-C83</f>
        <v>0.80600000000000005</v>
      </c>
    </row>
    <row r="83" spans="2:3">
      <c r="B83" s="273" t="s">
        <v>803</v>
      </c>
      <c r="C83" s="274">
        <f ca="1">ROUND(C13/C40,3)</f>
        <v>0.19400000000000001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13" t="s">
        <v>694</v>
      </c>
      <c r="C6" s="1074">
        <f ca="1">ROUND(F6*F8*F7*(1-F9),0)</f>
        <v>0</v>
      </c>
      <c r="D6" s="155" t="s">
        <v>2106</v>
      </c>
      <c r="E6" s="302" t="s">
        <v>696</v>
      </c>
      <c r="F6" s="303">
        <f ca="1">INDIRECT("'数据-取费表'!u"&amp;$G$1)</f>
        <v>0</v>
      </c>
      <c r="G6" s="1383"/>
      <c r="H6" s="1069" t="s">
        <v>398</v>
      </c>
      <c r="I6" s="3713" t="s">
        <v>694</v>
      </c>
      <c r="J6" s="301">
        <f ca="1">ROUND(M6*M8*M7*(1-M9),0)</f>
        <v>0</v>
      </c>
      <c r="K6" s="1375" t="s">
        <v>2107</v>
      </c>
      <c r="L6" s="302" t="s">
        <v>696</v>
      </c>
      <c r="M6" s="303">
        <f ca="1">INDIRECT("'数据-取费表'!z"&amp;$G$1)</f>
        <v>0</v>
      </c>
    </row>
    <row r="7" spans="1:37" ht="18" customHeight="1">
      <c r="A7" s="1073"/>
      <c r="B7" s="3714"/>
      <c r="C7" s="1075"/>
      <c r="D7" s="307"/>
      <c r="E7" s="1076" t="s">
        <v>697</v>
      </c>
      <c r="F7" s="303">
        <f ca="1">IF(INDIRECT("'数据-取费表'!ah"&amp;$G$1)="",INDIRECT("'数据-取费表'!k"&amp;$G$1),INDIRECT("'数据-取费表'!ah"&amp;$G$1))</f>
        <v>0</v>
      </c>
      <c r="G7" s="1383"/>
      <c r="H7" s="304"/>
      <c r="I7" s="3714"/>
      <c r="J7" s="306"/>
      <c r="K7" s="307"/>
      <c r="L7" s="302" t="s">
        <v>697</v>
      </c>
      <c r="M7" s="303">
        <f ca="1">F7</f>
        <v>0</v>
      </c>
    </row>
    <row r="8" spans="1:37" ht="18" customHeight="1">
      <c r="A8" s="304"/>
      <c r="B8" s="3714"/>
      <c r="C8" s="306"/>
      <c r="D8" s="307"/>
      <c r="E8" s="302" t="s">
        <v>698</v>
      </c>
      <c r="F8" s="303">
        <f ca="1">INDIRECT("'数据-取费表'!ai"&amp;$G$1)</f>
        <v>0</v>
      </c>
      <c r="G8" s="1383"/>
      <c r="H8" s="304"/>
      <c r="I8" s="3714"/>
      <c r="J8" s="306"/>
      <c r="K8" s="307"/>
      <c r="L8" s="302" t="s">
        <v>698</v>
      </c>
      <c r="M8" s="303">
        <f ca="1">INDIRECT("'数据-取费表'!ai"&amp;$G$1)</f>
        <v>0</v>
      </c>
    </row>
    <row r="9" spans="1:37" ht="18" customHeight="1">
      <c r="A9" s="304"/>
      <c r="B9" s="3715"/>
      <c r="C9" s="306"/>
      <c r="D9" s="307"/>
      <c r="E9" s="302" t="s">
        <v>699</v>
      </c>
      <c r="F9" s="312">
        <f ca="1">INDIRECT("'数据-取费表'!w"&amp;$G$1)</f>
        <v>0</v>
      </c>
      <c r="G9" s="1383"/>
      <c r="H9" s="304"/>
      <c r="I9" s="371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6" t="s">
        <v>2310</v>
      </c>
      <c r="I31" s="1397"/>
      <c r="J31" s="1398"/>
      <c r="K31" s="2473"/>
      <c r="L31" s="2696"/>
      <c r="M31" s="2697"/>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3341</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0</v>
      </c>
      <c r="G35" s="1383"/>
      <c r="H35" s="2695"/>
      <c r="I35" s="1397"/>
      <c r="J35" s="1398"/>
      <c r="K35" s="2699"/>
      <c r="L35" s="2698"/>
      <c r="M35" s="2698"/>
    </row>
    <row r="36" spans="1:18" ht="18" customHeight="1">
      <c r="A36" s="1102" t="s">
        <v>402</v>
      </c>
      <c r="B36" s="302" t="s">
        <v>738</v>
      </c>
      <c r="C36" s="21">
        <f ca="1">ROUND(C29*F36,0)</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ROUND(C13*F37,0)</f>
        <v>0</v>
      </c>
      <c r="D37" s="1343" t="s">
        <v>743</v>
      </c>
      <c r="E37" s="302" t="s">
        <v>744</v>
      </c>
      <c r="F37" s="330">
        <f ca="1">INDIRECT("'数据-取费表'!Al"&amp;$G$1)</f>
        <v>0</v>
      </c>
      <c r="G37" s="1383"/>
      <c r="H37" s="2698"/>
      <c r="I37" s="1397"/>
      <c r="J37" s="1398"/>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3"/>
      <c r="H38" s="2698"/>
      <c r="I38" s="1397"/>
      <c r="J38" s="1398"/>
      <c r="K38" s="2702"/>
      <c r="L38" s="2698"/>
      <c r="M38" s="2698"/>
    </row>
    <row r="39" spans="1:18" ht="24.6" customHeight="1" thickTop="1">
      <c r="A39" s="1079" t="s">
        <v>394</v>
      </c>
      <c r="B39" s="1094" t="s">
        <v>772</v>
      </c>
      <c r="C39" s="310">
        <f ca="1">C5-C30</f>
        <v>0</v>
      </c>
      <c r="D39" s="1095" t="s">
        <v>773</v>
      </c>
      <c r="E39" s="1096"/>
      <c r="F39" s="1097"/>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3357</v>
      </c>
      <c r="B45" s="1399"/>
      <c r="C45" s="1471" t="e">
        <f ca="1">ROUND((C68-C40)/10000,4)</f>
        <v>#DIV/0!</v>
      </c>
      <c r="D45" s="3430"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11" t="s">
        <v>837</v>
      </c>
      <c r="L53" s="3712"/>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4" t="s">
        <v>2319</v>
      </c>
      <c r="B2" s="2841" t="e">
        <f>IF(D2="——",C40,C40+E2)</f>
        <v>#DIV/0!</v>
      </c>
      <c r="C2" s="2842" t="s">
        <v>2320</v>
      </c>
      <c r="D2" s="3441" t="s">
        <v>3364</v>
      </c>
      <c r="E2" s="3442"/>
      <c r="F2" s="2844"/>
      <c r="G2" s="2845"/>
      <c r="H2" s="2846"/>
      <c r="I2" s="2847"/>
      <c r="J2" s="3722" t="s">
        <v>2321</v>
      </c>
      <c r="K2" s="3723"/>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724" t="s">
        <v>2331</v>
      </c>
      <c r="K3" s="3725"/>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724" t="s">
        <v>2333</v>
      </c>
      <c r="K4" s="3725"/>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730" t="s">
        <v>2337</v>
      </c>
      <c r="B6" s="3731"/>
      <c r="C6" s="3732"/>
      <c r="D6" s="2868"/>
      <c r="E6" s="2869"/>
      <c r="F6" s="2870"/>
      <c r="G6" s="2871"/>
      <c r="H6" s="2846"/>
      <c r="I6" s="2847"/>
      <c r="J6" s="3716">
        <v>1</v>
      </c>
      <c r="K6" s="3717"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716"/>
      <c r="K7" s="3718"/>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733" t="s">
        <v>2351</v>
      </c>
      <c r="C8" s="3734"/>
      <c r="D8" s="2887" t="s">
        <v>2352</v>
      </c>
      <c r="E8" s="2888" t="s">
        <v>2353</v>
      </c>
      <c r="F8" s="2889" t="s">
        <v>2354</v>
      </c>
      <c r="G8" s="2890"/>
      <c r="H8" s="2846"/>
      <c r="I8" s="2847"/>
      <c r="J8" s="3716"/>
      <c r="K8" s="3718"/>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733" t="s">
        <v>2357</v>
      </c>
      <c r="C9" s="3734"/>
      <c r="D9" s="2887">
        <f>ROUND(D6*E9,0)</f>
        <v>0</v>
      </c>
      <c r="E9" s="2891"/>
      <c r="F9" s="2892" t="s">
        <v>2358</v>
      </c>
      <c r="G9" s="2871"/>
      <c r="H9" s="2846"/>
      <c r="I9" s="2847"/>
      <c r="J9" s="3716"/>
      <c r="K9" s="3718"/>
      <c r="L9" s="2881" t="s">
        <v>2359</v>
      </c>
      <c r="M9" s="2882"/>
      <c r="N9" s="2858"/>
      <c r="O9" s="2883"/>
      <c r="P9" s="2883"/>
      <c r="Q9" s="2884">
        <v>365</v>
      </c>
      <c r="R9" s="2885">
        <f t="shared" si="0"/>
        <v>0</v>
      </c>
      <c r="S9" s="2839"/>
      <c r="T9" s="2839"/>
      <c r="U9" s="2839"/>
      <c r="V9" s="2847"/>
    </row>
    <row r="10" spans="1:22" s="2851" customFormat="1" ht="13.15" customHeight="1">
      <c r="A10" s="2886">
        <v>2</v>
      </c>
      <c r="B10" s="3733" t="s">
        <v>2360</v>
      </c>
      <c r="C10" s="3734"/>
      <c r="D10" s="2887">
        <f>ROUND(D6*E10,0)</f>
        <v>0</v>
      </c>
      <c r="E10" s="2891"/>
      <c r="F10" s="2892" t="s">
        <v>2361</v>
      </c>
      <c r="G10" s="2871"/>
      <c r="H10" s="2846"/>
      <c r="I10" s="2847"/>
      <c r="J10" s="3716"/>
      <c r="K10" s="3718"/>
      <c r="L10" s="2881" t="s">
        <v>2362</v>
      </c>
      <c r="M10" s="2882"/>
      <c r="N10" s="2858"/>
      <c r="O10" s="2883"/>
      <c r="P10" s="2883"/>
      <c r="Q10" s="2884">
        <v>365</v>
      </c>
      <c r="R10" s="2885">
        <f t="shared" si="0"/>
        <v>0</v>
      </c>
      <c r="S10" s="2839"/>
      <c r="T10" s="2839"/>
      <c r="U10" s="2839"/>
      <c r="V10" s="2847"/>
    </row>
    <row r="11" spans="1:22" s="2851" customFormat="1" ht="13.15" customHeight="1">
      <c r="A11" s="2886">
        <v>3</v>
      </c>
      <c r="B11" s="3733" t="s">
        <v>2363</v>
      </c>
      <c r="C11" s="3734"/>
      <c r="D11" s="2887">
        <f>D12+D14+D15+D16</f>
        <v>0</v>
      </c>
      <c r="E11" s="2893" t="e">
        <f>D11/D6</f>
        <v>#DIV/0!</v>
      </c>
      <c r="F11" s="2889"/>
      <c r="G11" s="2890"/>
      <c r="H11" s="2846"/>
      <c r="I11" s="2847"/>
      <c r="J11" s="3716"/>
      <c r="K11" s="3718"/>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726" t="s">
        <v>2366</v>
      </c>
      <c r="C12" s="3727"/>
      <c r="D12" s="2895">
        <f>ROUND(D13*1.2%*(1-30%),0)</f>
        <v>0</v>
      </c>
      <c r="E12" s="2896">
        <v>1.2E-2</v>
      </c>
      <c r="F12" s="2889" t="s">
        <v>2367</v>
      </c>
      <c r="G12" s="2890"/>
      <c r="H12" s="2846"/>
      <c r="I12" s="2847"/>
      <c r="J12" s="3716"/>
      <c r="K12" s="3718"/>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716"/>
      <c r="K13" s="3718"/>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726" t="s">
        <v>2372</v>
      </c>
      <c r="C14" s="3727"/>
      <c r="D14" s="2895">
        <f>ROUND(E14*B5/10000,0)</f>
        <v>0</v>
      </c>
      <c r="E14" s="2884"/>
      <c r="F14" s="2889" t="s">
        <v>2373</v>
      </c>
      <c r="G14" s="2890"/>
      <c r="H14" s="2846"/>
      <c r="I14" s="2847"/>
      <c r="J14" s="3716"/>
      <c r="K14" s="3719"/>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726" t="s">
        <v>2376</v>
      </c>
      <c r="C15" s="3727"/>
      <c r="D15" s="2895">
        <f>ROUND(D6*E15,0)</f>
        <v>0</v>
      </c>
      <c r="E15" s="2896">
        <v>5.5E-2</v>
      </c>
      <c r="F15" s="2889" t="s">
        <v>2377</v>
      </c>
      <c r="G15" s="2871"/>
      <c r="H15" s="2846"/>
      <c r="I15" s="2847"/>
      <c r="J15" s="3716">
        <v>2</v>
      </c>
      <c r="K15" s="3717"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726" t="s">
        <v>2385</v>
      </c>
      <c r="C16" s="3727"/>
      <c r="D16" s="2906">
        <f>D6*E16</f>
        <v>0</v>
      </c>
      <c r="E16" s="2907"/>
      <c r="F16" s="2892" t="s">
        <v>2386</v>
      </c>
      <c r="G16" s="2871"/>
      <c r="H16" s="2846"/>
      <c r="I16" s="2847"/>
      <c r="J16" s="3716"/>
      <c r="K16" s="3718"/>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728" t="s">
        <v>2388</v>
      </c>
      <c r="C17" s="3729"/>
      <c r="D17" s="2909">
        <f>ROUND(D6*E17,0)</f>
        <v>0</v>
      </c>
      <c r="E17" s="2910"/>
      <c r="F17" s="2911" t="s">
        <v>2389</v>
      </c>
      <c r="G17" s="2871"/>
      <c r="H17" s="2846"/>
      <c r="I17" s="2847"/>
      <c r="J17" s="3716"/>
      <c r="K17" s="3718"/>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716"/>
      <c r="K18" s="3718"/>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716"/>
      <c r="K19" s="3719"/>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6">
        <v>3</v>
      </c>
      <c r="K20" s="3717"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716"/>
      <c r="K21" s="3718"/>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716"/>
      <c r="K22" s="3718"/>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716"/>
      <c r="K23" s="3718"/>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716"/>
      <c r="K24" s="3719"/>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720">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72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722" t="s">
        <v>2321</v>
      </c>
      <c r="K32" s="3723"/>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724" t="s">
        <v>2331</v>
      </c>
      <c r="K33" s="3725"/>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724" t="s">
        <v>2333</v>
      </c>
      <c r="K34" s="372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716">
        <v>1</v>
      </c>
      <c r="K36" s="3717"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716"/>
      <c r="K37" s="3718"/>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6"/>
      <c r="K38" s="3718"/>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716"/>
      <c r="K39" s="3718"/>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716"/>
      <c r="K40" s="3719"/>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0">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72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1998</v>
      </c>
      <c r="C2" s="1871" t="s">
        <v>1651</v>
      </c>
      <c r="D2" s="1872" t="s">
        <v>1652</v>
      </c>
      <c r="E2" s="2605">
        <f>SUM(E6:E13)</f>
        <v>1216.8699999999999</v>
      </c>
      <c r="F2" s="2705"/>
      <c r="G2" s="1488"/>
      <c r="H2" s="1488"/>
      <c r="I2" s="1488"/>
      <c r="J2" s="1488"/>
      <c r="K2" s="1488"/>
      <c r="L2" s="1488"/>
      <c r="M2" s="1488"/>
      <c r="N2" s="1488"/>
      <c r="O2" s="1488"/>
      <c r="P2" s="1488"/>
      <c r="Q2" s="1488"/>
      <c r="R2" s="1488"/>
      <c r="S2" s="1488"/>
    </row>
    <row r="3" spans="1:22" ht="15.75">
      <c r="A3" s="1869" t="s">
        <v>686</v>
      </c>
      <c r="B3" s="2599">
        <f ca="1">ROUND(B2*10000/E2,0)</f>
        <v>16419</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735" t="s">
        <v>1654</v>
      </c>
      <c r="C5" s="3736"/>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v>
      </c>
      <c r="B6" s="2600">
        <f ca="1">IF(F6="是",'数据-取费表'!AO6,0)</f>
        <v>1998</v>
      </c>
      <c r="C6" s="1871" t="s">
        <v>1651</v>
      </c>
      <c r="D6" s="2707"/>
      <c r="E6" s="2604">
        <f>IF(OR(A6=0,F6="否"),0,'数据-取费表'!K6+'数据-取费表'!S6)</f>
        <v>1216.8699999999999</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1216.8699999999999</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1666</v>
      </c>
      <c r="B4" s="356"/>
      <c r="C4" s="3674" t="s">
        <v>1667</v>
      </c>
      <c r="D4" s="3675"/>
      <c r="E4" s="3676" t="s">
        <v>1668</v>
      </c>
      <c r="F4" s="3677"/>
      <c r="G4" s="3674" t="s">
        <v>1669</v>
      </c>
      <c r="H4" s="3675"/>
      <c r="I4" s="3674" t="s">
        <v>1670</v>
      </c>
      <c r="J4" s="3675"/>
      <c r="K4" s="1888" t="s">
        <v>1671</v>
      </c>
      <c r="L4" s="2713"/>
      <c r="M4" s="2714"/>
      <c r="N4" s="2714"/>
      <c r="O4" s="2714"/>
      <c r="P4" s="3741" t="s">
        <v>1672</v>
      </c>
      <c r="Q4" s="3742"/>
      <c r="R4" s="3745" t="s">
        <v>1668</v>
      </c>
      <c r="S4" s="3746"/>
      <c r="T4" s="3745" t="s">
        <v>1669</v>
      </c>
      <c r="U4" s="3746"/>
      <c r="V4" s="3691" t="s">
        <v>1670</v>
      </c>
      <c r="W4" s="3691"/>
      <c r="X4" s="1354"/>
      <c r="Y4" s="3745" t="s">
        <v>1672</v>
      </c>
      <c r="Z4" s="3746"/>
      <c r="AA4" s="3740" t="s">
        <v>1668</v>
      </c>
      <c r="AB4" s="3740" t="s">
        <v>1669</v>
      </c>
      <c r="AC4" s="3740" t="s">
        <v>1670</v>
      </c>
    </row>
    <row r="5" spans="1:29" ht="15">
      <c r="A5" s="358"/>
      <c r="B5" s="359"/>
      <c r="C5" s="3700" t="s">
        <v>1673</v>
      </c>
      <c r="D5" s="3695"/>
      <c r="E5" s="3747" t="s">
        <v>1674</v>
      </c>
      <c r="F5" s="3707"/>
      <c r="G5" s="3700" t="s">
        <v>1675</v>
      </c>
      <c r="H5" s="3695"/>
      <c r="I5" s="3700" t="s">
        <v>1676</v>
      </c>
      <c r="J5" s="3695"/>
      <c r="K5" s="1889"/>
      <c r="L5" s="2713"/>
      <c r="M5" s="2714"/>
      <c r="N5" s="2714"/>
      <c r="O5" s="2714"/>
      <c r="P5" s="3743"/>
      <c r="Q5" s="3681"/>
      <c r="R5" s="3686"/>
      <c r="S5" s="3687"/>
      <c r="T5" s="3686"/>
      <c r="U5" s="3687"/>
      <c r="V5" s="3691"/>
      <c r="W5" s="3691"/>
      <c r="X5" s="1354"/>
      <c r="Y5" s="3686"/>
      <c r="Z5" s="3687"/>
      <c r="AA5" s="3704"/>
      <c r="AB5" s="3704"/>
      <c r="AC5" s="3704"/>
    </row>
    <row r="6" spans="1:29" ht="15.75" thickBot="1">
      <c r="A6" s="360"/>
      <c r="B6" s="361"/>
      <c r="C6" s="3692" t="s">
        <v>1677</v>
      </c>
      <c r="D6" s="3693"/>
      <c r="E6" s="3701" t="s">
        <v>1677</v>
      </c>
      <c r="F6" s="3702"/>
      <c r="G6" s="3692" t="s">
        <v>1677</v>
      </c>
      <c r="H6" s="3693"/>
      <c r="I6" s="3692" t="s">
        <v>1677</v>
      </c>
      <c r="J6" s="3693"/>
      <c r="K6" s="1889" t="s">
        <v>1678</v>
      </c>
      <c r="L6" s="2713"/>
      <c r="M6" s="2714"/>
      <c r="N6" s="2714"/>
      <c r="O6" s="2714"/>
      <c r="P6" s="3744"/>
      <c r="Q6" s="3683"/>
      <c r="R6" s="3686"/>
      <c r="S6" s="3687"/>
      <c r="T6" s="3688"/>
      <c r="U6" s="3689"/>
      <c r="V6" s="3691"/>
      <c r="W6" s="3691"/>
      <c r="X6" s="1354"/>
      <c r="Y6" s="3688"/>
      <c r="Z6" s="3689"/>
      <c r="AA6" s="3705"/>
      <c r="AB6" s="3705"/>
      <c r="AC6" s="3705"/>
    </row>
    <row r="7" spans="1:29" s="108" customFormat="1" ht="15.75" thickBot="1">
      <c r="A7" s="362" t="s">
        <v>1679</v>
      </c>
      <c r="B7" s="363"/>
      <c r="C7" s="364">
        <f>'数据-取费表'!B2</f>
        <v>45127</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98" t="s">
        <v>1680</v>
      </c>
      <c r="Q7" s="3699"/>
      <c r="R7" s="701" t="s">
        <v>20</v>
      </c>
      <c r="S7" s="702">
        <f t="shared" ref="S7:S15" si="0">F7</f>
        <v>0</v>
      </c>
      <c r="T7" s="701" t="s">
        <v>20</v>
      </c>
      <c r="U7" s="702">
        <f t="shared" ref="U7:U15" si="1">H7</f>
        <v>0</v>
      </c>
      <c r="V7" s="701" t="s">
        <v>20</v>
      </c>
      <c r="W7" s="702">
        <f t="shared" ref="W7:W15" si="2">J7</f>
        <v>0</v>
      </c>
      <c r="X7" s="703"/>
      <c r="Y7" s="3698" t="s">
        <v>1680</v>
      </c>
      <c r="Z7" s="3697"/>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98" t="s">
        <v>1683</v>
      </c>
      <c r="Q8" s="3697"/>
      <c r="R8" s="701" t="s">
        <v>20</v>
      </c>
      <c r="S8" s="702">
        <f t="shared" si="0"/>
        <v>100</v>
      </c>
      <c r="T8" s="701" t="s">
        <v>20</v>
      </c>
      <c r="U8" s="702">
        <f t="shared" si="1"/>
        <v>100</v>
      </c>
      <c r="V8" s="701" t="s">
        <v>20</v>
      </c>
      <c r="W8" s="702">
        <f t="shared" si="2"/>
        <v>100</v>
      </c>
      <c r="X8" s="703"/>
      <c r="Y8" s="3698" t="s">
        <v>1683</v>
      </c>
      <c r="Z8" s="369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56"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656"/>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56"/>
      <c r="Q11" s="1342" t="str">
        <f t="shared" si="6"/>
        <v>容积率</v>
      </c>
      <c r="R11" s="701" t="s">
        <v>18</v>
      </c>
      <c r="S11" s="702" t="e">
        <f t="shared" si="0"/>
        <v>#N/A</v>
      </c>
      <c r="T11" s="701" t="s">
        <v>18</v>
      </c>
      <c r="U11" s="702" t="e">
        <f t="shared" si="1"/>
        <v>#N/A</v>
      </c>
      <c r="V11" s="701" t="s">
        <v>18</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56"/>
      <c r="Q12" s="1342">
        <f t="shared" si="6"/>
        <v>111</v>
      </c>
      <c r="R12" s="701" t="s">
        <v>18</v>
      </c>
      <c r="S12" s="702">
        <f t="shared" si="0"/>
        <v>100</v>
      </c>
      <c r="T12" s="701" t="s">
        <v>18</v>
      </c>
      <c r="U12" s="702">
        <f t="shared" si="1"/>
        <v>100</v>
      </c>
      <c r="V12" s="701" t="s">
        <v>18</v>
      </c>
      <c r="W12" s="702">
        <f t="shared" si="2"/>
        <v>100</v>
      </c>
      <c r="X12" s="703"/>
      <c r="Y12" s="356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56"/>
      <c r="Q13" s="1342">
        <f t="shared" si="6"/>
        <v>111</v>
      </c>
      <c r="R13" s="701" t="s">
        <v>18</v>
      </c>
      <c r="S13" s="702">
        <f t="shared" si="0"/>
        <v>100</v>
      </c>
      <c r="T13" s="701" t="s">
        <v>18</v>
      </c>
      <c r="U13" s="702">
        <f t="shared" si="1"/>
        <v>100</v>
      </c>
      <c r="V13" s="701" t="s">
        <v>18</v>
      </c>
      <c r="W13" s="702">
        <f t="shared" si="2"/>
        <v>100</v>
      </c>
      <c r="X13" s="703"/>
      <c r="Y13" s="3563"/>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56"/>
      <c r="Q14" s="1342">
        <f t="shared" si="6"/>
        <v>111</v>
      </c>
      <c r="R14" s="701" t="s">
        <v>18</v>
      </c>
      <c r="S14" s="702">
        <f t="shared" si="0"/>
        <v>100</v>
      </c>
      <c r="T14" s="701" t="s">
        <v>18</v>
      </c>
      <c r="U14" s="702">
        <f t="shared" si="1"/>
        <v>100</v>
      </c>
      <c r="V14" s="701" t="s">
        <v>18</v>
      </c>
      <c r="W14" s="702">
        <f t="shared" si="2"/>
        <v>100</v>
      </c>
      <c r="X14" s="703"/>
      <c r="Y14" s="3563"/>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62" t="s">
        <v>1691</v>
      </c>
      <c r="Q15" s="1351" t="str">
        <f t="shared" si="6"/>
        <v>居住社区成熟度</v>
      </c>
      <c r="R15" s="705" t="s">
        <v>18</v>
      </c>
      <c r="S15" s="706">
        <f t="shared" si="0"/>
        <v>100</v>
      </c>
      <c r="T15" s="705" t="s">
        <v>18</v>
      </c>
      <c r="U15" s="706">
        <f t="shared" si="1"/>
        <v>100</v>
      </c>
      <c r="V15" s="705" t="s">
        <v>18</v>
      </c>
      <c r="W15" s="706">
        <f t="shared" si="2"/>
        <v>100</v>
      </c>
      <c r="X15" s="1354"/>
      <c r="Y15" s="366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663"/>
      <c r="Q16" s="1351"/>
      <c r="R16" s="705"/>
      <c r="S16" s="706"/>
      <c r="T16" s="705"/>
      <c r="U16" s="706"/>
      <c r="V16" s="705"/>
      <c r="W16" s="706"/>
      <c r="X16" s="1354"/>
      <c r="Y16" s="366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63"/>
      <c r="Q17" s="1351" t="str">
        <f>B17</f>
        <v>交通便捷度</v>
      </c>
      <c r="R17" s="705" t="s">
        <v>18</v>
      </c>
      <c r="S17" s="706">
        <f>F17</f>
        <v>100</v>
      </c>
      <c r="T17" s="705" t="s">
        <v>18</v>
      </c>
      <c r="U17" s="706">
        <f>H17</f>
        <v>100</v>
      </c>
      <c r="V17" s="705" t="s">
        <v>18</v>
      </c>
      <c r="W17" s="706">
        <f>J17</f>
        <v>100</v>
      </c>
      <c r="X17" s="1354"/>
      <c r="Y17" s="366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663"/>
      <c r="Q18" s="1351"/>
      <c r="R18" s="705"/>
      <c r="S18" s="706"/>
      <c r="T18" s="705"/>
      <c r="U18" s="706"/>
      <c r="V18" s="705"/>
      <c r="W18" s="706"/>
      <c r="X18" s="1354"/>
      <c r="Y18" s="366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63"/>
      <c r="Q19" s="1351" t="str">
        <f>B19</f>
        <v>公共配套设施</v>
      </c>
      <c r="R19" s="705" t="s">
        <v>18</v>
      </c>
      <c r="S19" s="706">
        <f>F19</f>
        <v>100</v>
      </c>
      <c r="T19" s="705" t="s">
        <v>18</v>
      </c>
      <c r="U19" s="706">
        <f>H19</f>
        <v>100</v>
      </c>
      <c r="V19" s="705" t="s">
        <v>18</v>
      </c>
      <c r="W19" s="706">
        <f>J19</f>
        <v>100</v>
      </c>
      <c r="X19" s="1354"/>
      <c r="Y19" s="366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663"/>
      <c r="Q20" s="1351"/>
      <c r="R20" s="705"/>
      <c r="S20" s="706"/>
      <c r="T20" s="705"/>
      <c r="U20" s="706"/>
      <c r="V20" s="705"/>
      <c r="W20" s="706"/>
      <c r="X20" s="1354"/>
      <c r="Y20" s="3665"/>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63"/>
      <c r="Q21" s="1351" t="str">
        <f>B21</f>
        <v>基础设施水平</v>
      </c>
      <c r="R21" s="705" t="s">
        <v>14</v>
      </c>
      <c r="S21" s="706">
        <f>F21</f>
        <v>100</v>
      </c>
      <c r="T21" s="705" t="s">
        <v>14</v>
      </c>
      <c r="U21" s="706">
        <f>H21</f>
        <v>100</v>
      </c>
      <c r="V21" s="705" t="s">
        <v>14</v>
      </c>
      <c r="W21" s="706">
        <f>J21</f>
        <v>100</v>
      </c>
      <c r="X21" s="1354"/>
      <c r="Y21" s="366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0"/>
      <c r="M22" s="2714"/>
      <c r="N22" s="2714"/>
      <c r="O22" s="2714"/>
      <c r="P22" s="3663"/>
      <c r="Q22" s="1351"/>
      <c r="R22" s="705"/>
      <c r="S22" s="706"/>
      <c r="T22" s="705"/>
      <c r="U22" s="706"/>
      <c r="V22" s="705"/>
      <c r="W22" s="706"/>
      <c r="X22" s="1354"/>
      <c r="Y22" s="366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63"/>
      <c r="Q23" s="1351" t="str">
        <f>B23</f>
        <v>自然及人文环境</v>
      </c>
      <c r="R23" s="705" t="s">
        <v>18</v>
      </c>
      <c r="S23" s="706">
        <f>F23</f>
        <v>100</v>
      </c>
      <c r="T23" s="705" t="s">
        <v>18</v>
      </c>
      <c r="U23" s="706">
        <f>H23</f>
        <v>100</v>
      </c>
      <c r="V23" s="705" t="s">
        <v>18</v>
      </c>
      <c r="W23" s="706">
        <f>J23</f>
        <v>100</v>
      </c>
      <c r="X23" s="1354"/>
      <c r="Y23" s="366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663"/>
      <c r="Q24" s="1351"/>
      <c r="R24" s="705"/>
      <c r="S24" s="706"/>
      <c r="T24" s="705"/>
      <c r="U24" s="706"/>
      <c r="V24" s="705"/>
      <c r="W24" s="706"/>
      <c r="X24" s="1354"/>
      <c r="Y24" s="366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63"/>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63"/>
      <c r="Q26" s="1351" t="str">
        <f t="shared" si="11"/>
        <v>朝向</v>
      </c>
      <c r="R26" s="705" t="s">
        <v>18</v>
      </c>
      <c r="S26" s="706">
        <f t="shared" si="12"/>
        <v>100</v>
      </c>
      <c r="T26" s="705" t="s">
        <v>18</v>
      </c>
      <c r="U26" s="706">
        <f t="shared" si="13"/>
        <v>100</v>
      </c>
      <c r="V26" s="705" t="s">
        <v>18</v>
      </c>
      <c r="W26" s="706">
        <f t="shared" si="14"/>
        <v>100</v>
      </c>
      <c r="X26" s="1354"/>
      <c r="Y26" s="3665"/>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63"/>
      <c r="Q27" s="1342">
        <f t="shared" si="11"/>
        <v>111</v>
      </c>
      <c r="R27" s="701" t="s">
        <v>18</v>
      </c>
      <c r="S27" s="702">
        <f t="shared" si="12"/>
        <v>100</v>
      </c>
      <c r="T27" s="701" t="s">
        <v>18</v>
      </c>
      <c r="U27" s="702">
        <f t="shared" si="13"/>
        <v>100</v>
      </c>
      <c r="V27" s="701" t="s">
        <v>18</v>
      </c>
      <c r="W27" s="702">
        <f t="shared" si="14"/>
        <v>100</v>
      </c>
      <c r="X27" s="703"/>
      <c r="Y27" s="3665"/>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63"/>
      <c r="Q28" s="1351">
        <f t="shared" si="11"/>
        <v>111</v>
      </c>
      <c r="R28" s="705" t="s">
        <v>18</v>
      </c>
      <c r="S28" s="706">
        <f t="shared" si="12"/>
        <v>100</v>
      </c>
      <c r="T28" s="705" t="s">
        <v>18</v>
      </c>
      <c r="U28" s="706">
        <f t="shared" si="13"/>
        <v>100</v>
      </c>
      <c r="V28" s="705" t="s">
        <v>18</v>
      </c>
      <c r="W28" s="706">
        <f t="shared" si="14"/>
        <v>100</v>
      </c>
      <c r="X28" s="1354"/>
      <c r="Y28" s="3665"/>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63"/>
      <c r="Q29" s="1351">
        <f t="shared" si="11"/>
        <v>111</v>
      </c>
      <c r="R29" s="705" t="s">
        <v>18</v>
      </c>
      <c r="S29" s="706">
        <f t="shared" si="12"/>
        <v>100</v>
      </c>
      <c r="T29" s="705" t="s">
        <v>18</v>
      </c>
      <c r="U29" s="706">
        <f t="shared" si="13"/>
        <v>100</v>
      </c>
      <c r="V29" s="705" t="s">
        <v>18</v>
      </c>
      <c r="W29" s="706">
        <f t="shared" si="14"/>
        <v>100</v>
      </c>
      <c r="X29" s="1354"/>
      <c r="Y29" s="3665"/>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63"/>
      <c r="Q30" s="1351">
        <f t="shared" si="11"/>
        <v>111</v>
      </c>
      <c r="R30" s="705" t="s">
        <v>18</v>
      </c>
      <c r="S30" s="706">
        <f t="shared" si="12"/>
        <v>100</v>
      </c>
      <c r="T30" s="705" t="s">
        <v>18</v>
      </c>
      <c r="U30" s="706">
        <f t="shared" si="13"/>
        <v>100</v>
      </c>
      <c r="V30" s="705" t="s">
        <v>18</v>
      </c>
      <c r="W30" s="706">
        <f t="shared" si="14"/>
        <v>100</v>
      </c>
      <c r="X30" s="1354"/>
      <c r="Y30" s="3665"/>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63"/>
      <c r="Q31" s="1351">
        <f t="shared" si="11"/>
        <v>111</v>
      </c>
      <c r="R31" s="705" t="s">
        <v>18</v>
      </c>
      <c r="S31" s="706">
        <f t="shared" si="12"/>
        <v>100</v>
      </c>
      <c r="T31" s="705" t="s">
        <v>18</v>
      </c>
      <c r="U31" s="706">
        <f t="shared" si="13"/>
        <v>100</v>
      </c>
      <c r="V31" s="705" t="s">
        <v>18</v>
      </c>
      <c r="W31" s="706">
        <f t="shared" si="14"/>
        <v>100</v>
      </c>
      <c r="X31" s="1354"/>
      <c r="Y31" s="366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66" t="s">
        <v>1696</v>
      </c>
      <c r="Q32" s="1351" t="str">
        <f t="shared" si="11"/>
        <v>建筑类型</v>
      </c>
      <c r="R32" s="705" t="s">
        <v>18</v>
      </c>
      <c r="S32" s="706">
        <f t="shared" si="12"/>
        <v>100</v>
      </c>
      <c r="T32" s="705" t="s">
        <v>18</v>
      </c>
      <c r="U32" s="706">
        <f t="shared" si="13"/>
        <v>100</v>
      </c>
      <c r="V32" s="705" t="s">
        <v>18</v>
      </c>
      <c r="W32" s="706">
        <f t="shared" si="14"/>
        <v>100</v>
      </c>
      <c r="X32" s="1354"/>
      <c r="Y32" s="366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67"/>
      <c r="Q33" s="707" t="str">
        <f t="shared" si="11"/>
        <v>项目建筑规模</v>
      </c>
      <c r="R33" s="708" t="s">
        <v>18</v>
      </c>
      <c r="S33" s="709" t="e">
        <f t="shared" si="12"/>
        <v>#N/A</v>
      </c>
      <c r="T33" s="708" t="s">
        <v>18</v>
      </c>
      <c r="U33" s="709" t="e">
        <f t="shared" si="13"/>
        <v>#N/A</v>
      </c>
      <c r="V33" s="708" t="s">
        <v>18</v>
      </c>
      <c r="W33" s="709" t="e">
        <f t="shared" si="14"/>
        <v>#N/A</v>
      </c>
      <c r="X33" s="710"/>
      <c r="Y33" s="3669"/>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67"/>
      <c r="Q34" s="1351" t="str">
        <f t="shared" si="11"/>
        <v>建筑结构</v>
      </c>
      <c r="R34" s="705" t="s">
        <v>18</v>
      </c>
      <c r="S34" s="706">
        <f t="shared" si="12"/>
        <v>100</v>
      </c>
      <c r="T34" s="705" t="s">
        <v>18</v>
      </c>
      <c r="U34" s="706">
        <f t="shared" si="13"/>
        <v>100</v>
      </c>
      <c r="V34" s="705" t="s">
        <v>18</v>
      </c>
      <c r="W34" s="706">
        <f t="shared" si="14"/>
        <v>100</v>
      </c>
      <c r="X34" s="1354"/>
      <c r="Y34" s="366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67"/>
      <c r="Q35" s="1351" t="str">
        <f t="shared" si="11"/>
        <v>建筑品质</v>
      </c>
      <c r="R35" s="705" t="s">
        <v>18</v>
      </c>
      <c r="S35" s="706">
        <f t="shared" si="12"/>
        <v>100</v>
      </c>
      <c r="T35" s="705" t="s">
        <v>18</v>
      </c>
      <c r="U35" s="706">
        <f t="shared" si="13"/>
        <v>100</v>
      </c>
      <c r="V35" s="705" t="s">
        <v>18</v>
      </c>
      <c r="W35" s="706">
        <f t="shared" si="14"/>
        <v>100</v>
      </c>
      <c r="X35" s="1354"/>
      <c r="Y35" s="366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67"/>
      <c r="Q36" s="1351" t="str">
        <f t="shared" si="11"/>
        <v>公共部分装修</v>
      </c>
      <c r="R36" s="705" t="s">
        <v>18</v>
      </c>
      <c r="S36" s="706">
        <f t="shared" si="12"/>
        <v>100</v>
      </c>
      <c r="T36" s="705" t="s">
        <v>18</v>
      </c>
      <c r="U36" s="706">
        <f t="shared" si="13"/>
        <v>100</v>
      </c>
      <c r="V36" s="705" t="s">
        <v>18</v>
      </c>
      <c r="W36" s="706">
        <f t="shared" si="14"/>
        <v>100</v>
      </c>
      <c r="X36" s="1354"/>
      <c r="Y36" s="366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7"/>
      <c r="Q37" s="1342" t="str">
        <f t="shared" si="11"/>
        <v>成新度</v>
      </c>
      <c r="R37" s="701" t="s">
        <v>18</v>
      </c>
      <c r="S37" s="702" t="e">
        <f t="shared" si="12"/>
        <v>#N/A</v>
      </c>
      <c r="T37" s="701" t="s">
        <v>18</v>
      </c>
      <c r="U37" s="702" t="e">
        <f t="shared" si="13"/>
        <v>#N/A</v>
      </c>
      <c r="V37" s="701" t="s">
        <v>18</v>
      </c>
      <c r="W37" s="702" t="e">
        <f t="shared" si="14"/>
        <v>#N/A</v>
      </c>
      <c r="X37" s="703"/>
      <c r="Y37" s="3669"/>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67" t="s">
        <v>1696</v>
      </c>
      <c r="Q38" s="1351" t="str">
        <f t="shared" si="11"/>
        <v>物业管理</v>
      </c>
      <c r="R38" s="705" t="s">
        <v>18</v>
      </c>
      <c r="S38" s="706">
        <f t="shared" si="12"/>
        <v>100</v>
      </c>
      <c r="T38" s="705" t="s">
        <v>18</v>
      </c>
      <c r="U38" s="706">
        <f t="shared" si="13"/>
        <v>100</v>
      </c>
      <c r="V38" s="705" t="s">
        <v>18</v>
      </c>
      <c r="W38" s="706">
        <f t="shared" si="14"/>
        <v>100</v>
      </c>
      <c r="X38" s="1354"/>
      <c r="Y38" s="366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67"/>
      <c r="Q39" s="1351" t="str">
        <f t="shared" si="11"/>
        <v>市政基础设施</v>
      </c>
      <c r="R39" s="705" t="s">
        <v>18</v>
      </c>
      <c r="S39" s="706">
        <f t="shared" si="12"/>
        <v>100</v>
      </c>
      <c r="T39" s="705" t="s">
        <v>18</v>
      </c>
      <c r="U39" s="706">
        <f t="shared" si="13"/>
        <v>100</v>
      </c>
      <c r="V39" s="705" t="s">
        <v>18</v>
      </c>
      <c r="W39" s="706">
        <f t="shared" si="14"/>
        <v>100</v>
      </c>
      <c r="X39" s="1354"/>
      <c r="Y39" s="366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67"/>
      <c r="Q40" s="1351" t="str">
        <f t="shared" si="11"/>
        <v>房型</v>
      </c>
      <c r="R40" s="705" t="s">
        <v>18</v>
      </c>
      <c r="S40" s="706">
        <f t="shared" si="12"/>
        <v>100</v>
      </c>
      <c r="T40" s="705" t="s">
        <v>18</v>
      </c>
      <c r="U40" s="706">
        <f t="shared" si="13"/>
        <v>100</v>
      </c>
      <c r="V40" s="705" t="s">
        <v>18</v>
      </c>
      <c r="W40" s="706">
        <f t="shared" si="14"/>
        <v>100</v>
      </c>
      <c r="X40" s="1354"/>
      <c r="Y40" s="366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67"/>
      <c r="Q41" s="707" t="str">
        <f t="shared" si="11"/>
        <v>单套/主力户型建筑面积</v>
      </c>
      <c r="R41" s="708" t="s">
        <v>18</v>
      </c>
      <c r="S41" s="709">
        <f t="shared" si="12"/>
        <v>100</v>
      </c>
      <c r="T41" s="708" t="s">
        <v>18</v>
      </c>
      <c r="U41" s="709">
        <f t="shared" si="13"/>
        <v>100</v>
      </c>
      <c r="V41" s="708" t="s">
        <v>18</v>
      </c>
      <c r="W41" s="709">
        <f t="shared" si="14"/>
        <v>100</v>
      </c>
      <c r="X41" s="710"/>
      <c r="Y41" s="3669"/>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67"/>
      <c r="Q42" s="1351" t="str">
        <f t="shared" si="11"/>
        <v>内部装修</v>
      </c>
      <c r="R42" s="705" t="s">
        <v>18</v>
      </c>
      <c r="S42" s="706">
        <f t="shared" si="12"/>
        <v>100</v>
      </c>
      <c r="T42" s="705" t="s">
        <v>18</v>
      </c>
      <c r="U42" s="706">
        <f t="shared" si="13"/>
        <v>100</v>
      </c>
      <c r="V42" s="705" t="s">
        <v>18</v>
      </c>
      <c r="W42" s="706">
        <f t="shared" si="14"/>
        <v>100</v>
      </c>
      <c r="X42" s="1354"/>
      <c r="Y42" s="366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67"/>
      <c r="Q43" s="1351" t="str">
        <f t="shared" si="11"/>
        <v>内部装修维护情况</v>
      </c>
      <c r="R43" s="705" t="s">
        <v>18</v>
      </c>
      <c r="S43" s="706">
        <f t="shared" si="12"/>
        <v>100</v>
      </c>
      <c r="T43" s="705" t="s">
        <v>18</v>
      </c>
      <c r="U43" s="706">
        <f t="shared" si="13"/>
        <v>100</v>
      </c>
      <c r="V43" s="705" t="s">
        <v>18</v>
      </c>
      <c r="W43" s="706">
        <f t="shared" si="14"/>
        <v>100</v>
      </c>
      <c r="X43" s="1354"/>
      <c r="Y43" s="3669"/>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67"/>
      <c r="Q44" s="1342">
        <f t="shared" si="11"/>
        <v>111</v>
      </c>
      <c r="R44" s="701" t="s">
        <v>18</v>
      </c>
      <c r="S44" s="702">
        <f t="shared" si="12"/>
        <v>100</v>
      </c>
      <c r="T44" s="701" t="s">
        <v>18</v>
      </c>
      <c r="U44" s="702">
        <f t="shared" si="13"/>
        <v>100</v>
      </c>
      <c r="V44" s="701" t="s">
        <v>18</v>
      </c>
      <c r="W44" s="702">
        <f t="shared" si="14"/>
        <v>100</v>
      </c>
      <c r="X44" s="703"/>
      <c r="Y44" s="366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67"/>
      <c r="Q45" s="1351">
        <f t="shared" si="11"/>
        <v>111</v>
      </c>
      <c r="R45" s="705" t="s">
        <v>18</v>
      </c>
      <c r="S45" s="706">
        <f t="shared" si="12"/>
        <v>100</v>
      </c>
      <c r="T45" s="705" t="s">
        <v>18</v>
      </c>
      <c r="U45" s="706">
        <f t="shared" si="13"/>
        <v>100</v>
      </c>
      <c r="V45" s="705" t="s">
        <v>18</v>
      </c>
      <c r="W45" s="706">
        <f t="shared" si="14"/>
        <v>100</v>
      </c>
      <c r="X45" s="1354"/>
      <c r="Y45" s="366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68"/>
      <c r="Q46" s="1351">
        <f t="shared" si="11"/>
        <v>111</v>
      </c>
      <c r="R46" s="705" t="s">
        <v>17</v>
      </c>
      <c r="S46" s="706">
        <f t="shared" si="12"/>
        <v>100</v>
      </c>
      <c r="T46" s="705" t="s">
        <v>17</v>
      </c>
      <c r="U46" s="706">
        <f t="shared" si="13"/>
        <v>100</v>
      </c>
      <c r="V46" s="705" t="s">
        <v>17</v>
      </c>
      <c r="W46" s="706">
        <f t="shared" si="14"/>
        <v>100</v>
      </c>
      <c r="X46" s="1354"/>
      <c r="Y46" s="3670"/>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2"/>
      <c r="M47" s="2723"/>
      <c r="N47" s="2714"/>
      <c r="O47" s="2723"/>
      <c r="P47" s="3657" t="str">
        <f>A47</f>
        <v>成交单价（元/平方米）</v>
      </c>
      <c r="Q47" s="3657"/>
      <c r="R47" s="3658">
        <f>E47</f>
        <v>0</v>
      </c>
      <c r="S47" s="3658"/>
      <c r="T47" s="3658">
        <f>G47</f>
        <v>0</v>
      </c>
      <c r="U47" s="3658"/>
      <c r="V47" s="3658">
        <f>I47</f>
        <v>0</v>
      </c>
      <c r="W47" s="3658"/>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2"/>
      <c r="M48" s="2723"/>
      <c r="N48" s="2723"/>
      <c r="O48" s="2723"/>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2"/>
      <c r="M49" s="2723"/>
      <c r="N49" s="2723"/>
      <c r="O49" s="2723"/>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1216.8699999999999</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741" t="s">
        <v>1775</v>
      </c>
      <c r="Q4" s="3742"/>
      <c r="R4" s="3745" t="s">
        <v>1771</v>
      </c>
      <c r="S4" s="3746"/>
      <c r="T4" s="3745" t="s">
        <v>1772</v>
      </c>
      <c r="U4" s="3746"/>
      <c r="V4" s="3691" t="s">
        <v>1773</v>
      </c>
      <c r="W4" s="3691"/>
      <c r="X4" s="1354"/>
      <c r="Y4" s="3745" t="s">
        <v>1775</v>
      </c>
      <c r="Z4" s="3746"/>
      <c r="AA4" s="3740" t="s">
        <v>1771</v>
      </c>
      <c r="AB4" s="3691" t="s">
        <v>1772</v>
      </c>
      <c r="AC4" s="3740" t="s">
        <v>1773</v>
      </c>
    </row>
    <row r="5" spans="1:29" ht="15">
      <c r="A5" s="358"/>
      <c r="B5" s="359"/>
      <c r="C5" s="3700" t="s">
        <v>1673</v>
      </c>
      <c r="D5" s="3695"/>
      <c r="E5" s="3747" t="s">
        <v>1674</v>
      </c>
      <c r="F5" s="3707"/>
      <c r="G5" s="3700" t="s">
        <v>1675</v>
      </c>
      <c r="H5" s="3695"/>
      <c r="I5" s="3700" t="s">
        <v>1676</v>
      </c>
      <c r="J5" s="3695"/>
      <c r="K5" s="559"/>
      <c r="L5" s="2713"/>
      <c r="M5" s="2714"/>
      <c r="N5" s="2714"/>
      <c r="O5" s="2714"/>
      <c r="P5" s="3743"/>
      <c r="Q5" s="3681"/>
      <c r="R5" s="3686"/>
      <c r="S5" s="3687"/>
      <c r="T5" s="3686"/>
      <c r="U5" s="3687"/>
      <c r="V5" s="3691"/>
      <c r="W5" s="3691"/>
      <c r="X5" s="1354"/>
      <c r="Y5" s="3686"/>
      <c r="Z5" s="3687"/>
      <c r="AA5" s="3704"/>
      <c r="AB5" s="3691"/>
      <c r="AC5" s="3704"/>
    </row>
    <row r="6" spans="1:29" ht="15.75" thickBot="1">
      <c r="A6" s="360"/>
      <c r="B6" s="361"/>
      <c r="C6" s="3692" t="s">
        <v>1677</v>
      </c>
      <c r="D6" s="3693"/>
      <c r="E6" s="3701" t="s">
        <v>1677</v>
      </c>
      <c r="F6" s="3702"/>
      <c r="G6" s="3692" t="s">
        <v>1677</v>
      </c>
      <c r="H6" s="3693"/>
      <c r="I6" s="3692" t="s">
        <v>1677</v>
      </c>
      <c r="J6" s="3693"/>
      <c r="K6" s="559" t="s">
        <v>1678</v>
      </c>
      <c r="L6" s="2713"/>
      <c r="M6" s="2714"/>
      <c r="N6" s="2714"/>
      <c r="O6" s="2714"/>
      <c r="P6" s="3744"/>
      <c r="Q6" s="3683"/>
      <c r="R6" s="3686"/>
      <c r="S6" s="3687"/>
      <c r="T6" s="3688"/>
      <c r="U6" s="3689"/>
      <c r="V6" s="3691"/>
      <c r="W6" s="3691"/>
      <c r="X6" s="1354"/>
      <c r="Y6" s="3688"/>
      <c r="Z6" s="3689"/>
      <c r="AA6" s="3705"/>
      <c r="AB6" s="3691"/>
      <c r="AC6" s="3705"/>
    </row>
    <row r="7" spans="1:29" s="108" customFormat="1" ht="15.75" thickBot="1">
      <c r="A7" s="362" t="s">
        <v>1679</v>
      </c>
      <c r="B7" s="363"/>
      <c r="C7" s="364">
        <f>'数据-取费表'!B2</f>
        <v>45127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8" t="s">
        <v>1680</v>
      </c>
      <c r="Q7" s="3699"/>
      <c r="R7" s="701" t="s">
        <v>14</v>
      </c>
      <c r="S7" s="702">
        <f t="shared" ref="S7:S15" si="0">F7</f>
        <v>0</v>
      </c>
      <c r="T7" s="701" t="s">
        <v>14</v>
      </c>
      <c r="U7" s="702">
        <f t="shared" ref="U7:U15" si="1">H7</f>
        <v>0</v>
      </c>
      <c r="V7" s="701" t="s">
        <v>14</v>
      </c>
      <c r="W7" s="702">
        <f t="shared" ref="W7:W15" si="2">J7</f>
        <v>0</v>
      </c>
      <c r="X7" s="703"/>
      <c r="Y7" s="3698" t="s">
        <v>1680</v>
      </c>
      <c r="Z7" s="369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8" t="s">
        <v>1683</v>
      </c>
      <c r="Q8" s="3697"/>
      <c r="R8" s="701" t="s">
        <v>14</v>
      </c>
      <c r="S8" s="702">
        <f t="shared" si="0"/>
        <v>100</v>
      </c>
      <c r="T8" s="701" t="s">
        <v>14</v>
      </c>
      <c r="U8" s="702">
        <f t="shared" si="1"/>
        <v>100</v>
      </c>
      <c r="V8" s="701" t="s">
        <v>14</v>
      </c>
      <c r="W8" s="702">
        <f t="shared" si="2"/>
        <v>100</v>
      </c>
      <c r="X8" s="703"/>
      <c r="Y8" s="3698" t="s">
        <v>1683</v>
      </c>
      <c r="Z8" s="369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56"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56"/>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56"/>
      <c r="Q11" s="1342"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56"/>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56"/>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56"/>
      <c r="Q14" s="1342">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62" t="s">
        <v>1691</v>
      </c>
      <c r="Q15" s="1351" t="str">
        <f t="shared" si="6"/>
        <v>商业繁华度</v>
      </c>
      <c r="R15" s="705" t="s">
        <v>14</v>
      </c>
      <c r="S15" s="706">
        <f t="shared" si="0"/>
        <v>100</v>
      </c>
      <c r="T15" s="705" t="s">
        <v>14</v>
      </c>
      <c r="U15" s="706">
        <f t="shared" si="1"/>
        <v>100</v>
      </c>
      <c r="V15" s="705" t="s">
        <v>14</v>
      </c>
      <c r="W15" s="706">
        <f t="shared" si="2"/>
        <v>100</v>
      </c>
      <c r="X15" s="1354"/>
      <c r="Y15" s="366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663"/>
      <c r="Q16" s="1351"/>
      <c r="R16" s="705"/>
      <c r="S16" s="706"/>
      <c r="T16" s="705"/>
      <c r="U16" s="706"/>
      <c r="V16" s="705"/>
      <c r="W16" s="706"/>
      <c r="X16" s="1354"/>
      <c r="Y16" s="366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63"/>
      <c r="Q17" s="1351" t="str">
        <f>B17</f>
        <v>交通便捷度</v>
      </c>
      <c r="R17" s="705" t="s">
        <v>14</v>
      </c>
      <c r="S17" s="706">
        <f>F17</f>
        <v>100</v>
      </c>
      <c r="T17" s="705" t="s">
        <v>14</v>
      </c>
      <c r="U17" s="706">
        <f>H17</f>
        <v>100</v>
      </c>
      <c r="V17" s="705" t="s">
        <v>14</v>
      </c>
      <c r="W17" s="706">
        <f>J17</f>
        <v>100</v>
      </c>
      <c r="X17" s="1354"/>
      <c r="Y17" s="366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663"/>
      <c r="Q18" s="1351"/>
      <c r="R18" s="705"/>
      <c r="S18" s="706"/>
      <c r="T18" s="705"/>
      <c r="U18" s="706"/>
      <c r="V18" s="705"/>
      <c r="W18" s="706"/>
      <c r="X18" s="1354"/>
      <c r="Y18" s="366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63"/>
      <c r="Q19" s="1351" t="str">
        <f>B19</f>
        <v>公共配套设施</v>
      </c>
      <c r="R19" s="705" t="s">
        <v>14</v>
      </c>
      <c r="S19" s="706">
        <f>F19</f>
        <v>100</v>
      </c>
      <c r="T19" s="705" t="s">
        <v>14</v>
      </c>
      <c r="U19" s="706">
        <f>H19</f>
        <v>100</v>
      </c>
      <c r="V19" s="705" t="s">
        <v>14</v>
      </c>
      <c r="W19" s="706">
        <f>J19</f>
        <v>100</v>
      </c>
      <c r="X19" s="1354"/>
      <c r="Y19" s="366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663"/>
      <c r="Q20" s="1351"/>
      <c r="R20" s="705"/>
      <c r="S20" s="706"/>
      <c r="T20" s="705"/>
      <c r="U20" s="706"/>
      <c r="V20" s="705"/>
      <c r="W20" s="706"/>
      <c r="X20" s="1354"/>
      <c r="Y20" s="3665"/>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63"/>
      <c r="Q21" s="1351" t="str">
        <f>B21</f>
        <v>基础设施水平</v>
      </c>
      <c r="R21" s="705" t="s">
        <v>14</v>
      </c>
      <c r="S21" s="706">
        <f>F21</f>
        <v>100</v>
      </c>
      <c r="T21" s="705" t="s">
        <v>14</v>
      </c>
      <c r="U21" s="706">
        <f>H21</f>
        <v>100</v>
      </c>
      <c r="V21" s="705" t="s">
        <v>14</v>
      </c>
      <c r="W21" s="706">
        <f>J21</f>
        <v>100</v>
      </c>
      <c r="X21" s="1354"/>
      <c r="Y21" s="366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0"/>
      <c r="M22" s="2714"/>
      <c r="N22" s="2714"/>
      <c r="O22" s="2714"/>
      <c r="P22" s="3663"/>
      <c r="Q22" s="1351"/>
      <c r="R22" s="705"/>
      <c r="S22" s="706"/>
      <c r="T22" s="705"/>
      <c r="U22" s="706"/>
      <c r="V22" s="705"/>
      <c r="W22" s="706"/>
      <c r="X22" s="1354"/>
      <c r="Y22" s="3665"/>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63"/>
      <c r="Q23" s="1351" t="str">
        <f>B23</f>
        <v>自然及人文环境</v>
      </c>
      <c r="R23" s="705" t="s">
        <v>14</v>
      </c>
      <c r="S23" s="706">
        <f>F23</f>
        <v>100</v>
      </c>
      <c r="T23" s="705" t="s">
        <v>14</v>
      </c>
      <c r="U23" s="706">
        <f>H23</f>
        <v>100</v>
      </c>
      <c r="V23" s="705" t="s">
        <v>14</v>
      </c>
      <c r="W23" s="706">
        <f>J23</f>
        <v>100</v>
      </c>
      <c r="X23" s="1354"/>
      <c r="Y23" s="366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663"/>
      <c r="Q24" s="1351"/>
      <c r="R24" s="705"/>
      <c r="S24" s="706"/>
      <c r="T24" s="705"/>
      <c r="U24" s="706"/>
      <c r="V24" s="705"/>
      <c r="W24" s="706"/>
      <c r="X24" s="1354"/>
      <c r="Y24" s="366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63"/>
      <c r="Q25" s="1351" t="str">
        <f t="shared" ref="Q25:Q46" si="11">B25</f>
        <v>临街状况</v>
      </c>
      <c r="R25" s="705" t="s">
        <v>14</v>
      </c>
      <c r="S25" s="706">
        <f>F25</f>
        <v>100</v>
      </c>
      <c r="T25" s="705" t="s">
        <v>14</v>
      </c>
      <c r="U25" s="706">
        <f>H25</f>
        <v>100</v>
      </c>
      <c r="V25" s="705" t="s">
        <v>14</v>
      </c>
      <c r="W25" s="706">
        <f>J25</f>
        <v>100</v>
      </c>
      <c r="X25" s="1354"/>
      <c r="Y25" s="3665"/>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63"/>
      <c r="Q26" s="1351" t="str">
        <f t="shared" si="11"/>
        <v>平面位置/可视性</v>
      </c>
      <c r="R26" s="705" t="s">
        <v>14</v>
      </c>
      <c r="S26" s="706">
        <f>F26</f>
        <v>100</v>
      </c>
      <c r="T26" s="705" t="s">
        <v>14</v>
      </c>
      <c r="U26" s="706">
        <f>H26</f>
        <v>100</v>
      </c>
      <c r="V26" s="705" t="s">
        <v>14</v>
      </c>
      <c r="W26" s="706">
        <f>J26</f>
        <v>100</v>
      </c>
      <c r="X26" s="1354"/>
      <c r="Y26" s="3665"/>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663"/>
      <c r="Q27" s="1342" t="str">
        <f t="shared" si="11"/>
        <v>人流量</v>
      </c>
      <c r="R27" s="701" t="s">
        <v>14</v>
      </c>
      <c r="S27" s="702">
        <f>F27</f>
        <v>100</v>
      </c>
      <c r="T27" s="701" t="s">
        <v>14</v>
      </c>
      <c r="U27" s="702">
        <f>H27</f>
        <v>100</v>
      </c>
      <c r="V27" s="701" t="s">
        <v>14</v>
      </c>
      <c r="W27" s="702">
        <f>J27</f>
        <v>100</v>
      </c>
      <c r="X27" s="703"/>
      <c r="Y27" s="366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63"/>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65"/>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63"/>
      <c r="Q29" s="1351">
        <f t="shared" si="11"/>
        <v>111</v>
      </c>
      <c r="R29" s="705" t="s">
        <v>14</v>
      </c>
      <c r="S29" s="706">
        <f t="shared" si="12"/>
        <v>100</v>
      </c>
      <c r="T29" s="705" t="s">
        <v>14</v>
      </c>
      <c r="U29" s="706">
        <f t="shared" si="13"/>
        <v>100</v>
      </c>
      <c r="V29" s="705" t="s">
        <v>14</v>
      </c>
      <c r="W29" s="706">
        <f t="shared" si="14"/>
        <v>100</v>
      </c>
      <c r="X29" s="1354"/>
      <c r="Y29" s="3665"/>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63"/>
      <c r="Q30" s="1351">
        <f t="shared" si="11"/>
        <v>111</v>
      </c>
      <c r="R30" s="705" t="s">
        <v>14</v>
      </c>
      <c r="S30" s="706">
        <f t="shared" si="12"/>
        <v>100</v>
      </c>
      <c r="T30" s="705" t="s">
        <v>14</v>
      </c>
      <c r="U30" s="706">
        <f t="shared" si="13"/>
        <v>100</v>
      </c>
      <c r="V30" s="705" t="s">
        <v>14</v>
      </c>
      <c r="W30" s="706">
        <f t="shared" si="14"/>
        <v>100</v>
      </c>
      <c r="X30" s="1354"/>
      <c r="Y30" s="3665"/>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63"/>
      <c r="Q31" s="1351">
        <f t="shared" si="11"/>
        <v>111</v>
      </c>
      <c r="R31" s="705" t="s">
        <v>14</v>
      </c>
      <c r="S31" s="706">
        <f t="shared" si="12"/>
        <v>100</v>
      </c>
      <c r="T31" s="705" t="s">
        <v>14</v>
      </c>
      <c r="U31" s="706">
        <f t="shared" si="13"/>
        <v>100</v>
      </c>
      <c r="V31" s="705" t="s">
        <v>14</v>
      </c>
      <c r="W31" s="706">
        <f t="shared" si="14"/>
        <v>100</v>
      </c>
      <c r="X31" s="1354"/>
      <c r="Y31" s="366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666" t="s">
        <v>1696</v>
      </c>
      <c r="Q32" s="1351" t="str">
        <f t="shared" si="11"/>
        <v>商业类型</v>
      </c>
      <c r="R32" s="705" t="s">
        <v>14</v>
      </c>
      <c r="S32" s="706">
        <f t="shared" si="12"/>
        <v>100</v>
      </c>
      <c r="T32" s="705" t="s">
        <v>14</v>
      </c>
      <c r="U32" s="706">
        <f t="shared" si="13"/>
        <v>100</v>
      </c>
      <c r="V32" s="705" t="s">
        <v>14</v>
      </c>
      <c r="W32" s="706">
        <f t="shared" si="14"/>
        <v>100</v>
      </c>
      <c r="X32" s="1354"/>
      <c r="Y32" s="366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67"/>
      <c r="Q33" s="707" t="str">
        <f t="shared" si="11"/>
        <v>项目建筑规模</v>
      </c>
      <c r="R33" s="708" t="s">
        <v>14</v>
      </c>
      <c r="S33" s="709" t="e">
        <f t="shared" si="12"/>
        <v>#N/A</v>
      </c>
      <c r="T33" s="708" t="s">
        <v>14</v>
      </c>
      <c r="U33" s="709" t="e">
        <f t="shared" si="13"/>
        <v>#N/A</v>
      </c>
      <c r="V33" s="708" t="s">
        <v>14</v>
      </c>
      <c r="W33" s="709" t="e">
        <f t="shared" si="14"/>
        <v>#N/A</v>
      </c>
      <c r="X33" s="710"/>
      <c r="Y33" s="3669"/>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667"/>
      <c r="Q34" s="1351" t="str">
        <f t="shared" si="11"/>
        <v>建筑结构</v>
      </c>
      <c r="R34" s="705" t="s">
        <v>14</v>
      </c>
      <c r="S34" s="706">
        <f t="shared" si="12"/>
        <v>100</v>
      </c>
      <c r="T34" s="705" t="s">
        <v>14</v>
      </c>
      <c r="U34" s="706">
        <f t="shared" si="13"/>
        <v>100</v>
      </c>
      <c r="V34" s="705" t="s">
        <v>14</v>
      </c>
      <c r="W34" s="706">
        <f t="shared" si="14"/>
        <v>100</v>
      </c>
      <c r="X34" s="1354"/>
      <c r="Y34" s="366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667"/>
      <c r="Q35" s="1351" t="str">
        <f t="shared" si="11"/>
        <v>公共部分装修</v>
      </c>
      <c r="R35" s="705" t="s">
        <v>14</v>
      </c>
      <c r="S35" s="706">
        <f t="shared" si="12"/>
        <v>100</v>
      </c>
      <c r="T35" s="705" t="s">
        <v>14</v>
      </c>
      <c r="U35" s="706">
        <f t="shared" si="13"/>
        <v>100</v>
      </c>
      <c r="V35" s="705" t="s">
        <v>14</v>
      </c>
      <c r="W35" s="706">
        <f t="shared" si="14"/>
        <v>100</v>
      </c>
      <c r="X35" s="1354"/>
      <c r="Y35" s="366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67"/>
      <c r="Q36" s="1351" t="str">
        <f t="shared" si="11"/>
        <v>成新度</v>
      </c>
      <c r="R36" s="705" t="s">
        <v>14</v>
      </c>
      <c r="S36" s="706" t="e">
        <f t="shared" si="12"/>
        <v>#N/A</v>
      </c>
      <c r="T36" s="705" t="s">
        <v>14</v>
      </c>
      <c r="U36" s="706" t="e">
        <f t="shared" si="13"/>
        <v>#N/A</v>
      </c>
      <c r="V36" s="705" t="s">
        <v>14</v>
      </c>
      <c r="W36" s="706" t="e">
        <f t="shared" si="14"/>
        <v>#N/A</v>
      </c>
      <c r="X36" s="1354"/>
      <c r="Y36" s="3669"/>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667"/>
      <c r="Q37" s="1342" t="str">
        <f t="shared" si="11"/>
        <v>市政基础设施</v>
      </c>
      <c r="R37" s="701" t="s">
        <v>14</v>
      </c>
      <c r="S37" s="702">
        <f t="shared" si="12"/>
        <v>100</v>
      </c>
      <c r="T37" s="701" t="s">
        <v>14</v>
      </c>
      <c r="U37" s="702">
        <f t="shared" si="13"/>
        <v>100</v>
      </c>
      <c r="V37" s="701" t="s">
        <v>14</v>
      </c>
      <c r="W37" s="702">
        <f t="shared" si="14"/>
        <v>100</v>
      </c>
      <c r="X37" s="703"/>
      <c r="Y37" s="3669"/>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667" t="s">
        <v>1696</v>
      </c>
      <c r="Q38" s="1351" t="str">
        <f t="shared" si="11"/>
        <v>业态</v>
      </c>
      <c r="R38" s="705" t="s">
        <v>14</v>
      </c>
      <c r="S38" s="706">
        <f t="shared" si="12"/>
        <v>100</v>
      </c>
      <c r="T38" s="705" t="s">
        <v>14</v>
      </c>
      <c r="U38" s="706">
        <f t="shared" si="13"/>
        <v>100</v>
      </c>
      <c r="V38" s="705" t="s">
        <v>14</v>
      </c>
      <c r="W38" s="706">
        <f t="shared" si="14"/>
        <v>100</v>
      </c>
      <c r="X38" s="1354"/>
      <c r="Y38" s="3669"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667"/>
      <c r="Q39" s="1351" t="str">
        <f t="shared" si="11"/>
        <v>层高</v>
      </c>
      <c r="R39" s="705" t="s">
        <v>14</v>
      </c>
      <c r="S39" s="706">
        <f t="shared" si="12"/>
        <v>100</v>
      </c>
      <c r="T39" s="705" t="s">
        <v>14</v>
      </c>
      <c r="U39" s="706">
        <f t="shared" si="13"/>
        <v>100</v>
      </c>
      <c r="V39" s="705" t="s">
        <v>14</v>
      </c>
      <c r="W39" s="706">
        <f t="shared" si="14"/>
        <v>100</v>
      </c>
      <c r="X39" s="1354"/>
      <c r="Y39" s="366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67"/>
      <c r="Q40" s="1351" t="str">
        <f t="shared" si="11"/>
        <v>单套建筑面积</v>
      </c>
      <c r="R40" s="705" t="s">
        <v>14</v>
      </c>
      <c r="S40" s="706">
        <f t="shared" si="12"/>
        <v>100</v>
      </c>
      <c r="T40" s="705" t="s">
        <v>14</v>
      </c>
      <c r="U40" s="706">
        <f t="shared" si="13"/>
        <v>100</v>
      </c>
      <c r="V40" s="705" t="s">
        <v>14</v>
      </c>
      <c r="W40" s="706">
        <f t="shared" si="14"/>
        <v>100</v>
      </c>
      <c r="X40" s="1354"/>
      <c r="Y40" s="366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7"/>
      <c r="Q41" s="707" t="str">
        <f t="shared" si="11"/>
        <v>进深比</v>
      </c>
      <c r="R41" s="708" t="s">
        <v>14</v>
      </c>
      <c r="S41" s="709">
        <f t="shared" si="12"/>
        <v>100</v>
      </c>
      <c r="T41" s="708" t="s">
        <v>14</v>
      </c>
      <c r="U41" s="709">
        <f t="shared" si="13"/>
        <v>100</v>
      </c>
      <c r="V41" s="708" t="s">
        <v>14</v>
      </c>
      <c r="W41" s="709">
        <f t="shared" si="14"/>
        <v>100</v>
      </c>
      <c r="X41" s="710"/>
      <c r="Y41" s="3669"/>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667"/>
      <c r="Q42" s="1351" t="str">
        <f t="shared" si="11"/>
        <v>内部装修</v>
      </c>
      <c r="R42" s="705" t="s">
        <v>14</v>
      </c>
      <c r="S42" s="706">
        <f t="shared" si="12"/>
        <v>100</v>
      </c>
      <c r="T42" s="705" t="s">
        <v>14</v>
      </c>
      <c r="U42" s="706">
        <f t="shared" si="13"/>
        <v>100</v>
      </c>
      <c r="V42" s="705" t="s">
        <v>14</v>
      </c>
      <c r="W42" s="706">
        <f t="shared" si="14"/>
        <v>100</v>
      </c>
      <c r="X42" s="1354"/>
      <c r="Y42" s="3669"/>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667"/>
      <c r="Q43" s="1351" t="str">
        <f t="shared" si="11"/>
        <v>内部装修维护情况</v>
      </c>
      <c r="R43" s="705" t="s">
        <v>14</v>
      </c>
      <c r="S43" s="706">
        <f t="shared" si="12"/>
        <v>100</v>
      </c>
      <c r="T43" s="705" t="s">
        <v>14</v>
      </c>
      <c r="U43" s="706">
        <f t="shared" si="13"/>
        <v>100</v>
      </c>
      <c r="V43" s="705" t="s">
        <v>14</v>
      </c>
      <c r="W43" s="706">
        <f t="shared" si="14"/>
        <v>100</v>
      </c>
      <c r="X43" s="1354"/>
      <c r="Y43" s="3669"/>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7"/>
      <c r="Q44" s="1342">
        <f t="shared" si="11"/>
        <v>111</v>
      </c>
      <c r="R44" s="701" t="s">
        <v>14</v>
      </c>
      <c r="S44" s="702">
        <f t="shared" si="12"/>
        <v>100</v>
      </c>
      <c r="T44" s="701" t="s">
        <v>14</v>
      </c>
      <c r="U44" s="702">
        <f t="shared" si="13"/>
        <v>100</v>
      </c>
      <c r="V44" s="701" t="s">
        <v>14</v>
      </c>
      <c r="W44" s="702">
        <f t="shared" si="14"/>
        <v>100</v>
      </c>
      <c r="X44" s="703"/>
      <c r="Y44" s="366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7"/>
      <c r="Q45" s="1351">
        <f t="shared" si="11"/>
        <v>111</v>
      </c>
      <c r="R45" s="705" t="s">
        <v>14</v>
      </c>
      <c r="S45" s="706">
        <f t="shared" si="12"/>
        <v>100</v>
      </c>
      <c r="T45" s="705" t="s">
        <v>14</v>
      </c>
      <c r="U45" s="706">
        <f t="shared" si="13"/>
        <v>100</v>
      </c>
      <c r="V45" s="705" t="s">
        <v>14</v>
      </c>
      <c r="W45" s="706">
        <f t="shared" si="14"/>
        <v>100</v>
      </c>
      <c r="X45" s="1354"/>
      <c r="Y45" s="366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8"/>
      <c r="Q46" s="1351">
        <f t="shared" si="11"/>
        <v>111</v>
      </c>
      <c r="R46" s="705" t="s">
        <v>14</v>
      </c>
      <c r="S46" s="706">
        <f t="shared" si="12"/>
        <v>100</v>
      </c>
      <c r="T46" s="705" t="s">
        <v>14</v>
      </c>
      <c r="U46" s="706">
        <f t="shared" si="13"/>
        <v>100</v>
      </c>
      <c r="V46" s="705" t="s">
        <v>14</v>
      </c>
      <c r="W46" s="706">
        <f t="shared" si="14"/>
        <v>100</v>
      </c>
      <c r="X46" s="1354"/>
      <c r="Y46" s="3670"/>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2"/>
      <c r="M47" s="2723"/>
      <c r="N47" s="2714"/>
      <c r="O47" s="2723"/>
      <c r="P47" s="3657" t="str">
        <f>A47</f>
        <v>成交单价（元/平方米）</v>
      </c>
      <c r="Q47" s="3657"/>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2"/>
      <c r="M48" s="2723"/>
      <c r="N48" s="2714"/>
      <c r="O48" s="2723"/>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1216.8699999999999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913"/>
      <c r="M4" s="914"/>
      <c r="N4" s="914"/>
      <c r="O4" s="914"/>
      <c r="P4" s="3741" t="s">
        <v>1775</v>
      </c>
      <c r="Q4" s="3742"/>
      <c r="R4" s="3745" t="s">
        <v>1771</v>
      </c>
      <c r="S4" s="3746"/>
      <c r="T4" s="3745" t="s">
        <v>1772</v>
      </c>
      <c r="U4" s="3746"/>
      <c r="V4" s="3691" t="s">
        <v>1773</v>
      </c>
      <c r="W4" s="3691"/>
      <c r="X4" s="1354"/>
      <c r="Y4" s="3745" t="s">
        <v>1775</v>
      </c>
      <c r="Z4" s="3746"/>
      <c r="AA4" s="3740" t="s">
        <v>1771</v>
      </c>
      <c r="AB4" s="3704" t="s">
        <v>1772</v>
      </c>
      <c r="AC4" s="3740" t="s">
        <v>1773</v>
      </c>
    </row>
    <row r="5" spans="1:29" ht="15">
      <c r="A5" s="358"/>
      <c r="B5" s="359"/>
      <c r="C5" s="3700" t="s">
        <v>1673</v>
      </c>
      <c r="D5" s="3695"/>
      <c r="E5" s="3747" t="s">
        <v>1674</v>
      </c>
      <c r="F5" s="3707"/>
      <c r="G5" s="3700" t="s">
        <v>1675</v>
      </c>
      <c r="H5" s="3695"/>
      <c r="I5" s="3700" t="s">
        <v>1676</v>
      </c>
      <c r="J5" s="3695"/>
      <c r="K5" s="559"/>
      <c r="L5" s="913"/>
      <c r="M5" s="914"/>
      <c r="N5" s="914"/>
      <c r="O5" s="914"/>
      <c r="P5" s="3743"/>
      <c r="Q5" s="3681"/>
      <c r="R5" s="3686"/>
      <c r="S5" s="3687"/>
      <c r="T5" s="3686"/>
      <c r="U5" s="3687"/>
      <c r="V5" s="3691"/>
      <c r="W5" s="3691"/>
      <c r="X5" s="1354"/>
      <c r="Y5" s="3686"/>
      <c r="Z5" s="3687"/>
      <c r="AA5" s="3704"/>
      <c r="AB5" s="3704"/>
      <c r="AC5" s="3704"/>
    </row>
    <row r="6" spans="1:29" ht="15.75" thickBot="1">
      <c r="A6" s="360"/>
      <c r="B6" s="361"/>
      <c r="C6" s="3692" t="s">
        <v>1677</v>
      </c>
      <c r="D6" s="3693"/>
      <c r="E6" s="3701" t="s">
        <v>1677</v>
      </c>
      <c r="F6" s="3702"/>
      <c r="G6" s="3692" t="s">
        <v>1677</v>
      </c>
      <c r="H6" s="3693"/>
      <c r="I6" s="3692" t="s">
        <v>1677</v>
      </c>
      <c r="J6" s="3693"/>
      <c r="K6" s="559" t="s">
        <v>1678</v>
      </c>
      <c r="L6" s="913"/>
      <c r="M6" s="914"/>
      <c r="N6" s="914"/>
      <c r="O6" s="914"/>
      <c r="P6" s="3744"/>
      <c r="Q6" s="3683"/>
      <c r="R6" s="3686"/>
      <c r="S6" s="3687"/>
      <c r="T6" s="3688"/>
      <c r="U6" s="3689"/>
      <c r="V6" s="3691"/>
      <c r="W6" s="3691"/>
      <c r="X6" s="1354"/>
      <c r="Y6" s="3688"/>
      <c r="Z6" s="3689"/>
      <c r="AA6" s="3705"/>
      <c r="AB6" s="3705"/>
      <c r="AC6" s="3705"/>
    </row>
    <row r="7" spans="1:29" s="108" customFormat="1" ht="15.75" thickBot="1">
      <c r="A7" s="362" t="s">
        <v>1679</v>
      </c>
      <c r="B7" s="363"/>
      <c r="C7" s="364">
        <f>'数据-取费表'!B2</f>
        <v>45127</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1680</v>
      </c>
      <c r="Q7" s="3699"/>
      <c r="R7" s="701" t="s">
        <v>14</v>
      </c>
      <c r="S7" s="702">
        <f t="shared" ref="S7:S15" si="0">F7</f>
        <v>0</v>
      </c>
      <c r="T7" s="701" t="s">
        <v>14</v>
      </c>
      <c r="U7" s="702">
        <f t="shared" ref="U7:U15" si="1">H7</f>
        <v>0</v>
      </c>
      <c r="V7" s="701" t="s">
        <v>14</v>
      </c>
      <c r="W7" s="702">
        <f t="shared" ref="W7:W15" si="2">J7</f>
        <v>0</v>
      </c>
      <c r="X7" s="703"/>
      <c r="Y7" s="3698" t="s">
        <v>1680</v>
      </c>
      <c r="Z7" s="369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1683</v>
      </c>
      <c r="Q8" s="3697"/>
      <c r="R8" s="701" t="s">
        <v>14</v>
      </c>
      <c r="S8" s="702">
        <f t="shared" si="0"/>
        <v>100</v>
      </c>
      <c r="T8" s="701" t="s">
        <v>14</v>
      </c>
      <c r="U8" s="702">
        <f t="shared" si="1"/>
        <v>100</v>
      </c>
      <c r="V8" s="701" t="s">
        <v>14</v>
      </c>
      <c r="W8" s="702">
        <f t="shared" si="2"/>
        <v>100</v>
      </c>
      <c r="X8" s="703"/>
      <c r="Y8" s="3698" t="s">
        <v>1683</v>
      </c>
      <c r="Z8" s="369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7"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57"/>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7"/>
      <c r="Q11" s="1342"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57"/>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57"/>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57"/>
      <c r="Q14" s="1342">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4" t="s">
        <v>1691</v>
      </c>
      <c r="Q15" s="1351" t="str">
        <f t="shared" si="6"/>
        <v>产业集聚程度</v>
      </c>
      <c r="R15" s="705" t="s">
        <v>14</v>
      </c>
      <c r="S15" s="706">
        <f t="shared" si="0"/>
        <v>100</v>
      </c>
      <c r="T15" s="705" t="s">
        <v>14</v>
      </c>
      <c r="U15" s="706">
        <f t="shared" si="1"/>
        <v>100</v>
      </c>
      <c r="V15" s="705" t="s">
        <v>14</v>
      </c>
      <c r="W15" s="706">
        <f t="shared" si="2"/>
        <v>100</v>
      </c>
      <c r="X15" s="1354"/>
      <c r="Y15" s="366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5"/>
      <c r="Q16" s="1351"/>
      <c r="R16" s="705"/>
      <c r="S16" s="706"/>
      <c r="T16" s="705"/>
      <c r="U16" s="706"/>
      <c r="V16" s="705"/>
      <c r="W16" s="706"/>
      <c r="X16" s="1354"/>
      <c r="Y16" s="366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5"/>
      <c r="Q17" s="1351" t="str">
        <f>B17</f>
        <v>交通便捷度</v>
      </c>
      <c r="R17" s="705" t="s">
        <v>14</v>
      </c>
      <c r="S17" s="706">
        <f>F17</f>
        <v>100</v>
      </c>
      <c r="T17" s="705" t="s">
        <v>14</v>
      </c>
      <c r="U17" s="706">
        <f>H17</f>
        <v>100</v>
      </c>
      <c r="V17" s="705" t="s">
        <v>14</v>
      </c>
      <c r="W17" s="706">
        <f>J17</f>
        <v>100</v>
      </c>
      <c r="X17" s="1354"/>
      <c r="Y17" s="366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5"/>
      <c r="Q18" s="1351"/>
      <c r="R18" s="705"/>
      <c r="S18" s="706"/>
      <c r="T18" s="705"/>
      <c r="U18" s="706"/>
      <c r="V18" s="705"/>
      <c r="W18" s="706"/>
      <c r="X18" s="1354"/>
      <c r="Y18" s="366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5"/>
      <c r="Q19" s="1351" t="str">
        <f>B19</f>
        <v>公共配套设施</v>
      </c>
      <c r="R19" s="705" t="s">
        <v>14</v>
      </c>
      <c r="S19" s="706">
        <f>F19</f>
        <v>100</v>
      </c>
      <c r="T19" s="705" t="s">
        <v>14</v>
      </c>
      <c r="U19" s="706">
        <f>H19</f>
        <v>100</v>
      </c>
      <c r="V19" s="705" t="s">
        <v>14</v>
      </c>
      <c r="W19" s="706">
        <f>J19</f>
        <v>100</v>
      </c>
      <c r="X19" s="1354"/>
      <c r="Y19" s="366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5"/>
      <c r="Q20" s="1351"/>
      <c r="R20" s="705"/>
      <c r="S20" s="706"/>
      <c r="T20" s="705"/>
      <c r="U20" s="706"/>
      <c r="V20" s="705"/>
      <c r="W20" s="706"/>
      <c r="X20" s="1354"/>
      <c r="Y20" s="3665"/>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5"/>
      <c r="Q21" s="1351" t="str">
        <f>B21</f>
        <v>基础设施水平</v>
      </c>
      <c r="R21" s="705" t="s">
        <v>14</v>
      </c>
      <c r="S21" s="706">
        <f>F21</f>
        <v>100</v>
      </c>
      <c r="T21" s="705" t="s">
        <v>14</v>
      </c>
      <c r="U21" s="706">
        <f>H21</f>
        <v>100</v>
      </c>
      <c r="V21" s="705" t="s">
        <v>14</v>
      </c>
      <c r="W21" s="706">
        <f>J21</f>
        <v>100</v>
      </c>
      <c r="X21" s="1354"/>
      <c r="Y21" s="366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65"/>
      <c r="Q22" s="1351"/>
      <c r="R22" s="705"/>
      <c r="S22" s="706"/>
      <c r="T22" s="705"/>
      <c r="U22" s="706"/>
      <c r="V22" s="705"/>
      <c r="W22" s="706"/>
      <c r="X22" s="1354"/>
      <c r="Y22" s="366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5"/>
      <c r="Q23" s="1351" t="str">
        <f>B23</f>
        <v>环境质量</v>
      </c>
      <c r="R23" s="705" t="s">
        <v>14</v>
      </c>
      <c r="S23" s="706">
        <f>F23</f>
        <v>100</v>
      </c>
      <c r="T23" s="705" t="s">
        <v>14</v>
      </c>
      <c r="U23" s="706">
        <f>H23</f>
        <v>100</v>
      </c>
      <c r="V23" s="705" t="s">
        <v>14</v>
      </c>
      <c r="W23" s="706">
        <f>J23</f>
        <v>100</v>
      </c>
      <c r="X23" s="1354"/>
      <c r="Y23" s="3665"/>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65"/>
      <c r="Q24" s="1351"/>
      <c r="R24" s="705"/>
      <c r="S24" s="706"/>
      <c r="T24" s="705"/>
      <c r="U24" s="706"/>
      <c r="V24" s="705"/>
      <c r="W24" s="706"/>
      <c r="X24" s="1354"/>
      <c r="Y24" s="3665"/>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5"/>
      <c r="Q25" s="1351">
        <f>B25</f>
        <v>111</v>
      </c>
      <c r="R25" s="705" t="s">
        <v>14</v>
      </c>
      <c r="S25" s="706">
        <f>F25</f>
        <v>100</v>
      </c>
      <c r="T25" s="705" t="s">
        <v>14</v>
      </c>
      <c r="U25" s="706">
        <f>H25</f>
        <v>100</v>
      </c>
      <c r="V25" s="705" t="s">
        <v>14</v>
      </c>
      <c r="W25" s="706">
        <f>J25</f>
        <v>100</v>
      </c>
      <c r="X25" s="1354"/>
      <c r="Y25" s="3665"/>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5"/>
      <c r="Q26" s="1351">
        <f t="shared" ref="Q26:Q40" si="11">B26</f>
        <v>111</v>
      </c>
      <c r="R26" s="705" t="s">
        <v>14</v>
      </c>
      <c r="S26" s="706">
        <f>F26</f>
        <v>100</v>
      </c>
      <c r="T26" s="705" t="s">
        <v>14</v>
      </c>
      <c r="U26" s="706">
        <f>H26</f>
        <v>100</v>
      </c>
      <c r="V26" s="705" t="s">
        <v>14</v>
      </c>
      <c r="W26" s="706">
        <f>J26</f>
        <v>100</v>
      </c>
      <c r="X26" s="1354"/>
      <c r="Y26" s="3665"/>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5"/>
      <c r="Q27" s="1342">
        <f t="shared" si="11"/>
        <v>111</v>
      </c>
      <c r="R27" s="701" t="s">
        <v>14</v>
      </c>
      <c r="S27" s="702">
        <f>F27</f>
        <v>100</v>
      </c>
      <c r="T27" s="701" t="s">
        <v>14</v>
      </c>
      <c r="U27" s="702">
        <f>H27</f>
        <v>100</v>
      </c>
      <c r="V27" s="701" t="s">
        <v>14</v>
      </c>
      <c r="W27" s="702">
        <f>J27</f>
        <v>100</v>
      </c>
      <c r="X27" s="703"/>
      <c r="Y27" s="3665"/>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5"/>
      <c r="Q28" s="1351">
        <f t="shared" si="11"/>
        <v>111</v>
      </c>
      <c r="R28" s="705" t="s">
        <v>14</v>
      </c>
      <c r="S28" s="706">
        <f t="shared" ref="S28:S40" si="12">F28</f>
        <v>100</v>
      </c>
      <c r="T28" s="705" t="s">
        <v>14</v>
      </c>
      <c r="U28" s="706">
        <f t="shared" ref="U28:U40" si="13">H28</f>
        <v>100</v>
      </c>
      <c r="V28" s="705" t="s">
        <v>14</v>
      </c>
      <c r="W28" s="706">
        <f t="shared" ref="W28:W40" si="14">J28</f>
        <v>100</v>
      </c>
      <c r="X28" s="1354"/>
      <c r="Y28" s="366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8" t="s">
        <v>1696</v>
      </c>
      <c r="Q29" s="1351" t="str">
        <f t="shared" si="11"/>
        <v>建筑类型</v>
      </c>
      <c r="R29" s="705" t="s">
        <v>14</v>
      </c>
      <c r="S29" s="706">
        <f t="shared" si="12"/>
        <v>100</v>
      </c>
      <c r="T29" s="705" t="s">
        <v>14</v>
      </c>
      <c r="U29" s="706">
        <f t="shared" si="13"/>
        <v>100</v>
      </c>
      <c r="V29" s="705" t="s">
        <v>14</v>
      </c>
      <c r="W29" s="706">
        <f t="shared" si="14"/>
        <v>100</v>
      </c>
      <c r="X29" s="1354"/>
      <c r="Y29" s="366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9"/>
      <c r="Q30" s="707" t="str">
        <f t="shared" si="11"/>
        <v>项目建筑规模</v>
      </c>
      <c r="R30" s="708" t="s">
        <v>14</v>
      </c>
      <c r="S30" s="709" t="e">
        <f t="shared" si="12"/>
        <v>#N/A</v>
      </c>
      <c r="T30" s="708" t="s">
        <v>14</v>
      </c>
      <c r="U30" s="709" t="e">
        <f t="shared" si="13"/>
        <v>#N/A</v>
      </c>
      <c r="V30" s="708" t="s">
        <v>14</v>
      </c>
      <c r="W30" s="709" t="e">
        <f t="shared" si="14"/>
        <v>#N/A</v>
      </c>
      <c r="X30" s="710"/>
      <c r="Y30" s="3669"/>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9"/>
      <c r="Q31" s="1351" t="str">
        <f t="shared" si="11"/>
        <v>建筑结构</v>
      </c>
      <c r="R31" s="705" t="s">
        <v>14</v>
      </c>
      <c r="S31" s="706">
        <f t="shared" si="12"/>
        <v>100</v>
      </c>
      <c r="T31" s="705" t="s">
        <v>14</v>
      </c>
      <c r="U31" s="706">
        <f t="shared" si="13"/>
        <v>100</v>
      </c>
      <c r="V31" s="705" t="s">
        <v>14</v>
      </c>
      <c r="W31" s="706">
        <f t="shared" si="14"/>
        <v>100</v>
      </c>
      <c r="X31" s="1354"/>
      <c r="Y31" s="366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9"/>
      <c r="Q32" s="1351" t="str">
        <f t="shared" si="11"/>
        <v>公共部分装修</v>
      </c>
      <c r="R32" s="705" t="s">
        <v>14</v>
      </c>
      <c r="S32" s="706">
        <f t="shared" si="12"/>
        <v>100</v>
      </c>
      <c r="T32" s="705" t="s">
        <v>14</v>
      </c>
      <c r="U32" s="706">
        <f t="shared" si="13"/>
        <v>100</v>
      </c>
      <c r="V32" s="705" t="s">
        <v>14</v>
      </c>
      <c r="W32" s="706">
        <f t="shared" si="14"/>
        <v>100</v>
      </c>
      <c r="X32" s="1354"/>
      <c r="Y32" s="366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9"/>
      <c r="Q33" s="1351" t="str">
        <f t="shared" si="11"/>
        <v>成新度</v>
      </c>
      <c r="R33" s="705" t="s">
        <v>14</v>
      </c>
      <c r="S33" s="706" t="e">
        <f t="shared" si="12"/>
        <v>#N/A</v>
      </c>
      <c r="T33" s="705" t="s">
        <v>14</v>
      </c>
      <c r="U33" s="706" t="e">
        <f t="shared" si="13"/>
        <v>#N/A</v>
      </c>
      <c r="V33" s="705" t="s">
        <v>14</v>
      </c>
      <c r="W33" s="706" t="e">
        <f t="shared" si="14"/>
        <v>#N/A</v>
      </c>
      <c r="X33" s="1354"/>
      <c r="Y33" s="366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9"/>
      <c r="Q34" s="1342" t="str">
        <f t="shared" si="11"/>
        <v>物业管理</v>
      </c>
      <c r="R34" s="701" t="s">
        <v>14</v>
      </c>
      <c r="S34" s="702">
        <f t="shared" si="12"/>
        <v>100</v>
      </c>
      <c r="T34" s="701" t="s">
        <v>14</v>
      </c>
      <c r="U34" s="702">
        <f t="shared" si="13"/>
        <v>100</v>
      </c>
      <c r="V34" s="701" t="s">
        <v>14</v>
      </c>
      <c r="W34" s="702">
        <f t="shared" si="14"/>
        <v>100</v>
      </c>
      <c r="X34" s="703"/>
      <c r="Y34" s="366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9" t="s">
        <v>1696</v>
      </c>
      <c r="Q35" s="1351" t="str">
        <f t="shared" si="11"/>
        <v>市政基础设施</v>
      </c>
      <c r="R35" s="705" t="s">
        <v>14</v>
      </c>
      <c r="S35" s="706">
        <f t="shared" si="12"/>
        <v>100</v>
      </c>
      <c r="T35" s="705" t="s">
        <v>14</v>
      </c>
      <c r="U35" s="706">
        <f t="shared" si="13"/>
        <v>100</v>
      </c>
      <c r="V35" s="705" t="s">
        <v>14</v>
      </c>
      <c r="W35" s="706">
        <f t="shared" si="14"/>
        <v>100</v>
      </c>
      <c r="X35" s="1354"/>
      <c r="Y35" s="366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9"/>
      <c r="Q36" s="1351" t="str">
        <f t="shared" si="11"/>
        <v>内部装修</v>
      </c>
      <c r="R36" s="705" t="s">
        <v>14</v>
      </c>
      <c r="S36" s="706">
        <f t="shared" si="12"/>
        <v>100</v>
      </c>
      <c r="T36" s="705" t="s">
        <v>14</v>
      </c>
      <c r="U36" s="706">
        <f t="shared" si="13"/>
        <v>100</v>
      </c>
      <c r="V36" s="705" t="s">
        <v>14</v>
      </c>
      <c r="W36" s="706">
        <f t="shared" si="14"/>
        <v>100</v>
      </c>
      <c r="X36" s="1354"/>
      <c r="Y36" s="366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9"/>
      <c r="Q37" s="1351" t="str">
        <f t="shared" si="11"/>
        <v>内部装修状况</v>
      </c>
      <c r="R37" s="705" t="s">
        <v>14</v>
      </c>
      <c r="S37" s="706">
        <f t="shared" si="12"/>
        <v>100</v>
      </c>
      <c r="T37" s="705" t="s">
        <v>14</v>
      </c>
      <c r="U37" s="706">
        <f t="shared" si="13"/>
        <v>100</v>
      </c>
      <c r="V37" s="705" t="s">
        <v>14</v>
      </c>
      <c r="W37" s="706">
        <f t="shared" si="14"/>
        <v>100</v>
      </c>
      <c r="X37" s="1354"/>
      <c r="Y37" s="3669"/>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9"/>
      <c r="Q38" s="707">
        <f t="shared" si="11"/>
        <v>111</v>
      </c>
      <c r="R38" s="708" t="s">
        <v>14</v>
      </c>
      <c r="S38" s="709">
        <f t="shared" si="12"/>
        <v>100</v>
      </c>
      <c r="T38" s="708" t="s">
        <v>14</v>
      </c>
      <c r="U38" s="709">
        <f t="shared" si="13"/>
        <v>100</v>
      </c>
      <c r="V38" s="708" t="s">
        <v>14</v>
      </c>
      <c r="W38" s="709">
        <f t="shared" si="14"/>
        <v>100</v>
      </c>
      <c r="X38" s="710"/>
      <c r="Y38" s="3669"/>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9"/>
      <c r="Q39" s="1351">
        <f t="shared" si="11"/>
        <v>111</v>
      </c>
      <c r="R39" s="705" t="s">
        <v>14</v>
      </c>
      <c r="S39" s="706">
        <f t="shared" si="12"/>
        <v>100</v>
      </c>
      <c r="T39" s="705" t="s">
        <v>14</v>
      </c>
      <c r="U39" s="706">
        <f t="shared" si="13"/>
        <v>100</v>
      </c>
      <c r="V39" s="705" t="s">
        <v>14</v>
      </c>
      <c r="W39" s="706">
        <f t="shared" si="14"/>
        <v>100</v>
      </c>
      <c r="X39" s="1354"/>
      <c r="Y39" s="366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0"/>
      <c r="Q40" s="1351">
        <f t="shared" si="11"/>
        <v>111</v>
      </c>
      <c r="R40" s="705" t="s">
        <v>14</v>
      </c>
      <c r="S40" s="706">
        <f t="shared" si="12"/>
        <v>100</v>
      </c>
      <c r="T40" s="705" t="s">
        <v>14</v>
      </c>
      <c r="U40" s="706">
        <f t="shared" si="13"/>
        <v>100</v>
      </c>
      <c r="V40" s="705" t="s">
        <v>14</v>
      </c>
      <c r="W40" s="706">
        <f t="shared" si="14"/>
        <v>100</v>
      </c>
      <c r="X40" s="1354"/>
      <c r="Y40" s="3670"/>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57" t="str">
        <f>A41</f>
        <v>成交单价（元/平方米）</v>
      </c>
      <c r="Q41" s="3657"/>
      <c r="R41" s="3658">
        <f>E41</f>
        <v>0</v>
      </c>
      <c r="S41" s="3658"/>
      <c r="T41" s="3658">
        <f>G41</f>
        <v>0</v>
      </c>
      <c r="U41" s="3658"/>
      <c r="V41" s="3658">
        <f>I41</f>
        <v>0</v>
      </c>
      <c r="W41" s="3658"/>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估价对象为北京市房地产，为所有。根据《国有土地使用证》[]，估价对象（分摊）出让国有建设用地使用权面积为527.48平方米，建筑面积为1216.87平方米。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估价对象为北京市房地产,属开发建设的，该项目尚在开发建设中。根据《国有土地使用证》[]，估价对象（分摊）出让国有建设用地使用权面积为527.48平方米，规划建筑面积为1216.87平方米。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2023年7月20日（评估专业人员实地查勘之日）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本次评估采用的主估价方法为比较法和成本法。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741" t="s">
        <v>1775</v>
      </c>
      <c r="Q4" s="3742"/>
      <c r="R4" s="3745" t="s">
        <v>1771</v>
      </c>
      <c r="S4" s="3746"/>
      <c r="T4" s="3745" t="s">
        <v>1772</v>
      </c>
      <c r="U4" s="3746"/>
      <c r="V4" s="3691" t="s">
        <v>1773</v>
      </c>
      <c r="W4" s="3691"/>
      <c r="X4" s="1354"/>
      <c r="Y4" s="3745" t="s">
        <v>1775</v>
      </c>
      <c r="Z4" s="3746"/>
      <c r="AA4" s="3740" t="s">
        <v>1771</v>
      </c>
      <c r="AB4" s="3704" t="s">
        <v>1772</v>
      </c>
      <c r="AC4" s="3740" t="s">
        <v>1773</v>
      </c>
    </row>
    <row r="5" spans="1:29" ht="15">
      <c r="A5" s="358"/>
      <c r="B5" s="359"/>
      <c r="C5" s="3700" t="s">
        <v>1673</v>
      </c>
      <c r="D5" s="3695"/>
      <c r="E5" s="3747" t="s">
        <v>1674</v>
      </c>
      <c r="F5" s="3707"/>
      <c r="G5" s="3700" t="s">
        <v>1675</v>
      </c>
      <c r="H5" s="3695"/>
      <c r="I5" s="3700" t="s">
        <v>1676</v>
      </c>
      <c r="J5" s="3695"/>
      <c r="K5" s="559"/>
      <c r="L5" s="2713"/>
      <c r="M5" s="2714"/>
      <c r="N5" s="2714"/>
      <c r="O5" s="2714"/>
      <c r="P5" s="3743"/>
      <c r="Q5" s="3681"/>
      <c r="R5" s="3686"/>
      <c r="S5" s="3687"/>
      <c r="T5" s="3686"/>
      <c r="U5" s="3687"/>
      <c r="V5" s="3691"/>
      <c r="W5" s="3691"/>
      <c r="X5" s="1354"/>
      <c r="Y5" s="3686"/>
      <c r="Z5" s="3687"/>
      <c r="AA5" s="3704"/>
      <c r="AB5" s="3704"/>
      <c r="AC5" s="3704"/>
    </row>
    <row r="6" spans="1:29" ht="15.75" thickBot="1">
      <c r="A6" s="360"/>
      <c r="B6" s="361"/>
      <c r="C6" s="3692" t="s">
        <v>1677</v>
      </c>
      <c r="D6" s="3693"/>
      <c r="E6" s="3701" t="s">
        <v>1677</v>
      </c>
      <c r="F6" s="3702"/>
      <c r="G6" s="3692" t="s">
        <v>1677</v>
      </c>
      <c r="H6" s="3693"/>
      <c r="I6" s="3692" t="s">
        <v>1677</v>
      </c>
      <c r="J6" s="3693"/>
      <c r="K6" s="559" t="s">
        <v>1678</v>
      </c>
      <c r="L6" s="2713"/>
      <c r="M6" s="2714"/>
      <c r="N6" s="2714"/>
      <c r="O6" s="2714"/>
      <c r="P6" s="3744"/>
      <c r="Q6" s="3683"/>
      <c r="R6" s="3686"/>
      <c r="S6" s="3687"/>
      <c r="T6" s="3688"/>
      <c r="U6" s="3689"/>
      <c r="V6" s="3691"/>
      <c r="W6" s="3691"/>
      <c r="X6" s="1354"/>
      <c r="Y6" s="3688"/>
      <c r="Z6" s="3689"/>
      <c r="AA6" s="3705"/>
      <c r="AB6" s="3705"/>
      <c r="AC6" s="3705"/>
    </row>
    <row r="7" spans="1:29" s="108" customFormat="1" ht="15.75" thickBot="1">
      <c r="A7" s="362" t="s">
        <v>1679</v>
      </c>
      <c r="B7" s="363"/>
      <c r="C7" s="364">
        <f>'数据-取费表'!B2</f>
        <v>45127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8" t="s">
        <v>1680</v>
      </c>
      <c r="Q7" s="3699"/>
      <c r="R7" s="701" t="s">
        <v>14</v>
      </c>
      <c r="S7" s="702">
        <f t="shared" ref="S7:S14" si="0">F7</f>
        <v>0</v>
      </c>
      <c r="T7" s="701" t="s">
        <v>14</v>
      </c>
      <c r="U7" s="702">
        <f t="shared" ref="U7:U14" si="1">H7</f>
        <v>0</v>
      </c>
      <c r="V7" s="701" t="s">
        <v>14</v>
      </c>
      <c r="W7" s="702">
        <f t="shared" ref="W7:W14" si="2">J7</f>
        <v>0</v>
      </c>
      <c r="X7" s="703"/>
      <c r="Y7" s="3698" t="s">
        <v>1680</v>
      </c>
      <c r="Z7" s="369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8" t="s">
        <v>1683</v>
      </c>
      <c r="Q8" s="3697"/>
      <c r="R8" s="701" t="s">
        <v>14</v>
      </c>
      <c r="S8" s="702">
        <f t="shared" si="0"/>
        <v>100</v>
      </c>
      <c r="T8" s="701" t="s">
        <v>14</v>
      </c>
      <c r="U8" s="702">
        <f t="shared" si="1"/>
        <v>100</v>
      </c>
      <c r="V8" s="701" t="s">
        <v>14</v>
      </c>
      <c r="W8" s="702">
        <f t="shared" si="2"/>
        <v>100</v>
      </c>
      <c r="X8" s="703"/>
      <c r="Y8" s="3698" t="s">
        <v>1683</v>
      </c>
      <c r="Z8" s="369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57" t="s">
        <v>1686</v>
      </c>
      <c r="Q9" s="1342"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57"/>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57"/>
      <c r="Q11" s="1342">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57"/>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57"/>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4" t="s">
        <v>1691</v>
      </c>
      <c r="Q14" s="1351" t="str">
        <f t="shared" si="6"/>
        <v>交通便捷度</v>
      </c>
      <c r="R14" s="705" t="s">
        <v>14</v>
      </c>
      <c r="S14" s="706">
        <f t="shared" si="0"/>
        <v>100</v>
      </c>
      <c r="T14" s="705" t="s">
        <v>14</v>
      </c>
      <c r="U14" s="706">
        <f t="shared" si="1"/>
        <v>100</v>
      </c>
      <c r="V14" s="705" t="s">
        <v>14</v>
      </c>
      <c r="W14" s="706">
        <f t="shared" si="2"/>
        <v>100</v>
      </c>
      <c r="X14" s="1354"/>
      <c r="Y14" s="366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665"/>
      <c r="Q15" s="1351"/>
      <c r="R15" s="705"/>
      <c r="S15" s="706"/>
      <c r="T15" s="705"/>
      <c r="U15" s="706"/>
      <c r="V15" s="705"/>
      <c r="W15" s="706"/>
      <c r="X15" s="1354"/>
      <c r="Y15" s="3665"/>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5"/>
      <c r="Q16" s="1351" t="str">
        <f>B16</f>
        <v>公共配套设施</v>
      </c>
      <c r="R16" s="705" t="s">
        <v>14</v>
      </c>
      <c r="S16" s="706">
        <f>F16</f>
        <v>100</v>
      </c>
      <c r="T16" s="705" t="s">
        <v>14</v>
      </c>
      <c r="U16" s="706">
        <f>H16</f>
        <v>100</v>
      </c>
      <c r="V16" s="705" t="s">
        <v>14</v>
      </c>
      <c r="W16" s="706">
        <f>J16</f>
        <v>100</v>
      </c>
      <c r="X16" s="1354"/>
      <c r="Y16" s="366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665"/>
      <c r="Q17" s="1351"/>
      <c r="R17" s="705"/>
      <c r="S17" s="706"/>
      <c r="T17" s="705"/>
      <c r="U17" s="706"/>
      <c r="V17" s="705"/>
      <c r="W17" s="706"/>
      <c r="X17" s="1354"/>
      <c r="Y17" s="3665"/>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5"/>
      <c r="Q18" s="1351" t="str">
        <f>B18</f>
        <v>基础设施水平</v>
      </c>
      <c r="R18" s="705" t="s">
        <v>14</v>
      </c>
      <c r="S18" s="706">
        <f>F18</f>
        <v>100</v>
      </c>
      <c r="T18" s="705" t="s">
        <v>14</v>
      </c>
      <c r="U18" s="706">
        <f>H18</f>
        <v>100</v>
      </c>
      <c r="V18" s="705" t="s">
        <v>14</v>
      </c>
      <c r="W18" s="706">
        <f>J18</f>
        <v>100</v>
      </c>
      <c r="X18" s="1354"/>
      <c r="Y18" s="366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0"/>
      <c r="M19" s="2714"/>
      <c r="N19" s="2714"/>
      <c r="O19" s="2714"/>
      <c r="P19" s="3665"/>
      <c r="Q19" s="1351"/>
      <c r="R19" s="705"/>
      <c r="S19" s="706"/>
      <c r="T19" s="705"/>
      <c r="U19" s="706"/>
      <c r="V19" s="705"/>
      <c r="W19" s="706"/>
      <c r="X19" s="1354"/>
      <c r="Y19" s="3665"/>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5"/>
      <c r="Q20" s="1351" t="str">
        <f>B20</f>
        <v>自然及人文环境</v>
      </c>
      <c r="R20" s="705" t="s">
        <v>14</v>
      </c>
      <c r="S20" s="706">
        <f>F20</f>
        <v>100</v>
      </c>
      <c r="T20" s="705" t="s">
        <v>14</v>
      </c>
      <c r="U20" s="706">
        <f>H20</f>
        <v>100</v>
      </c>
      <c r="V20" s="705" t="s">
        <v>14</v>
      </c>
      <c r="W20" s="706">
        <f>J20</f>
        <v>100</v>
      </c>
      <c r="X20" s="1354"/>
      <c r="Y20" s="366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665"/>
      <c r="Q21" s="1351"/>
      <c r="R21" s="705"/>
      <c r="S21" s="706"/>
      <c r="T21" s="705"/>
      <c r="U21" s="706"/>
      <c r="V21" s="705"/>
      <c r="W21" s="706"/>
      <c r="X21" s="1354"/>
      <c r="Y21" s="366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5"/>
      <c r="Q22" s="1351" t="str">
        <f>B22</f>
        <v>楼层</v>
      </c>
      <c r="R22" s="705" t="s">
        <v>14</v>
      </c>
      <c r="S22" s="706">
        <f>F22</f>
        <v>100</v>
      </c>
      <c r="T22" s="705" t="s">
        <v>14</v>
      </c>
      <c r="U22" s="706">
        <f>H22</f>
        <v>100</v>
      </c>
      <c r="V22" s="705" t="s">
        <v>14</v>
      </c>
      <c r="W22" s="706">
        <f>J22</f>
        <v>100</v>
      </c>
      <c r="X22" s="1354"/>
      <c r="Y22" s="366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5"/>
      <c r="Q23" s="1351">
        <f>B23</f>
        <v>111</v>
      </c>
      <c r="R23" s="705" t="s">
        <v>14</v>
      </c>
      <c r="S23" s="706">
        <f>F23</f>
        <v>100</v>
      </c>
      <c r="T23" s="705" t="s">
        <v>14</v>
      </c>
      <c r="U23" s="706">
        <f>H23</f>
        <v>100</v>
      </c>
      <c r="V23" s="705" t="s">
        <v>14</v>
      </c>
      <c r="W23" s="706">
        <f>J23</f>
        <v>100</v>
      </c>
      <c r="X23" s="1354"/>
      <c r="Y23" s="366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5"/>
      <c r="Q24" s="1351">
        <f t="shared" ref="Q24:Q36" si="11">B24</f>
        <v>111</v>
      </c>
      <c r="R24" s="705" t="s">
        <v>14</v>
      </c>
      <c r="S24" s="706">
        <f>F24</f>
        <v>100</v>
      </c>
      <c r="T24" s="705" t="s">
        <v>14</v>
      </c>
      <c r="U24" s="706">
        <f>H24</f>
        <v>100</v>
      </c>
      <c r="V24" s="705" t="s">
        <v>14</v>
      </c>
      <c r="W24" s="706">
        <f>J24</f>
        <v>100</v>
      </c>
      <c r="X24" s="1354"/>
      <c r="Y24" s="366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5"/>
      <c r="Q25" s="1342">
        <f t="shared" si="11"/>
        <v>111</v>
      </c>
      <c r="R25" s="701" t="s">
        <v>14</v>
      </c>
      <c r="S25" s="702">
        <f>F25</f>
        <v>100</v>
      </c>
      <c r="T25" s="701" t="s">
        <v>14</v>
      </c>
      <c r="U25" s="702">
        <f>H25</f>
        <v>100</v>
      </c>
      <c r="V25" s="701" t="s">
        <v>14</v>
      </c>
      <c r="W25" s="702">
        <f>J25</f>
        <v>100</v>
      </c>
      <c r="X25" s="703"/>
      <c r="Y25" s="366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8"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6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69"/>
      <c r="Q27" s="707" t="str">
        <f t="shared" si="11"/>
        <v>项目停车位配比</v>
      </c>
      <c r="R27" s="708" t="s">
        <v>14</v>
      </c>
      <c r="S27" s="709">
        <f t="shared" si="12"/>
        <v>100</v>
      </c>
      <c r="T27" s="708" t="s">
        <v>14</v>
      </c>
      <c r="U27" s="709">
        <f t="shared" si="13"/>
        <v>100</v>
      </c>
      <c r="V27" s="708" t="s">
        <v>14</v>
      </c>
      <c r="W27" s="709">
        <f t="shared" si="14"/>
        <v>100</v>
      </c>
      <c r="X27" s="710"/>
      <c r="Y27" s="3669"/>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9"/>
      <c r="Q28" s="1351" t="str">
        <f t="shared" si="11"/>
        <v>公共部分装修</v>
      </c>
      <c r="R28" s="705" t="s">
        <v>14</v>
      </c>
      <c r="S28" s="706">
        <f t="shared" si="12"/>
        <v>100</v>
      </c>
      <c r="T28" s="705" t="s">
        <v>14</v>
      </c>
      <c r="U28" s="706">
        <f t="shared" si="13"/>
        <v>100</v>
      </c>
      <c r="V28" s="705" t="s">
        <v>14</v>
      </c>
      <c r="W28" s="706">
        <f t="shared" si="14"/>
        <v>100</v>
      </c>
      <c r="X28" s="1354"/>
      <c r="Y28" s="366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69"/>
      <c r="Q29" s="1351" t="str">
        <f t="shared" si="11"/>
        <v>成新率</v>
      </c>
      <c r="R29" s="705" t="s">
        <v>14</v>
      </c>
      <c r="S29" s="706" t="e">
        <f t="shared" si="12"/>
        <v>#N/A</v>
      </c>
      <c r="T29" s="705" t="s">
        <v>14</v>
      </c>
      <c r="U29" s="706" t="e">
        <f t="shared" si="13"/>
        <v>#N/A</v>
      </c>
      <c r="V29" s="705" t="s">
        <v>14</v>
      </c>
      <c r="W29" s="706" t="e">
        <f t="shared" si="14"/>
        <v>#N/A</v>
      </c>
      <c r="X29" s="1354"/>
      <c r="Y29" s="366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69"/>
      <c r="Q30" s="1351" t="str">
        <f t="shared" si="11"/>
        <v>物业等级</v>
      </c>
      <c r="R30" s="705" t="s">
        <v>14</v>
      </c>
      <c r="S30" s="706">
        <f t="shared" si="12"/>
        <v>100</v>
      </c>
      <c r="T30" s="705" t="s">
        <v>14</v>
      </c>
      <c r="U30" s="706">
        <f t="shared" si="13"/>
        <v>100</v>
      </c>
      <c r="V30" s="705" t="s">
        <v>14</v>
      </c>
      <c r="W30" s="706">
        <f t="shared" si="14"/>
        <v>100</v>
      </c>
      <c r="X30" s="1354"/>
      <c r="Y30" s="366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69"/>
      <c r="Q31" s="1342" t="str">
        <f t="shared" si="11"/>
        <v>停车位面积</v>
      </c>
      <c r="R31" s="701" t="s">
        <v>14</v>
      </c>
      <c r="S31" s="702" t="e">
        <f t="shared" si="12"/>
        <v>#N/A</v>
      </c>
      <c r="T31" s="701" t="s">
        <v>14</v>
      </c>
      <c r="U31" s="702" t="e">
        <f t="shared" si="13"/>
        <v>#N/A</v>
      </c>
      <c r="V31" s="701" t="s">
        <v>14</v>
      </c>
      <c r="W31" s="702" t="e">
        <f t="shared" si="14"/>
        <v>#N/A</v>
      </c>
      <c r="X31" s="703"/>
      <c r="Y31" s="366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69" t="s">
        <v>1696</v>
      </c>
      <c r="Q32" s="1351" t="str">
        <f t="shared" si="11"/>
        <v>车位类型</v>
      </c>
      <c r="R32" s="705" t="s">
        <v>14</v>
      </c>
      <c r="S32" s="706">
        <f t="shared" si="12"/>
        <v>100</v>
      </c>
      <c r="T32" s="705" t="s">
        <v>14</v>
      </c>
      <c r="U32" s="706">
        <f t="shared" si="13"/>
        <v>100</v>
      </c>
      <c r="V32" s="705" t="s">
        <v>14</v>
      </c>
      <c r="W32" s="706">
        <f t="shared" si="14"/>
        <v>100</v>
      </c>
      <c r="X32" s="1354"/>
      <c r="Y32" s="366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9"/>
      <c r="Q33" s="1351" t="str">
        <f t="shared" si="11"/>
        <v>是否直接入户</v>
      </c>
      <c r="R33" s="705" t="s">
        <v>14</v>
      </c>
      <c r="S33" s="706">
        <f t="shared" si="12"/>
        <v>100</v>
      </c>
      <c r="T33" s="705" t="s">
        <v>14</v>
      </c>
      <c r="U33" s="706">
        <f t="shared" si="13"/>
        <v>100</v>
      </c>
      <c r="V33" s="705" t="s">
        <v>14</v>
      </c>
      <c r="W33" s="706">
        <f t="shared" si="14"/>
        <v>100</v>
      </c>
      <c r="X33" s="1354"/>
      <c r="Y33" s="366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69"/>
      <c r="Q34" s="1351">
        <f t="shared" si="11"/>
        <v>111</v>
      </c>
      <c r="R34" s="705" t="s">
        <v>14</v>
      </c>
      <c r="S34" s="706">
        <f t="shared" si="12"/>
        <v>100</v>
      </c>
      <c r="T34" s="705" t="s">
        <v>14</v>
      </c>
      <c r="U34" s="706">
        <f t="shared" si="13"/>
        <v>100</v>
      </c>
      <c r="V34" s="705" t="s">
        <v>14</v>
      </c>
      <c r="W34" s="706">
        <f t="shared" si="14"/>
        <v>100</v>
      </c>
      <c r="X34" s="1354"/>
      <c r="Y34" s="366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9"/>
      <c r="Q35" s="707">
        <f t="shared" si="11"/>
        <v>111</v>
      </c>
      <c r="R35" s="708" t="s">
        <v>14</v>
      </c>
      <c r="S35" s="709">
        <f t="shared" si="12"/>
        <v>100</v>
      </c>
      <c r="T35" s="708" t="s">
        <v>14</v>
      </c>
      <c r="U35" s="709">
        <f t="shared" si="13"/>
        <v>100</v>
      </c>
      <c r="V35" s="708" t="s">
        <v>14</v>
      </c>
      <c r="W35" s="709">
        <f t="shared" si="14"/>
        <v>100</v>
      </c>
      <c r="X35" s="710"/>
      <c r="Y35" s="3669"/>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9"/>
      <c r="Q36" s="1351">
        <f t="shared" si="11"/>
        <v>111</v>
      </c>
      <c r="R36" s="705" t="s">
        <v>14</v>
      </c>
      <c r="S36" s="706">
        <f t="shared" si="12"/>
        <v>100</v>
      </c>
      <c r="T36" s="705" t="s">
        <v>14</v>
      </c>
      <c r="U36" s="706">
        <f t="shared" si="13"/>
        <v>100</v>
      </c>
      <c r="V36" s="705" t="s">
        <v>14</v>
      </c>
      <c r="W36" s="706">
        <f t="shared" si="14"/>
        <v>100</v>
      </c>
      <c r="X36" s="1354"/>
      <c r="Y36" s="3669"/>
      <c r="Z36" s="1355">
        <f t="shared" si="15"/>
        <v>111</v>
      </c>
      <c r="AA36" s="1352">
        <f t="shared" si="3"/>
        <v>1</v>
      </c>
      <c r="AB36" s="1352">
        <f t="shared" si="4"/>
        <v>1</v>
      </c>
      <c r="AC36" s="1352">
        <f t="shared" si="5"/>
        <v>1</v>
      </c>
    </row>
    <row r="37" spans="1:29" ht="15">
      <c r="A37" s="430" t="s">
        <v>1844</v>
      </c>
      <c r="B37" s="1972" t="s">
        <v>3359</v>
      </c>
      <c r="C37" s="1154" t="s">
        <v>0</v>
      </c>
      <c r="D37" s="1155"/>
      <c r="E37" s="1156"/>
      <c r="F37" s="1157"/>
      <c r="G37" s="1158"/>
      <c r="H37" s="1159"/>
      <c r="I37" s="1156"/>
      <c r="J37" s="1159"/>
      <c r="K37" s="568"/>
      <c r="L37" s="2722"/>
      <c r="M37" s="2723"/>
      <c r="N37" s="2714"/>
      <c r="O37" s="2723"/>
      <c r="P37" s="3657" t="str">
        <f>A37</f>
        <v>成交单价</v>
      </c>
      <c r="Q37" s="3657"/>
      <c r="R37" s="3658">
        <f>E37</f>
        <v>0</v>
      </c>
      <c r="S37" s="3658"/>
      <c r="T37" s="3658">
        <f>G37</f>
        <v>0</v>
      </c>
      <c r="U37" s="3658"/>
      <c r="V37" s="3658">
        <f>I37</f>
        <v>0</v>
      </c>
      <c r="W37" s="3658"/>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2"/>
      <c r="M38" s="2723"/>
      <c r="N38" s="2723"/>
      <c r="O38" s="2723"/>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37" t="str">
        <f>A39</f>
        <v>估价对象XX用房的比较价值（楼面单价，元/平方米）</v>
      </c>
      <c r="Q39" s="3738"/>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741" t="s">
        <v>1775</v>
      </c>
      <c r="Q4" s="3742"/>
      <c r="R4" s="3745" t="s">
        <v>1771</v>
      </c>
      <c r="S4" s="3746"/>
      <c r="T4" s="3745" t="s">
        <v>1772</v>
      </c>
      <c r="U4" s="3746"/>
      <c r="V4" s="3691" t="s">
        <v>1773</v>
      </c>
      <c r="W4" s="3691"/>
      <c r="X4" s="1354"/>
      <c r="Y4" s="3745" t="s">
        <v>1775</v>
      </c>
      <c r="Z4" s="3746"/>
      <c r="AA4" s="3740" t="s">
        <v>1771</v>
      </c>
      <c r="AB4" s="3704" t="s">
        <v>1772</v>
      </c>
      <c r="AC4" s="3740" t="s">
        <v>1773</v>
      </c>
    </row>
    <row r="5" spans="1:29" ht="15">
      <c r="A5" s="358"/>
      <c r="B5" s="359"/>
      <c r="C5" s="3700" t="s">
        <v>1673</v>
      </c>
      <c r="D5" s="3695"/>
      <c r="E5" s="3747" t="s">
        <v>1674</v>
      </c>
      <c r="F5" s="3707"/>
      <c r="G5" s="3700" t="s">
        <v>1675</v>
      </c>
      <c r="H5" s="3695"/>
      <c r="I5" s="3700" t="s">
        <v>1676</v>
      </c>
      <c r="J5" s="3695"/>
      <c r="K5" s="559"/>
      <c r="L5" s="2713"/>
      <c r="M5" s="2714"/>
      <c r="N5" s="2714"/>
      <c r="O5" s="2714"/>
      <c r="P5" s="3743"/>
      <c r="Q5" s="3681"/>
      <c r="R5" s="3686"/>
      <c r="S5" s="3687"/>
      <c r="T5" s="3686"/>
      <c r="U5" s="3687"/>
      <c r="V5" s="3691"/>
      <c r="W5" s="3691"/>
      <c r="X5" s="1354"/>
      <c r="Y5" s="3686"/>
      <c r="Z5" s="3687"/>
      <c r="AA5" s="3704"/>
      <c r="AB5" s="3704"/>
      <c r="AC5" s="3704"/>
    </row>
    <row r="6" spans="1:29" ht="15.75" thickBot="1">
      <c r="A6" s="360"/>
      <c r="B6" s="361"/>
      <c r="C6" s="3692" t="s">
        <v>1677</v>
      </c>
      <c r="D6" s="3693"/>
      <c r="E6" s="3701" t="s">
        <v>1677</v>
      </c>
      <c r="F6" s="3702"/>
      <c r="G6" s="3692" t="s">
        <v>1677</v>
      </c>
      <c r="H6" s="3693"/>
      <c r="I6" s="3692" t="s">
        <v>1677</v>
      </c>
      <c r="J6" s="3693"/>
      <c r="K6" s="559" t="s">
        <v>1678</v>
      </c>
      <c r="L6" s="2713"/>
      <c r="M6" s="2714"/>
      <c r="N6" s="2714"/>
      <c r="O6" s="2714"/>
      <c r="P6" s="3744"/>
      <c r="Q6" s="3683"/>
      <c r="R6" s="3686"/>
      <c r="S6" s="3687"/>
      <c r="T6" s="3688"/>
      <c r="U6" s="3689"/>
      <c r="V6" s="3691"/>
      <c r="W6" s="3691"/>
      <c r="X6" s="1354"/>
      <c r="Y6" s="3688"/>
      <c r="Z6" s="3689"/>
      <c r="AA6" s="3705"/>
      <c r="AB6" s="3705"/>
      <c r="AC6" s="3705"/>
    </row>
    <row r="7" spans="1:29" s="108" customFormat="1" ht="15.75" thickBot="1">
      <c r="A7" s="362" t="s">
        <v>1679</v>
      </c>
      <c r="B7" s="363"/>
      <c r="C7" s="364">
        <f>'数据-取费表'!B2</f>
        <v>45127</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98" t="s">
        <v>1680</v>
      </c>
      <c r="Q7" s="3699"/>
      <c r="R7" s="701" t="s">
        <v>14</v>
      </c>
      <c r="S7" s="702">
        <f t="shared" ref="S7:S14" si="0">F7</f>
        <v>0</v>
      </c>
      <c r="T7" s="701" t="s">
        <v>14</v>
      </c>
      <c r="U7" s="702">
        <f t="shared" ref="U7:U14" si="1">H7</f>
        <v>0</v>
      </c>
      <c r="V7" s="701" t="s">
        <v>14</v>
      </c>
      <c r="W7" s="702">
        <f t="shared" ref="W7:W14" si="2">J7</f>
        <v>0</v>
      </c>
      <c r="X7" s="703"/>
      <c r="Y7" s="3698" t="s">
        <v>1680</v>
      </c>
      <c r="Z7" s="369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8" t="s">
        <v>1683</v>
      </c>
      <c r="Q8" s="3697"/>
      <c r="R8" s="701" t="s">
        <v>14</v>
      </c>
      <c r="S8" s="702">
        <f t="shared" si="0"/>
        <v>100</v>
      </c>
      <c r="T8" s="701" t="s">
        <v>14</v>
      </c>
      <c r="U8" s="702">
        <f t="shared" si="1"/>
        <v>100</v>
      </c>
      <c r="V8" s="701" t="s">
        <v>14</v>
      </c>
      <c r="W8" s="702">
        <f t="shared" si="2"/>
        <v>100</v>
      </c>
      <c r="X8" s="703"/>
      <c r="Y8" s="3698" t="s">
        <v>1683</v>
      </c>
      <c r="Z8" s="369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57" t="s">
        <v>1686</v>
      </c>
      <c r="Q9" s="1342"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57"/>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57"/>
      <c r="Q11" s="1342">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57"/>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57"/>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4" t="s">
        <v>1691</v>
      </c>
      <c r="Q14" s="1351" t="str">
        <f t="shared" si="6"/>
        <v>交通便捷度</v>
      </c>
      <c r="R14" s="705" t="s">
        <v>14</v>
      </c>
      <c r="S14" s="706">
        <f t="shared" si="0"/>
        <v>100</v>
      </c>
      <c r="T14" s="705" t="s">
        <v>14</v>
      </c>
      <c r="U14" s="706">
        <f t="shared" si="1"/>
        <v>100</v>
      </c>
      <c r="V14" s="705" t="s">
        <v>14</v>
      </c>
      <c r="W14" s="706">
        <f t="shared" si="2"/>
        <v>100</v>
      </c>
      <c r="X14" s="1354"/>
      <c r="Y14" s="366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65"/>
      <c r="Q15" s="1351"/>
      <c r="R15" s="705"/>
      <c r="S15" s="706"/>
      <c r="T15" s="705"/>
      <c r="U15" s="706"/>
      <c r="V15" s="705"/>
      <c r="W15" s="706"/>
      <c r="X15" s="1354"/>
      <c r="Y15" s="366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5"/>
      <c r="Q16" s="1351" t="str">
        <f>B16</f>
        <v>公共配套设施</v>
      </c>
      <c r="R16" s="705" t="s">
        <v>14</v>
      </c>
      <c r="S16" s="706">
        <f>F16</f>
        <v>100</v>
      </c>
      <c r="T16" s="705" t="s">
        <v>14</v>
      </c>
      <c r="U16" s="706">
        <f>H16</f>
        <v>100</v>
      </c>
      <c r="V16" s="705" t="s">
        <v>14</v>
      </c>
      <c r="W16" s="706">
        <f>J16</f>
        <v>100</v>
      </c>
      <c r="X16" s="1354"/>
      <c r="Y16" s="366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65"/>
      <c r="Q17" s="1351"/>
      <c r="R17" s="705"/>
      <c r="S17" s="706"/>
      <c r="T17" s="705"/>
      <c r="U17" s="706"/>
      <c r="V17" s="705"/>
      <c r="W17" s="706"/>
      <c r="X17" s="1354"/>
      <c r="Y17" s="3665"/>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5"/>
      <c r="Q18" s="1351" t="str">
        <f>B18</f>
        <v>基础设施水平</v>
      </c>
      <c r="R18" s="705" t="s">
        <v>14</v>
      </c>
      <c r="S18" s="706">
        <f>F18</f>
        <v>100</v>
      </c>
      <c r="T18" s="705" t="s">
        <v>14</v>
      </c>
      <c r="U18" s="706">
        <f>H18</f>
        <v>100</v>
      </c>
      <c r="V18" s="705" t="s">
        <v>14</v>
      </c>
      <c r="W18" s="706">
        <f>J18</f>
        <v>100</v>
      </c>
      <c r="X18" s="1354"/>
      <c r="Y18" s="3665"/>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0"/>
      <c r="M19" s="2714"/>
      <c r="N19" s="2714"/>
      <c r="O19" s="2772"/>
      <c r="P19" s="3665"/>
      <c r="Q19" s="1351"/>
      <c r="R19" s="705"/>
      <c r="S19" s="706"/>
      <c r="T19" s="705"/>
      <c r="U19" s="706"/>
      <c r="V19" s="705"/>
      <c r="W19" s="706"/>
      <c r="X19" s="1354"/>
      <c r="Y19" s="366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5"/>
      <c r="Q20" s="1351" t="str">
        <f>B20</f>
        <v>自然及人文环境</v>
      </c>
      <c r="R20" s="705" t="s">
        <v>14</v>
      </c>
      <c r="S20" s="706">
        <f>F20</f>
        <v>100</v>
      </c>
      <c r="T20" s="705" t="s">
        <v>14</v>
      </c>
      <c r="U20" s="706">
        <f>H20</f>
        <v>100</v>
      </c>
      <c r="V20" s="705" t="s">
        <v>14</v>
      </c>
      <c r="W20" s="706">
        <f>J20</f>
        <v>100</v>
      </c>
      <c r="X20" s="1354"/>
      <c r="Y20" s="366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65"/>
      <c r="Q21" s="1351"/>
      <c r="R21" s="705"/>
      <c r="S21" s="706"/>
      <c r="T21" s="705"/>
      <c r="U21" s="706"/>
      <c r="V21" s="705"/>
      <c r="W21" s="706"/>
      <c r="X21" s="1354"/>
      <c r="Y21" s="366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5"/>
      <c r="Q22" s="1351" t="str">
        <f>B22</f>
        <v>楼层</v>
      </c>
      <c r="R22" s="705" t="s">
        <v>14</v>
      </c>
      <c r="S22" s="706">
        <f>F22</f>
        <v>100</v>
      </c>
      <c r="T22" s="705" t="s">
        <v>14</v>
      </c>
      <c r="U22" s="706">
        <f>H22</f>
        <v>100</v>
      </c>
      <c r="V22" s="705" t="s">
        <v>14</v>
      </c>
      <c r="W22" s="706">
        <f>J22</f>
        <v>100</v>
      </c>
      <c r="X22" s="1354"/>
      <c r="Y22" s="366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5"/>
      <c r="Q23" s="1351">
        <f>B23</f>
        <v>111</v>
      </c>
      <c r="R23" s="705" t="s">
        <v>14</v>
      </c>
      <c r="S23" s="706">
        <f>F23</f>
        <v>100</v>
      </c>
      <c r="T23" s="705" t="s">
        <v>14</v>
      </c>
      <c r="U23" s="706">
        <f>H23</f>
        <v>100</v>
      </c>
      <c r="V23" s="705" t="s">
        <v>14</v>
      </c>
      <c r="W23" s="706">
        <f>J23</f>
        <v>100</v>
      </c>
      <c r="X23" s="1354"/>
      <c r="Y23" s="366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5"/>
      <c r="Q24" s="1351">
        <f t="shared" ref="Q24:Q34" si="11">B24</f>
        <v>111</v>
      </c>
      <c r="R24" s="705" t="s">
        <v>14</v>
      </c>
      <c r="S24" s="706">
        <f>F24</f>
        <v>100</v>
      </c>
      <c r="T24" s="705" t="s">
        <v>14</v>
      </c>
      <c r="U24" s="706">
        <f>H24</f>
        <v>100</v>
      </c>
      <c r="V24" s="705" t="s">
        <v>14</v>
      </c>
      <c r="W24" s="706">
        <f>J24</f>
        <v>100</v>
      </c>
      <c r="X24" s="1354"/>
      <c r="Y24" s="366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665"/>
      <c r="Q25" s="1342">
        <f t="shared" si="11"/>
        <v>111</v>
      </c>
      <c r="R25" s="701" t="s">
        <v>14</v>
      </c>
      <c r="S25" s="702">
        <f>F25</f>
        <v>100</v>
      </c>
      <c r="T25" s="701" t="s">
        <v>14</v>
      </c>
      <c r="U25" s="702">
        <f>H25</f>
        <v>100</v>
      </c>
      <c r="V25" s="701" t="s">
        <v>14</v>
      </c>
      <c r="W25" s="702">
        <f>J25</f>
        <v>100</v>
      </c>
      <c r="X25" s="703"/>
      <c r="Y25" s="366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4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6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9"/>
      <c r="Q27" s="707" t="str">
        <f t="shared" si="11"/>
        <v>成新率</v>
      </c>
      <c r="R27" s="708" t="s">
        <v>14</v>
      </c>
      <c r="S27" s="709" t="e">
        <f t="shared" si="12"/>
        <v>#N/A</v>
      </c>
      <c r="T27" s="708" t="s">
        <v>14</v>
      </c>
      <c r="U27" s="709" t="e">
        <f t="shared" si="13"/>
        <v>#N/A</v>
      </c>
      <c r="V27" s="708" t="s">
        <v>14</v>
      </c>
      <c r="W27" s="709" t="e">
        <f t="shared" si="14"/>
        <v>#N/A</v>
      </c>
      <c r="X27" s="710"/>
      <c r="Y27" s="3669"/>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9"/>
      <c r="Q28" s="1351" t="str">
        <f t="shared" si="11"/>
        <v>物业等级</v>
      </c>
      <c r="R28" s="705" t="s">
        <v>14</v>
      </c>
      <c r="S28" s="706">
        <f t="shared" si="12"/>
        <v>100</v>
      </c>
      <c r="T28" s="705" t="s">
        <v>14</v>
      </c>
      <c r="U28" s="706">
        <f t="shared" si="13"/>
        <v>100</v>
      </c>
      <c r="V28" s="705" t="s">
        <v>14</v>
      </c>
      <c r="W28" s="706">
        <f t="shared" si="14"/>
        <v>100</v>
      </c>
      <c r="X28" s="1354"/>
      <c r="Y28" s="366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69"/>
      <c r="Q29" s="1351" t="str">
        <f t="shared" si="11"/>
        <v>有无电梯</v>
      </c>
      <c r="R29" s="705" t="s">
        <v>14</v>
      </c>
      <c r="S29" s="706">
        <f t="shared" si="12"/>
        <v>100</v>
      </c>
      <c r="T29" s="705" t="s">
        <v>14</v>
      </c>
      <c r="U29" s="706">
        <f t="shared" si="13"/>
        <v>100</v>
      </c>
      <c r="V29" s="705" t="s">
        <v>14</v>
      </c>
      <c r="W29" s="706">
        <f t="shared" si="14"/>
        <v>100</v>
      </c>
      <c r="X29" s="1354"/>
      <c r="Y29" s="366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9"/>
      <c r="Q30" s="1351" t="str">
        <f t="shared" si="11"/>
        <v>建筑面积</v>
      </c>
      <c r="R30" s="705" t="s">
        <v>14</v>
      </c>
      <c r="S30" s="706" t="e">
        <f t="shared" si="12"/>
        <v>#N/A</v>
      </c>
      <c r="T30" s="705" t="s">
        <v>14</v>
      </c>
      <c r="U30" s="706" t="e">
        <f t="shared" si="13"/>
        <v>#N/A</v>
      </c>
      <c r="V30" s="705" t="s">
        <v>14</v>
      </c>
      <c r="W30" s="706" t="e">
        <f t="shared" si="14"/>
        <v>#N/A</v>
      </c>
      <c r="X30" s="1354"/>
      <c r="Y30" s="366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69"/>
      <c r="Q31" s="1342" t="str">
        <f t="shared" si="11"/>
        <v>是否封闭</v>
      </c>
      <c r="R31" s="701" t="s">
        <v>14</v>
      </c>
      <c r="S31" s="702">
        <f t="shared" si="12"/>
        <v>100</v>
      </c>
      <c r="T31" s="701" t="s">
        <v>14</v>
      </c>
      <c r="U31" s="702">
        <f t="shared" si="13"/>
        <v>100</v>
      </c>
      <c r="V31" s="701" t="s">
        <v>14</v>
      </c>
      <c r="W31" s="702">
        <f t="shared" si="14"/>
        <v>100</v>
      </c>
      <c r="X31" s="703"/>
      <c r="Y31" s="3669"/>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9" t="s">
        <v>1696</v>
      </c>
      <c r="Q32" s="1351">
        <f t="shared" si="11"/>
        <v>111</v>
      </c>
      <c r="R32" s="705" t="s">
        <v>14</v>
      </c>
      <c r="S32" s="706">
        <f t="shared" si="12"/>
        <v>100</v>
      </c>
      <c r="T32" s="705" t="s">
        <v>14</v>
      </c>
      <c r="U32" s="706">
        <f t="shared" si="13"/>
        <v>100</v>
      </c>
      <c r="V32" s="705" t="s">
        <v>14</v>
      </c>
      <c r="W32" s="706">
        <f t="shared" si="14"/>
        <v>100</v>
      </c>
      <c r="X32" s="1354"/>
      <c r="Y32" s="366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9"/>
      <c r="Q33" s="1351">
        <f t="shared" si="11"/>
        <v>111</v>
      </c>
      <c r="R33" s="705" t="s">
        <v>14</v>
      </c>
      <c r="S33" s="706">
        <f t="shared" si="12"/>
        <v>100</v>
      </c>
      <c r="T33" s="705" t="s">
        <v>14</v>
      </c>
      <c r="U33" s="706">
        <f t="shared" si="13"/>
        <v>100</v>
      </c>
      <c r="V33" s="705" t="s">
        <v>14</v>
      </c>
      <c r="W33" s="706">
        <f t="shared" si="14"/>
        <v>100</v>
      </c>
      <c r="X33" s="1354"/>
      <c r="Y33" s="366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69"/>
      <c r="Q34" s="1351">
        <f t="shared" si="11"/>
        <v>111</v>
      </c>
      <c r="R34" s="705" t="s">
        <v>14</v>
      </c>
      <c r="S34" s="706">
        <f t="shared" si="12"/>
        <v>100</v>
      </c>
      <c r="T34" s="705" t="s">
        <v>14</v>
      </c>
      <c r="U34" s="706">
        <f t="shared" si="13"/>
        <v>100</v>
      </c>
      <c r="V34" s="705" t="s">
        <v>14</v>
      </c>
      <c r="W34" s="706">
        <f t="shared" si="14"/>
        <v>100</v>
      </c>
      <c r="X34" s="1354"/>
      <c r="Y34" s="3669"/>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2"/>
      <c r="M35" s="2723"/>
      <c r="N35" s="2714"/>
      <c r="O35" s="2723"/>
      <c r="P35" s="3657" t="str">
        <f>A35</f>
        <v>成交单价（元/平方米）</v>
      </c>
      <c r="Q35" s="3657"/>
      <c r="R35" s="3658">
        <f>E35</f>
        <v>0</v>
      </c>
      <c r="S35" s="3658"/>
      <c r="T35" s="3658">
        <f>G35</f>
        <v>0</v>
      </c>
      <c r="U35" s="3658"/>
      <c r="V35" s="3658">
        <f>I35</f>
        <v>0</v>
      </c>
      <c r="W35" s="3658"/>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2"/>
      <c r="M36" s="2723"/>
      <c r="N36" s="2714"/>
      <c r="O36" s="2723"/>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37" t="str">
        <f>A37</f>
        <v>估价对象XX用房的比较价值（楼面单价，元/平方米）</v>
      </c>
      <c r="Q37" s="3738"/>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59" sqref="N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1086</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8925</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4" t="s">
        <v>1770</v>
      </c>
      <c r="D4" s="3675"/>
      <c r="E4" s="3676" t="s">
        <v>1771</v>
      </c>
      <c r="F4" s="3677"/>
      <c r="G4" s="3674" t="s">
        <v>1772</v>
      </c>
      <c r="H4" s="3675"/>
      <c r="I4" s="3674" t="s">
        <v>1773</v>
      </c>
      <c r="J4" s="3675"/>
      <c r="K4" s="559" t="s">
        <v>1774</v>
      </c>
      <c r="L4" s="2713"/>
      <c r="M4" s="2714"/>
      <c r="N4" s="2714"/>
      <c r="O4" s="2714"/>
      <c r="P4" s="3741" t="s">
        <v>1775</v>
      </c>
      <c r="Q4" s="3742"/>
      <c r="R4" s="3745" t="s">
        <v>1771</v>
      </c>
      <c r="S4" s="3746"/>
      <c r="T4" s="3745" t="s">
        <v>1772</v>
      </c>
      <c r="U4" s="3746"/>
      <c r="V4" s="3691" t="s">
        <v>1773</v>
      </c>
      <c r="W4" s="3691"/>
      <c r="X4" s="1354"/>
      <c r="Y4" s="3745" t="s">
        <v>1775</v>
      </c>
      <c r="Z4" s="3746"/>
      <c r="AA4" s="3740" t="s">
        <v>1771</v>
      </c>
      <c r="AB4" s="3704" t="s">
        <v>1772</v>
      </c>
      <c r="AC4" s="3740" t="s">
        <v>1773</v>
      </c>
    </row>
    <row r="5" spans="1:30" ht="15">
      <c r="A5" s="358"/>
      <c r="B5" s="359"/>
      <c r="C5" s="3700" t="s">
        <v>1673</v>
      </c>
      <c r="D5" s="3695"/>
      <c r="E5" s="3747" t="str">
        <f>土地案例!A2</f>
        <v>北京城市副中心0403街区FZX-0403-0146、0148地块F3*其他类多功能用地</v>
      </c>
      <c r="F5" s="3707"/>
      <c r="G5" s="3700" t="str">
        <f>土地案例!A6</f>
        <v>北京市通州区永顺镇0401街区*46号地块(西马庄收储)*B4综合性商业金融服务业用地</v>
      </c>
      <c r="H5" s="3695"/>
      <c r="I5" s="3700" t="str">
        <f>土地案例!A32</f>
        <v>北京城市副中心FZX-0902-0229、0230地块</v>
      </c>
      <c r="J5" s="3695"/>
      <c r="K5" s="559"/>
      <c r="L5" s="2713"/>
      <c r="M5" s="2714"/>
      <c r="N5" s="2714"/>
      <c r="O5" s="2714"/>
      <c r="P5" s="3743"/>
      <c r="Q5" s="3681"/>
      <c r="R5" s="3686"/>
      <c r="S5" s="3687"/>
      <c r="T5" s="3686"/>
      <c r="U5" s="3687"/>
      <c r="V5" s="3691"/>
      <c r="W5" s="3691"/>
      <c r="X5" s="1354"/>
      <c r="Y5" s="3686"/>
      <c r="Z5" s="3687"/>
      <c r="AA5" s="3704"/>
      <c r="AB5" s="3704"/>
      <c r="AC5" s="3704"/>
    </row>
    <row r="6" spans="1:30" ht="15.75" thickBot="1">
      <c r="A6" s="360"/>
      <c r="B6" s="361"/>
      <c r="C6" s="3692" t="s">
        <v>1677</v>
      </c>
      <c r="D6" s="3693"/>
      <c r="E6" s="3701" t="s">
        <v>1677</v>
      </c>
      <c r="F6" s="3702"/>
      <c r="G6" s="3692" t="s">
        <v>1677</v>
      </c>
      <c r="H6" s="3693"/>
      <c r="I6" s="3692" t="s">
        <v>1677</v>
      </c>
      <c r="J6" s="3693"/>
      <c r="K6" s="559" t="s">
        <v>1678</v>
      </c>
      <c r="L6" s="2713"/>
      <c r="M6" s="2714"/>
      <c r="N6" s="2714"/>
      <c r="O6" s="2714"/>
      <c r="P6" s="3744"/>
      <c r="Q6" s="3683"/>
      <c r="R6" s="3686"/>
      <c r="S6" s="3687"/>
      <c r="T6" s="3688"/>
      <c r="U6" s="3689"/>
      <c r="V6" s="3691"/>
      <c r="W6" s="3691"/>
      <c r="X6" s="1354"/>
      <c r="Y6" s="3688"/>
      <c r="Z6" s="3689"/>
      <c r="AA6" s="3705"/>
      <c r="AB6" s="3705"/>
      <c r="AC6" s="3705"/>
    </row>
    <row r="7" spans="1:30" s="108" customFormat="1" ht="15.75" thickBot="1">
      <c r="A7" s="362" t="s">
        <v>1679</v>
      </c>
      <c r="B7" s="363"/>
      <c r="C7" s="364">
        <f>'数据-取费表'!B2</f>
        <v>45127</v>
      </c>
      <c r="D7" s="365">
        <v>100</v>
      </c>
      <c r="E7" s="366" t="str">
        <f>土地案例!K2</f>
        <v>2023-07-07</v>
      </c>
      <c r="F7" s="367">
        <f>SUMIF(69:69,YEAR(E7)&amp;"-"&amp;INT((MONTH(E7)+2)/3),70:70)</f>
        <v>100</v>
      </c>
      <c r="G7" s="1973" t="str">
        <f>土地案例!K6</f>
        <v>2023-04-14</v>
      </c>
      <c r="H7" s="365">
        <f>SUMIF(69:69,YEAR(G7)&amp;"-"&amp;INT((MONTH(G7)+2)/3),70:70)</f>
        <v>99.5</v>
      </c>
      <c r="I7" s="1973" t="str">
        <f>土地案例!K32</f>
        <v>2021-05-19</v>
      </c>
      <c r="J7" s="365">
        <f>SUMIF(69:69,YEAR(I7)&amp;"-"&amp;INT((MONTH(I7)+2)/3),70:70)</f>
        <v>95.5</v>
      </c>
      <c r="K7" s="560"/>
      <c r="L7" s="2715"/>
      <c r="M7" s="2716"/>
      <c r="N7" s="2716"/>
      <c r="O7" s="2716"/>
      <c r="P7" s="3698" t="s">
        <v>1680</v>
      </c>
      <c r="Q7" s="3699"/>
      <c r="R7" s="701" t="s">
        <v>14</v>
      </c>
      <c r="S7" s="702">
        <f t="shared" ref="S7:S15" si="0">F7</f>
        <v>100</v>
      </c>
      <c r="T7" s="701" t="s">
        <v>14</v>
      </c>
      <c r="U7" s="702">
        <f t="shared" ref="U7:U15" si="1">H7</f>
        <v>99.5</v>
      </c>
      <c r="V7" s="701" t="s">
        <v>14</v>
      </c>
      <c r="W7" s="702">
        <f t="shared" ref="W7:W15" si="2">J7</f>
        <v>95.5</v>
      </c>
      <c r="X7" s="703"/>
      <c r="Y7" s="3698" t="s">
        <v>1680</v>
      </c>
      <c r="Z7" s="3697"/>
      <c r="AA7" s="704">
        <f>D7/F7</f>
        <v>1</v>
      </c>
      <c r="AB7" s="704">
        <f>D7/H7</f>
        <v>1.0050251256281406</v>
      </c>
      <c r="AC7" s="704">
        <f>D7/J7</f>
        <v>1.0471204188481675</v>
      </c>
    </row>
    <row r="8" spans="1:30" s="108" customFormat="1" ht="15.75" thickBot="1">
      <c r="A8" s="362" t="s">
        <v>1681</v>
      </c>
      <c r="B8" s="363"/>
      <c r="C8" s="368" t="s">
        <v>1682</v>
      </c>
      <c r="D8" s="365">
        <v>100</v>
      </c>
      <c r="E8" s="368" t="s">
        <v>3585</v>
      </c>
      <c r="F8" s="367">
        <f>SUMIF(72:72,E8,73:73)-SUMIF(72:72,C8,73:73)+100</f>
        <v>100</v>
      </c>
      <c r="G8" s="3454" t="s">
        <v>3586</v>
      </c>
      <c r="H8" s="365">
        <f>SUMIF(72:72,G8,73:73)-SUMIF(72:72,C8,73:73)+100</f>
        <v>100</v>
      </c>
      <c r="I8" s="3454" t="s">
        <v>3586</v>
      </c>
      <c r="J8" s="365">
        <f>SUMIF(72:72,I8,73:73)-SUMIF(72:72,C8,73:73)+100</f>
        <v>100</v>
      </c>
      <c r="K8" s="560"/>
      <c r="L8" s="2715"/>
      <c r="M8" s="2716"/>
      <c r="N8" s="2716"/>
      <c r="O8" s="2716"/>
      <c r="P8" s="3698" t="s">
        <v>1683</v>
      </c>
      <c r="Q8" s="3697"/>
      <c r="R8" s="701" t="s">
        <v>14</v>
      </c>
      <c r="S8" s="702">
        <f t="shared" si="0"/>
        <v>100</v>
      </c>
      <c r="T8" s="701" t="s">
        <v>14</v>
      </c>
      <c r="U8" s="702">
        <f t="shared" si="1"/>
        <v>100</v>
      </c>
      <c r="V8" s="701" t="s">
        <v>14</v>
      </c>
      <c r="W8" s="702">
        <f t="shared" si="2"/>
        <v>100</v>
      </c>
      <c r="X8" s="703"/>
      <c r="Y8" s="3698" t="s">
        <v>1683</v>
      </c>
      <c r="Z8" s="3697"/>
      <c r="AA8" s="704">
        <f t="shared" ref="AA8:AA45" si="3">D8/F8</f>
        <v>1</v>
      </c>
      <c r="AB8" s="704">
        <f t="shared" ref="AB8:AB45" si="4">D8/H8</f>
        <v>1</v>
      </c>
      <c r="AC8" s="704">
        <f t="shared" ref="AC8:AC45" si="5">D8/J8</f>
        <v>1</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57"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7"/>
      <c r="M10" s="2718"/>
      <c r="N10" s="2718"/>
      <c r="O10" s="2771"/>
      <c r="P10" s="3657"/>
      <c r="Q10" s="1342" t="str">
        <f t="shared" si="6"/>
        <v>土地使用年限（年）</v>
      </c>
      <c r="R10" s="701" t="s">
        <v>14</v>
      </c>
      <c r="S10" s="702">
        <f t="shared" si="0"/>
        <v>128</v>
      </c>
      <c r="T10" s="701" t="s">
        <v>14</v>
      </c>
      <c r="U10" s="702">
        <f t="shared" si="1"/>
        <v>128</v>
      </c>
      <c r="V10" s="701" t="s">
        <v>14</v>
      </c>
      <c r="W10" s="702">
        <f t="shared" si="2"/>
        <v>128</v>
      </c>
      <c r="X10" s="703"/>
      <c r="Y10" s="3563"/>
      <c r="Z10" s="52" t="str">
        <f t="shared" si="7"/>
        <v>土地使用年限（年）</v>
      </c>
      <c r="AA10" s="704">
        <f t="shared" si="3"/>
        <v>0.78125</v>
      </c>
      <c r="AB10" s="704">
        <f t="shared" si="4"/>
        <v>0.78125</v>
      </c>
      <c r="AC10" s="704">
        <f t="shared" si="5"/>
        <v>0.78125</v>
      </c>
    </row>
    <row r="11" spans="1:30" ht="15">
      <c r="A11" s="379"/>
      <c r="B11" s="375" t="s">
        <v>1689</v>
      </c>
      <c r="C11" s="380">
        <f>'数据-汇总表'!I6</f>
        <v>2.31</v>
      </c>
      <c r="D11" s="127">
        <v>100</v>
      </c>
      <c r="E11" s="380">
        <v>3.4</v>
      </c>
      <c r="F11" s="127">
        <f>LOOKUP(E11,79:79,80:80)-LOOKUP(C11,79:79,80:80)+100</f>
        <v>98</v>
      </c>
      <c r="G11" s="381">
        <v>2.8</v>
      </c>
      <c r="H11" s="127">
        <f>LOOKUP(G11,79:79,80:80)-LOOKUP(C11,79:79,80:80)+100</f>
        <v>100</v>
      </c>
      <c r="I11" s="380">
        <v>3.1</v>
      </c>
      <c r="J11" s="127">
        <f>LOOKUP(I11,79:79,80:80)-LOOKUP(C11,79:79,80:80)+100</f>
        <v>98</v>
      </c>
      <c r="K11" s="621">
        <v>2</v>
      </c>
      <c r="L11" s="2719"/>
      <c r="M11" s="2714"/>
      <c r="N11" s="2714"/>
      <c r="O11" s="2772"/>
      <c r="P11" s="3657"/>
      <c r="Q11" s="1342" t="str">
        <f t="shared" si="6"/>
        <v>容积率</v>
      </c>
      <c r="R11" s="701" t="s">
        <v>14</v>
      </c>
      <c r="S11" s="702">
        <f t="shared" si="0"/>
        <v>98</v>
      </c>
      <c r="T11" s="701" t="s">
        <v>14</v>
      </c>
      <c r="U11" s="702">
        <f t="shared" si="1"/>
        <v>100</v>
      </c>
      <c r="V11" s="701" t="s">
        <v>14</v>
      </c>
      <c r="W11" s="702">
        <f t="shared" si="2"/>
        <v>98</v>
      </c>
      <c r="X11" s="703"/>
      <c r="Y11" s="3563"/>
      <c r="Z11" s="52" t="str">
        <f t="shared" si="7"/>
        <v>容积率</v>
      </c>
      <c r="AA11" s="704">
        <f t="shared" si="3"/>
        <v>1.0204081632653061</v>
      </c>
      <c r="AB11" s="704">
        <f t="shared" si="4"/>
        <v>1</v>
      </c>
      <c r="AC11" s="704">
        <f t="shared" si="5"/>
        <v>1.0204081632653061</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57"/>
      <c r="Q12" s="1342" t="str">
        <f t="shared" si="6"/>
        <v>配建</v>
      </c>
      <c r="R12" s="701" t="s">
        <v>14</v>
      </c>
      <c r="S12" s="702">
        <f t="shared" si="0"/>
        <v>100</v>
      </c>
      <c r="T12" s="701" t="s">
        <v>14</v>
      </c>
      <c r="U12" s="702">
        <f t="shared" si="1"/>
        <v>100</v>
      </c>
      <c r="V12" s="701" t="s">
        <v>14</v>
      </c>
      <c r="W12" s="702">
        <f t="shared" si="2"/>
        <v>100</v>
      </c>
      <c r="X12" s="703"/>
      <c r="Y12" s="3563"/>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57"/>
      <c r="Q13" s="1342">
        <f t="shared" si="6"/>
        <v>111</v>
      </c>
      <c r="R13" s="701" t="s">
        <v>14</v>
      </c>
      <c r="S13" s="702">
        <f t="shared" si="0"/>
        <v>100</v>
      </c>
      <c r="T13" s="701" t="s">
        <v>14</v>
      </c>
      <c r="U13" s="702">
        <f t="shared" si="1"/>
        <v>100</v>
      </c>
      <c r="V13" s="701" t="s">
        <v>14</v>
      </c>
      <c r="W13" s="702">
        <f t="shared" si="2"/>
        <v>100</v>
      </c>
      <c r="X13" s="703"/>
      <c r="Y13" s="3563"/>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57"/>
      <c r="Q14" s="1342">
        <f t="shared" si="6"/>
        <v>111</v>
      </c>
      <c r="R14" s="701" t="s">
        <v>14</v>
      </c>
      <c r="S14" s="702">
        <f t="shared" si="0"/>
        <v>100</v>
      </c>
      <c r="T14" s="701" t="s">
        <v>14</v>
      </c>
      <c r="U14" s="702">
        <f t="shared" si="1"/>
        <v>100</v>
      </c>
      <c r="V14" s="701" t="s">
        <v>14</v>
      </c>
      <c r="W14" s="702">
        <f t="shared" si="2"/>
        <v>100</v>
      </c>
      <c r="X14" s="703"/>
      <c r="Y14" s="3563"/>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4" t="s">
        <v>1691</v>
      </c>
      <c r="Q15" s="1351" t="str">
        <f t="shared" si="6"/>
        <v>居住社区成熟度</v>
      </c>
      <c r="R15" s="705" t="s">
        <v>14</v>
      </c>
      <c r="S15" s="706">
        <f t="shared" si="0"/>
        <v>100</v>
      </c>
      <c r="T15" s="705" t="s">
        <v>14</v>
      </c>
      <c r="U15" s="706">
        <f t="shared" si="1"/>
        <v>100</v>
      </c>
      <c r="V15" s="705" t="s">
        <v>14</v>
      </c>
      <c r="W15" s="706">
        <f t="shared" si="2"/>
        <v>100</v>
      </c>
      <c r="X15" s="1354"/>
      <c r="Y15" s="366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665"/>
      <c r="Q16" s="1351"/>
      <c r="R16" s="705"/>
      <c r="S16" s="706"/>
      <c r="T16" s="705"/>
      <c r="U16" s="706"/>
      <c r="V16" s="705"/>
      <c r="W16" s="706"/>
      <c r="X16" s="1354"/>
      <c r="Y16" s="3665"/>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5"/>
      <c r="Q17" s="1351" t="str">
        <f>B17</f>
        <v>商业繁华度</v>
      </c>
      <c r="R17" s="705" t="s">
        <v>14</v>
      </c>
      <c r="S17" s="706">
        <f>F17</f>
        <v>100</v>
      </c>
      <c r="T17" s="705" t="s">
        <v>14</v>
      </c>
      <c r="U17" s="706">
        <f>H17</f>
        <v>100</v>
      </c>
      <c r="V17" s="705" t="s">
        <v>14</v>
      </c>
      <c r="W17" s="706">
        <f>J17</f>
        <v>100</v>
      </c>
      <c r="X17" s="1354"/>
      <c r="Y17" s="366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665"/>
      <c r="Q18" s="1351"/>
      <c r="R18" s="705"/>
      <c r="S18" s="706"/>
      <c r="T18" s="705"/>
      <c r="U18" s="706"/>
      <c r="V18" s="705"/>
      <c r="W18" s="706"/>
      <c r="X18" s="1354"/>
      <c r="Y18" s="3665"/>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103</v>
      </c>
      <c r="G19" s="408"/>
      <c r="H19" s="401">
        <f>SUMIF(91:91,G20,92:92)-SUMIF(91:91,C20,92:92)+100</f>
        <v>100</v>
      </c>
      <c r="I19" s="410"/>
      <c r="J19" s="401">
        <f>SUMIF(91:91,I20,92:92)-SUMIF(91:91,C20,92:92)+100</f>
        <v>100</v>
      </c>
      <c r="K19" s="621">
        <v>3</v>
      </c>
      <c r="L19" s="2720"/>
      <c r="M19" s="2714"/>
      <c r="N19" s="2714"/>
      <c r="O19" s="2772"/>
      <c r="P19" s="3665"/>
      <c r="Q19" s="1351" t="str">
        <f>B19</f>
        <v>办公集聚程度</v>
      </c>
      <c r="R19" s="705" t="s">
        <v>14</v>
      </c>
      <c r="S19" s="706">
        <f>F19</f>
        <v>103</v>
      </c>
      <c r="T19" s="705" t="s">
        <v>14</v>
      </c>
      <c r="U19" s="706">
        <f>H19</f>
        <v>100</v>
      </c>
      <c r="V19" s="705" t="s">
        <v>14</v>
      </c>
      <c r="W19" s="706">
        <f>J19</f>
        <v>100</v>
      </c>
      <c r="X19" s="1354"/>
      <c r="Y19" s="3665"/>
      <c r="Z19" s="1355" t="str">
        <f>Q19</f>
        <v>办公集聚程度</v>
      </c>
      <c r="AA19" s="1352">
        <f t="shared" si="3"/>
        <v>0.970873786407767</v>
      </c>
      <c r="AB19" s="1352">
        <f t="shared" si="4"/>
        <v>1</v>
      </c>
      <c r="AC19" s="1352">
        <f t="shared" si="5"/>
        <v>1</v>
      </c>
    </row>
    <row r="20" spans="1:29" ht="15">
      <c r="A20" s="379"/>
      <c r="B20" s="407"/>
      <c r="C20" s="398" t="s">
        <v>3399</v>
      </c>
      <c r="D20" s="399"/>
      <c r="E20" s="3455" t="s">
        <v>3588</v>
      </c>
      <c r="F20" s="399"/>
      <c r="G20" s="3455" t="s">
        <v>3587</v>
      </c>
      <c r="H20" s="399"/>
      <c r="I20" s="3456" t="s">
        <v>3587</v>
      </c>
      <c r="J20" s="399"/>
      <c r="K20" s="620"/>
      <c r="L20" s="2720"/>
      <c r="M20" s="2714"/>
      <c r="N20" s="2714"/>
      <c r="O20" s="2772"/>
      <c r="P20" s="3665"/>
      <c r="Q20" s="1351"/>
      <c r="R20" s="705"/>
      <c r="S20" s="706"/>
      <c r="T20" s="705"/>
      <c r="U20" s="706"/>
      <c r="V20" s="705"/>
      <c r="W20" s="706"/>
      <c r="X20" s="1354"/>
      <c r="Y20" s="366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102</v>
      </c>
      <c r="G21" s="403"/>
      <c r="H21" s="401">
        <f>SUMIF(93:93,G22,94:94)-SUMIF(93:93,C22,94:94)+100</f>
        <v>100</v>
      </c>
      <c r="I21" s="405"/>
      <c r="J21" s="401">
        <f>SUMIF(93:93,I22,94:94)-SUMIF(93:93,C22,94:94)+100</f>
        <v>102</v>
      </c>
      <c r="K21" s="621">
        <v>2</v>
      </c>
      <c r="L21" s="2720"/>
      <c r="M21" s="2714"/>
      <c r="N21" s="2714"/>
      <c r="O21" s="2772"/>
      <c r="P21" s="3665"/>
      <c r="Q21" s="1351" t="str">
        <f>B21</f>
        <v>交通便捷度</v>
      </c>
      <c r="R21" s="705" t="s">
        <v>14</v>
      </c>
      <c r="S21" s="706">
        <f>F21</f>
        <v>102</v>
      </c>
      <c r="T21" s="705" t="s">
        <v>14</v>
      </c>
      <c r="U21" s="706">
        <f>H21</f>
        <v>100</v>
      </c>
      <c r="V21" s="705" t="s">
        <v>14</v>
      </c>
      <c r="W21" s="706">
        <f>J21</f>
        <v>102</v>
      </c>
      <c r="X21" s="1354"/>
      <c r="Y21" s="3665"/>
      <c r="Z21" s="1355" t="str">
        <f>Q21</f>
        <v>交通便捷度</v>
      </c>
      <c r="AA21" s="1352">
        <f t="shared" si="3"/>
        <v>0.98039215686274506</v>
      </c>
      <c r="AB21" s="1352">
        <f t="shared" si="4"/>
        <v>1</v>
      </c>
      <c r="AC21" s="1352">
        <f t="shared" si="5"/>
        <v>0.98039215686274506</v>
      </c>
    </row>
    <row r="22" spans="1:29" ht="15">
      <c r="A22" s="379"/>
      <c r="B22" s="1131"/>
      <c r="C22" s="3457" t="s">
        <v>3589</v>
      </c>
      <c r="D22" s="401"/>
      <c r="E22" s="3455" t="s">
        <v>3588</v>
      </c>
      <c r="F22" s="399"/>
      <c r="G22" s="3455" t="s">
        <v>3587</v>
      </c>
      <c r="H22" s="399"/>
      <c r="I22" s="3456" t="s">
        <v>3588</v>
      </c>
      <c r="J22" s="399"/>
      <c r="K22" s="620"/>
      <c r="L22" s="2720"/>
      <c r="M22" s="2714"/>
      <c r="N22" s="2714"/>
      <c r="O22" s="2772"/>
      <c r="P22" s="3665"/>
      <c r="Q22" s="1351"/>
      <c r="R22" s="705"/>
      <c r="S22" s="706"/>
      <c r="T22" s="705"/>
      <c r="U22" s="706"/>
      <c r="V22" s="705"/>
      <c r="W22" s="706"/>
      <c r="X22" s="1354"/>
      <c r="Y22" s="3665"/>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5"/>
      <c r="Q23" s="1351" t="str">
        <f t="shared" ref="Q23:Q37" si="8">B23</f>
        <v>区域土地利用方向</v>
      </c>
      <c r="R23" s="705" t="s">
        <v>14</v>
      </c>
      <c r="S23" s="706">
        <f>F23</f>
        <v>100</v>
      </c>
      <c r="T23" s="705" t="s">
        <v>14</v>
      </c>
      <c r="U23" s="706">
        <f>H23</f>
        <v>100</v>
      </c>
      <c r="V23" s="705" t="s">
        <v>14</v>
      </c>
      <c r="W23" s="706">
        <f>J23</f>
        <v>100</v>
      </c>
      <c r="X23" s="1354"/>
      <c r="Y23" s="3665"/>
      <c r="Z23" s="1355" t="str">
        <f>Q23</f>
        <v>区域土地利用方向</v>
      </c>
      <c r="AA23" s="1352">
        <f t="shared" si="3"/>
        <v>1</v>
      </c>
      <c r="AB23" s="1352">
        <f t="shared" si="4"/>
        <v>1</v>
      </c>
      <c r="AC23" s="1352">
        <f t="shared" si="5"/>
        <v>1</v>
      </c>
    </row>
    <row r="24" spans="1:29" ht="15">
      <c r="A24" s="358"/>
      <c r="B24" s="407"/>
      <c r="C24" s="3458" t="s">
        <v>3588</v>
      </c>
      <c r="D24" s="399"/>
      <c r="E24" s="3455" t="s">
        <v>3588</v>
      </c>
      <c r="F24" s="399"/>
      <c r="G24" s="3456" t="s">
        <v>3588</v>
      </c>
      <c r="H24" s="399"/>
      <c r="I24" s="3456" t="s">
        <v>3590</v>
      </c>
      <c r="J24" s="399"/>
      <c r="K24" s="740"/>
      <c r="L24" s="2720"/>
      <c r="M24" s="2714"/>
      <c r="N24" s="2714"/>
      <c r="O24" s="2772"/>
      <c r="P24" s="3665"/>
      <c r="Q24" s="1351"/>
      <c r="R24" s="705"/>
      <c r="S24" s="706"/>
      <c r="T24" s="705"/>
      <c r="U24" s="706"/>
      <c r="V24" s="705"/>
      <c r="W24" s="706"/>
      <c r="X24" s="1354"/>
      <c r="Y24" s="3665"/>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5"/>
      <c r="Q25" s="1351" t="str">
        <f t="shared" si="8"/>
        <v>自然及人文环境状况</v>
      </c>
      <c r="R25" s="705" t="s">
        <v>14</v>
      </c>
      <c r="S25" s="706">
        <f>F25</f>
        <v>100</v>
      </c>
      <c r="T25" s="705" t="s">
        <v>14</v>
      </c>
      <c r="U25" s="706">
        <f>H25</f>
        <v>100</v>
      </c>
      <c r="V25" s="705" t="s">
        <v>14</v>
      </c>
      <c r="W25" s="706">
        <f>J25</f>
        <v>100</v>
      </c>
      <c r="X25" s="1354"/>
      <c r="Y25" s="3665"/>
      <c r="Z25" s="1355" t="str">
        <f>Q25</f>
        <v>自然及人文环境状况</v>
      </c>
      <c r="AA25" s="1352">
        <f t="shared" si="3"/>
        <v>1</v>
      </c>
      <c r="AB25" s="1352">
        <f t="shared" si="4"/>
        <v>1</v>
      </c>
      <c r="AC25" s="1352">
        <f t="shared" si="5"/>
        <v>1</v>
      </c>
    </row>
    <row r="26" spans="1:29" ht="15">
      <c r="A26" s="358"/>
      <c r="B26" s="407"/>
      <c r="C26" s="3457" t="s">
        <v>3587</v>
      </c>
      <c r="D26" s="399"/>
      <c r="E26" s="3459" t="s">
        <v>3588</v>
      </c>
      <c r="F26" s="399"/>
      <c r="G26" s="3459" t="s">
        <v>3588</v>
      </c>
      <c r="H26" s="399"/>
      <c r="I26" s="3457" t="s">
        <v>3588</v>
      </c>
      <c r="J26" s="399"/>
      <c r="K26" s="620"/>
      <c r="L26" s="2720"/>
      <c r="M26" s="2714"/>
      <c r="N26" s="2714"/>
      <c r="O26" s="2772"/>
      <c r="P26" s="3665"/>
      <c r="Q26" s="1351"/>
      <c r="R26" s="705"/>
      <c r="S26" s="706"/>
      <c r="T26" s="705"/>
      <c r="U26" s="706"/>
      <c r="V26" s="705"/>
      <c r="W26" s="706"/>
      <c r="X26" s="1354"/>
      <c r="Y26" s="3665"/>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5"/>
      <c r="Q27" s="1342" t="str">
        <f t="shared" si="8"/>
        <v>公共配套设施</v>
      </c>
      <c r="R27" s="701" t="s">
        <v>14</v>
      </c>
      <c r="S27" s="702">
        <f>F27</f>
        <v>100</v>
      </c>
      <c r="T27" s="701" t="s">
        <v>14</v>
      </c>
      <c r="U27" s="702">
        <f>H27</f>
        <v>100</v>
      </c>
      <c r="V27" s="701" t="s">
        <v>14</v>
      </c>
      <c r="W27" s="702">
        <f>J27</f>
        <v>100</v>
      </c>
      <c r="X27" s="703"/>
      <c r="Y27" s="3665"/>
      <c r="Z27" s="52" t="str">
        <f>Q27</f>
        <v>公共配套设施</v>
      </c>
      <c r="AA27" s="1352">
        <f>D27/F27</f>
        <v>1</v>
      </c>
      <c r="AB27" s="1352">
        <f>D27/H27</f>
        <v>1</v>
      </c>
      <c r="AC27" s="1352">
        <f>D27/J27</f>
        <v>1</v>
      </c>
    </row>
    <row r="28" spans="1:29" s="108" customFormat="1" ht="15">
      <c r="A28" s="597"/>
      <c r="B28" s="407"/>
      <c r="C28" s="3460" t="s">
        <v>3587</v>
      </c>
      <c r="D28" s="399"/>
      <c r="E28" s="3459" t="s">
        <v>3588</v>
      </c>
      <c r="F28" s="399"/>
      <c r="G28" s="3459" t="s">
        <v>3588</v>
      </c>
      <c r="H28" s="399"/>
      <c r="I28" s="3457" t="s">
        <v>3587</v>
      </c>
      <c r="J28" s="399"/>
      <c r="K28" s="620"/>
      <c r="L28" s="2715"/>
      <c r="M28" s="2716"/>
      <c r="N28" s="2716"/>
      <c r="O28" s="2770"/>
      <c r="P28" s="3665"/>
      <c r="Q28" s="1342"/>
      <c r="R28" s="701"/>
      <c r="S28" s="702"/>
      <c r="T28" s="701"/>
      <c r="U28" s="702"/>
      <c r="V28" s="701"/>
      <c r="W28" s="702"/>
      <c r="X28" s="703"/>
      <c r="Y28" s="3665"/>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5"/>
      <c r="Q29" s="1342" t="str">
        <f t="shared" ref="Q29" si="9">B29</f>
        <v>基础设施水平</v>
      </c>
      <c r="R29" s="701" t="s">
        <v>14</v>
      </c>
      <c r="S29" s="702">
        <f>F29</f>
        <v>100</v>
      </c>
      <c r="T29" s="701" t="s">
        <v>14</v>
      </c>
      <c r="U29" s="702">
        <f>H29</f>
        <v>100</v>
      </c>
      <c r="V29" s="701" t="s">
        <v>14</v>
      </c>
      <c r="W29" s="702">
        <f>J29</f>
        <v>100</v>
      </c>
      <c r="X29" s="703"/>
      <c r="Y29" s="366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665"/>
      <c r="Q30" s="1342"/>
      <c r="R30" s="701"/>
      <c r="S30" s="702"/>
      <c r="T30" s="701"/>
      <c r="U30" s="702"/>
      <c r="V30" s="701"/>
      <c r="W30" s="702"/>
      <c r="X30" s="703"/>
      <c r="Y30" s="366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5"/>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5"/>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5"/>
      <c r="Q32" s="1351" t="str">
        <f t="shared" si="8"/>
        <v>毗邻道路的类型与等级</v>
      </c>
      <c r="R32" s="705" t="s">
        <v>14</v>
      </c>
      <c r="S32" s="706">
        <f t="shared" si="10"/>
        <v>100</v>
      </c>
      <c r="T32" s="705" t="s">
        <v>14</v>
      </c>
      <c r="U32" s="706">
        <f t="shared" si="11"/>
        <v>100</v>
      </c>
      <c r="V32" s="705" t="s">
        <v>14</v>
      </c>
      <c r="W32" s="706">
        <f t="shared" si="12"/>
        <v>100</v>
      </c>
      <c r="X32" s="1354"/>
      <c r="Y32" s="366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65"/>
      <c r="Q33" s="1351"/>
      <c r="R33" s="705"/>
      <c r="S33" s="706"/>
      <c r="T33" s="705"/>
      <c r="U33" s="706"/>
      <c r="V33" s="705"/>
      <c r="W33" s="706"/>
      <c r="X33" s="1354"/>
      <c r="Y33" s="3665"/>
      <c r="Z33" s="1355"/>
      <c r="AA33" s="1352">
        <v>1</v>
      </c>
      <c r="AB33" s="1352">
        <v>1</v>
      </c>
      <c r="AC33" s="1352">
        <v>1</v>
      </c>
    </row>
    <row r="34" spans="1:29" ht="15">
      <c r="A34" s="379"/>
      <c r="B34" s="375" t="s">
        <v>1873</v>
      </c>
      <c r="C34" s="3458" t="s">
        <v>3591</v>
      </c>
      <c r="D34" s="386">
        <v>100</v>
      </c>
      <c r="E34" s="582" t="str">
        <f>土地案例!R2</f>
        <v>五级</v>
      </c>
      <c r="F34" s="386">
        <f>SUMIF(107:107,E34,108:108)-SUMIF(107:107,C34,108:108)+100</f>
        <v>104</v>
      </c>
      <c r="G34" s="582" t="str">
        <f>土地案例!R6</f>
        <v>六级</v>
      </c>
      <c r="H34" s="386">
        <f>SUMIF(107:107,G34,108:108)-SUMIF(107:107,C34,108:108)+100</f>
        <v>102</v>
      </c>
      <c r="I34" s="565" t="str">
        <f>土地案例!R32</f>
        <v>六级</v>
      </c>
      <c r="J34" s="386">
        <f>SUMIF(107:107,I34,108:108)-SUMIF(107:107,C34,108:108)+100</f>
        <v>102</v>
      </c>
      <c r="K34" s="561">
        <v>2</v>
      </c>
      <c r="L34" s="2720"/>
      <c r="M34" s="2714"/>
      <c r="N34" s="2714"/>
      <c r="O34" s="2772"/>
      <c r="P34" s="3665"/>
      <c r="Q34" s="1351" t="str">
        <f t="shared" si="8"/>
        <v>土地级别</v>
      </c>
      <c r="R34" s="705" t="s">
        <v>14</v>
      </c>
      <c r="S34" s="706">
        <f t="shared" si="10"/>
        <v>104</v>
      </c>
      <c r="T34" s="705" t="s">
        <v>14</v>
      </c>
      <c r="U34" s="706">
        <f t="shared" si="11"/>
        <v>102</v>
      </c>
      <c r="V34" s="705" t="s">
        <v>14</v>
      </c>
      <c r="W34" s="706">
        <f t="shared" si="12"/>
        <v>102</v>
      </c>
      <c r="X34" s="1354"/>
      <c r="Y34" s="3665"/>
      <c r="Z34" s="1355" t="str">
        <f t="shared" si="13"/>
        <v>土地级别</v>
      </c>
      <c r="AA34" s="1352">
        <f t="shared" si="3"/>
        <v>0.96153846153846156</v>
      </c>
      <c r="AB34" s="1352">
        <f t="shared" si="4"/>
        <v>0.98039215686274506</v>
      </c>
      <c r="AC34" s="1352">
        <f t="shared" si="5"/>
        <v>0.98039215686274506</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5"/>
      <c r="Q35" s="1351">
        <f t="shared" si="8"/>
        <v>111</v>
      </c>
      <c r="R35" s="705" t="s">
        <v>14</v>
      </c>
      <c r="S35" s="706">
        <f t="shared" si="10"/>
        <v>100</v>
      </c>
      <c r="T35" s="705" t="s">
        <v>14</v>
      </c>
      <c r="U35" s="706">
        <f t="shared" si="11"/>
        <v>100</v>
      </c>
      <c r="V35" s="705" t="s">
        <v>14</v>
      </c>
      <c r="W35" s="706">
        <f t="shared" si="12"/>
        <v>100</v>
      </c>
      <c r="X35" s="1354"/>
      <c r="Y35" s="3665"/>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8" t="s">
        <v>1696</v>
      </c>
      <c r="Q36" s="1351">
        <f t="shared" si="8"/>
        <v>111</v>
      </c>
      <c r="R36" s="705" t="s">
        <v>14</v>
      </c>
      <c r="S36" s="706">
        <f t="shared" si="10"/>
        <v>100</v>
      </c>
      <c r="T36" s="705" t="s">
        <v>14</v>
      </c>
      <c r="U36" s="706">
        <f t="shared" si="11"/>
        <v>100</v>
      </c>
      <c r="V36" s="705" t="s">
        <v>14</v>
      </c>
      <c r="W36" s="706">
        <f t="shared" si="12"/>
        <v>100</v>
      </c>
      <c r="X36" s="1354"/>
      <c r="Y36" s="3669"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69"/>
      <c r="Q37" s="1351">
        <f t="shared" si="8"/>
        <v>111</v>
      </c>
      <c r="R37" s="708" t="s">
        <v>14</v>
      </c>
      <c r="S37" s="709">
        <f t="shared" si="10"/>
        <v>100</v>
      </c>
      <c r="T37" s="708" t="s">
        <v>14</v>
      </c>
      <c r="U37" s="709">
        <f t="shared" si="11"/>
        <v>100</v>
      </c>
      <c r="V37" s="708" t="s">
        <v>14</v>
      </c>
      <c r="W37" s="709">
        <f t="shared" si="12"/>
        <v>100</v>
      </c>
      <c r="X37" s="710"/>
      <c r="Y37" s="3669"/>
      <c r="Z37" s="711">
        <f t="shared" si="13"/>
        <v>111</v>
      </c>
      <c r="AA37" s="1352">
        <f t="shared" si="3"/>
        <v>1</v>
      </c>
      <c r="AB37" s="1352">
        <f t="shared" si="4"/>
        <v>1</v>
      </c>
      <c r="AC37" s="1352">
        <f t="shared" si="5"/>
        <v>1</v>
      </c>
    </row>
    <row r="38" spans="1:29" ht="15">
      <c r="A38" s="423" t="s">
        <v>1694</v>
      </c>
      <c r="B38" s="407" t="s">
        <v>1874</v>
      </c>
      <c r="C38" s="627">
        <f>'数据-汇总表'!D3</f>
        <v>527.48</v>
      </c>
      <c r="D38" s="418">
        <v>100</v>
      </c>
      <c r="E38" s="627">
        <f>土地案例!D2</f>
        <v>15459.22</v>
      </c>
      <c r="F38" s="418">
        <f>LOOKUP(E38,116:116,117:117)-LOOKUP(C38,116:116,117:117)+100</f>
        <v>100</v>
      </c>
      <c r="G38" s="627">
        <f>土地案例!D6</f>
        <v>5500.65</v>
      </c>
      <c r="H38" s="418">
        <f>LOOKUP(G38,116:116,117:117)-LOOKUP(C38,116:116,117:117)+100</f>
        <v>100</v>
      </c>
      <c r="I38" s="479">
        <f>土地案例!D32</f>
        <v>17147.95</v>
      </c>
      <c r="J38" s="418">
        <f>LOOKUP(I38,116:116,117:117)-LOOKUP(C38,116:116,117:117)+100</f>
        <v>100</v>
      </c>
      <c r="K38" s="562"/>
      <c r="L38" s="2720"/>
      <c r="M38" s="2714"/>
      <c r="N38" s="2714"/>
      <c r="O38" s="2772"/>
      <c r="P38" s="3669"/>
      <c r="Q38" s="1351" t="str">
        <f>B38</f>
        <v>宗地面积</v>
      </c>
      <c r="R38" s="705" t="s">
        <v>14</v>
      </c>
      <c r="S38" s="706">
        <f t="shared" si="10"/>
        <v>100</v>
      </c>
      <c r="T38" s="705" t="s">
        <v>14</v>
      </c>
      <c r="U38" s="706">
        <f t="shared" si="11"/>
        <v>100</v>
      </c>
      <c r="V38" s="705" t="s">
        <v>14</v>
      </c>
      <c r="W38" s="706">
        <f t="shared" si="12"/>
        <v>100</v>
      </c>
      <c r="X38" s="1354"/>
      <c r="Y38" s="3669"/>
      <c r="Z38" s="1355" t="str">
        <f t="shared" si="13"/>
        <v>宗地面积</v>
      </c>
      <c r="AA38" s="1352">
        <f t="shared" si="3"/>
        <v>1</v>
      </c>
      <c r="AB38" s="1352">
        <f t="shared" si="4"/>
        <v>1</v>
      </c>
      <c r="AC38" s="1352">
        <f t="shared" si="5"/>
        <v>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669"/>
      <c r="Q39" s="1351" t="str">
        <f t="shared" ref="Q39:Q45" si="14">B39</f>
        <v>宗地形状</v>
      </c>
      <c r="R39" s="705" t="s">
        <v>14</v>
      </c>
      <c r="S39" s="706">
        <f t="shared" si="10"/>
        <v>100</v>
      </c>
      <c r="T39" s="705" t="s">
        <v>14</v>
      </c>
      <c r="U39" s="706">
        <f t="shared" si="11"/>
        <v>100</v>
      </c>
      <c r="V39" s="705" t="s">
        <v>14</v>
      </c>
      <c r="W39" s="706">
        <f t="shared" si="12"/>
        <v>100</v>
      </c>
      <c r="X39" s="1354"/>
      <c r="Y39" s="366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669"/>
      <c r="Q40" s="1351" t="str">
        <f t="shared" si="14"/>
        <v>临街宽度及深度</v>
      </c>
      <c r="R40" s="705" t="s">
        <v>14</v>
      </c>
      <c r="S40" s="706">
        <f t="shared" si="10"/>
        <v>100</v>
      </c>
      <c r="T40" s="705" t="s">
        <v>14</v>
      </c>
      <c r="U40" s="706">
        <f t="shared" si="11"/>
        <v>100</v>
      </c>
      <c r="V40" s="705" t="s">
        <v>14</v>
      </c>
      <c r="W40" s="706">
        <f t="shared" si="12"/>
        <v>100</v>
      </c>
      <c r="X40" s="1354"/>
      <c r="Y40" s="3669"/>
      <c r="Z40" s="1355" t="str">
        <f t="shared" si="13"/>
        <v>临街宽度及深度</v>
      </c>
      <c r="AA40" s="1352">
        <f t="shared" si="3"/>
        <v>1</v>
      </c>
      <c r="AB40" s="1352">
        <f t="shared" si="4"/>
        <v>1</v>
      </c>
      <c r="AC40" s="1352">
        <f t="shared" si="5"/>
        <v>1</v>
      </c>
    </row>
    <row r="41" spans="1:29" s="108" customFormat="1" ht="15">
      <c r="A41" s="424"/>
      <c r="B41" s="375" t="s">
        <v>1877</v>
      </c>
      <c r="C41" s="3461" t="s">
        <v>3592</v>
      </c>
      <c r="D41" s="127">
        <v>100</v>
      </c>
      <c r="E41" s="1979" t="str">
        <f>土地案例!S2</f>
        <v>三通</v>
      </c>
      <c r="F41" s="386">
        <f>SUMIF(122:122,E41,123:123)-SUMIF(122:122,C41,123:123)+100</f>
        <v>96</v>
      </c>
      <c r="G41" s="1979" t="str">
        <f>土地案例!S6</f>
        <v>三通</v>
      </c>
      <c r="H41" s="386">
        <f>SUMIF(122:122,G41,123:123)-SUMIF(122:122,C41,123:123)+100</f>
        <v>96</v>
      </c>
      <c r="I41" s="1979" t="str">
        <f>土地案例!S32</f>
        <v>六通</v>
      </c>
      <c r="J41" s="386">
        <f>SUMIF(122:122,I41,123:123)-SUMIF(122:122,C41,123:123)+100</f>
        <v>102</v>
      </c>
      <c r="K41" s="561">
        <v>2</v>
      </c>
      <c r="L41" s="2715"/>
      <c r="M41" s="2716"/>
      <c r="N41" s="2716"/>
      <c r="O41" s="2770"/>
      <c r="P41" s="3669"/>
      <c r="Q41" s="1351" t="str">
        <f t="shared" si="14"/>
        <v>宗地开发程度</v>
      </c>
      <c r="R41" s="701" t="s">
        <v>14</v>
      </c>
      <c r="S41" s="702">
        <f t="shared" si="10"/>
        <v>96</v>
      </c>
      <c r="T41" s="701" t="s">
        <v>14</v>
      </c>
      <c r="U41" s="702">
        <f t="shared" si="11"/>
        <v>96</v>
      </c>
      <c r="V41" s="701" t="s">
        <v>14</v>
      </c>
      <c r="W41" s="702">
        <f t="shared" si="12"/>
        <v>102</v>
      </c>
      <c r="X41" s="703"/>
      <c r="Y41" s="3669"/>
      <c r="Z41" s="52" t="str">
        <f t="shared" si="13"/>
        <v>宗地开发程度</v>
      </c>
      <c r="AA41" s="704">
        <f t="shared" si="3"/>
        <v>1.0416666666666667</v>
      </c>
      <c r="AB41" s="704">
        <f t="shared" si="4"/>
        <v>1.0416666666666667</v>
      </c>
      <c r="AC41" s="704">
        <f t="shared" si="5"/>
        <v>0.98039215686274506</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669" t="s">
        <v>1696</v>
      </c>
      <c r="Q42" s="1351" t="str">
        <f t="shared" si="14"/>
        <v>工程地质条件</v>
      </c>
      <c r="R42" s="705" t="s">
        <v>14</v>
      </c>
      <c r="S42" s="706">
        <f t="shared" si="10"/>
        <v>100</v>
      </c>
      <c r="T42" s="705" t="s">
        <v>14</v>
      </c>
      <c r="U42" s="706">
        <f t="shared" si="11"/>
        <v>100</v>
      </c>
      <c r="V42" s="705" t="s">
        <v>14</v>
      </c>
      <c r="W42" s="706">
        <f t="shared" si="12"/>
        <v>100</v>
      </c>
      <c r="X42" s="1354"/>
      <c r="Y42" s="3669"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69"/>
      <c r="Q43" s="1351">
        <f t="shared" si="14"/>
        <v>111</v>
      </c>
      <c r="R43" s="705" t="s">
        <v>14</v>
      </c>
      <c r="S43" s="706">
        <f t="shared" si="10"/>
        <v>100</v>
      </c>
      <c r="T43" s="705" t="s">
        <v>14</v>
      </c>
      <c r="U43" s="706">
        <f t="shared" si="11"/>
        <v>100</v>
      </c>
      <c r="V43" s="705" t="s">
        <v>14</v>
      </c>
      <c r="W43" s="706">
        <f t="shared" si="12"/>
        <v>100</v>
      </c>
      <c r="X43" s="1354"/>
      <c r="Y43" s="3669"/>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69"/>
      <c r="Q44" s="1351">
        <f t="shared" si="14"/>
        <v>111</v>
      </c>
      <c r="R44" s="705" t="s">
        <v>14</v>
      </c>
      <c r="S44" s="706">
        <f t="shared" si="10"/>
        <v>100</v>
      </c>
      <c r="T44" s="705" t="s">
        <v>14</v>
      </c>
      <c r="U44" s="706">
        <f t="shared" si="11"/>
        <v>100</v>
      </c>
      <c r="V44" s="705" t="s">
        <v>14</v>
      </c>
      <c r="W44" s="706">
        <f t="shared" si="12"/>
        <v>100</v>
      </c>
      <c r="X44" s="1354"/>
      <c r="Y44" s="3669"/>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69"/>
      <c r="Q45" s="1351">
        <f t="shared" si="14"/>
        <v>111</v>
      </c>
      <c r="R45" s="708" t="s">
        <v>14</v>
      </c>
      <c r="S45" s="709">
        <f t="shared" si="10"/>
        <v>100</v>
      </c>
      <c r="T45" s="708" t="s">
        <v>14</v>
      </c>
      <c r="U45" s="709">
        <f t="shared" si="11"/>
        <v>100</v>
      </c>
      <c r="V45" s="708" t="s">
        <v>14</v>
      </c>
      <c r="W45" s="709">
        <f t="shared" si="12"/>
        <v>100</v>
      </c>
      <c r="X45" s="710"/>
      <c r="Y45" s="3669"/>
      <c r="Z45" s="711">
        <f t="shared" si="13"/>
        <v>111</v>
      </c>
      <c r="AA45" s="1352">
        <f t="shared" si="3"/>
        <v>1</v>
      </c>
      <c r="AB45" s="1352">
        <f t="shared" si="4"/>
        <v>1</v>
      </c>
      <c r="AC45" s="1352">
        <f t="shared" si="5"/>
        <v>1</v>
      </c>
    </row>
    <row r="46" spans="1:29" ht="15">
      <c r="A46" s="430" t="s">
        <v>1844</v>
      </c>
      <c r="B46" s="1981" t="s">
        <v>1879</v>
      </c>
      <c r="C46" s="630" t="s">
        <v>0</v>
      </c>
      <c r="D46" s="432"/>
      <c r="E46" s="433">
        <v>10095</v>
      </c>
      <c r="F46" s="434"/>
      <c r="G46" s="435">
        <v>11038</v>
      </c>
      <c r="H46" s="436"/>
      <c r="I46" s="433">
        <v>13018</v>
      </c>
      <c r="J46" s="436"/>
      <c r="K46" s="714"/>
      <c r="L46" s="2722"/>
      <c r="M46" s="2723"/>
      <c r="N46" s="2714"/>
      <c r="O46" s="2723"/>
      <c r="P46" s="3657" t="str">
        <f>A46</f>
        <v>成交单价</v>
      </c>
      <c r="Q46" s="3657"/>
      <c r="R46" s="3691">
        <f>E46</f>
        <v>10095</v>
      </c>
      <c r="S46" s="3691"/>
      <c r="T46" s="3691">
        <f>G46</f>
        <v>11038</v>
      </c>
      <c r="U46" s="3691"/>
      <c r="V46" s="3691">
        <f>I46</f>
        <v>13018</v>
      </c>
      <c r="W46" s="3691"/>
      <c r="X46" s="690"/>
      <c r="Y46" s="712"/>
      <c r="Z46" s="690"/>
      <c r="AA46" s="690"/>
      <c r="AB46" s="690"/>
      <c r="AC46" s="690"/>
    </row>
    <row r="47" spans="1:29" ht="15.75" thickBot="1">
      <c r="A47" s="437" t="s">
        <v>1793</v>
      </c>
      <c r="B47" s="631"/>
      <c r="C47" s="440">
        <f>R48</f>
        <v>8921</v>
      </c>
      <c r="D47" s="2316" t="s">
        <v>2138</v>
      </c>
      <c r="E47" s="440">
        <f>R47</f>
        <v>7672</v>
      </c>
      <c r="F47" s="2317"/>
      <c r="G47" s="439">
        <f>T47</f>
        <v>8851</v>
      </c>
      <c r="H47" s="2317"/>
      <c r="I47" s="440">
        <f>V47</f>
        <v>10240</v>
      </c>
      <c r="J47" s="2317"/>
      <c r="K47" s="2319">
        <f>F47+H47+J47</f>
        <v>0</v>
      </c>
      <c r="L47" s="2722"/>
      <c r="M47" s="2723"/>
      <c r="N47" s="2723"/>
      <c r="O47" s="2723"/>
      <c r="P47" s="3657" t="str">
        <f>A47</f>
        <v>比较价值（元/平方米）</v>
      </c>
      <c r="Q47" s="3657"/>
      <c r="R47" s="3750">
        <f>ROUND(PRODUCT(R46,AA7:AA45),0)</f>
        <v>7672</v>
      </c>
      <c r="S47" s="3750"/>
      <c r="T47" s="3750">
        <f>ROUND(PRODUCT(T46,AB7:AB45),0)</f>
        <v>8851</v>
      </c>
      <c r="U47" s="3750"/>
      <c r="V47" s="3750">
        <f>ROUND(PRODUCT(V46,AC7:AC45),0)</f>
        <v>10240</v>
      </c>
      <c r="W47" s="3750"/>
      <c r="X47" s="690"/>
      <c r="Y47" s="690"/>
      <c r="Z47" s="690"/>
      <c r="AA47" s="690"/>
      <c r="AB47" s="690"/>
      <c r="AC47" s="690"/>
    </row>
    <row r="48" spans="1:29" ht="15.75" thickBot="1">
      <c r="A48" s="441" t="s">
        <v>1880</v>
      </c>
      <c r="B48" s="442"/>
      <c r="C48" s="443">
        <f>R48</f>
        <v>8921</v>
      </c>
      <c r="D48" s="443"/>
      <c r="E48" s="443"/>
      <c r="F48" s="443"/>
      <c r="G48" s="443"/>
      <c r="H48" s="443"/>
      <c r="I48" s="443"/>
      <c r="J48" s="443"/>
      <c r="K48" s="715"/>
      <c r="L48" s="2722"/>
      <c r="M48" s="2723"/>
      <c r="N48" s="2723"/>
      <c r="O48" s="2723"/>
      <c r="P48" s="3737" t="str">
        <f>A48</f>
        <v>估价对象XX用房的比较价值（楼面单价，元/平方米）</v>
      </c>
      <c r="Q48" s="3738"/>
      <c r="R48" s="3751">
        <f>ROUND(IF(D47="简单平均",AVERAGE(R47:W47),R47*F47+T47*H47+V47*J47),0)</f>
        <v>8921</v>
      </c>
      <c r="S48" s="3751"/>
      <c r="T48" s="3751"/>
      <c r="U48" s="3751"/>
      <c r="V48" s="3751"/>
      <c r="W48" s="3751"/>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f>IF(E46&lt;E47,E47/E46-1,E46/E47-1)</f>
        <v>0.3158237747653807</v>
      </c>
      <c r="F51" s="449" t="str">
        <f>IF(OR(E51&gt;=0.3,E51&lt;=-0.3),"超过30%","")</f>
        <v>超过30%</v>
      </c>
      <c r="G51" s="448">
        <f>IF(G46&lt;G47,G47/G46-1,G46/G47-1)</f>
        <v>0.24709072421195355</v>
      </c>
      <c r="H51" s="449" t="str">
        <f>IF(OR(G51&gt;=0.3,G51&lt;=-0.3),"超过30%","")</f>
        <v/>
      </c>
      <c r="I51" s="448">
        <f>IF(I46&lt;I47,I47/I46-1,I46/I47-1)</f>
        <v>0.27128906249999996</v>
      </c>
      <c r="J51" s="449" t="str">
        <f>IF(OR(I51&gt;=0.3,I51&lt;=-0.3),"超过30%","")</f>
        <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f>IF(E47&lt;G47,G47/E47-1,E47/G47-1)</f>
        <v>0.15367570385818552</v>
      </c>
      <c r="F52" s="449" t="str">
        <f>IF(OR(E52&gt;=0.2,E52&lt;=-0.2),"超过20%","")</f>
        <v/>
      </c>
      <c r="G52" s="448">
        <f>IF(G47&lt;I47,I47/G47-1,G47/I47-1)</f>
        <v>0.15693142017851081</v>
      </c>
      <c r="H52" s="449" t="str">
        <f>IF(OR(G52&gt;=0.2,G52&lt;=-0.2),"超过20%","")</f>
        <v/>
      </c>
      <c r="I52" s="448">
        <f>IF(I47&lt;E47,E47/I47-1,I47/E47-1)</f>
        <v>0.33472367049009377</v>
      </c>
      <c r="J52" s="449" t="str">
        <f>IF(OR(I52&gt;=0.2,I52&lt;=-0.2),"超过20%","")</f>
        <v>超过20%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f>IF(E46&lt;G46,G46/E46-1,E46/G46-1)</f>
        <v>9.3412580485388697E-2</v>
      </c>
      <c r="F53" s="449" t="str">
        <f>IF(OR(E53&gt;=0.3,E53&lt;=-0.3),"超过30%","")</f>
        <v/>
      </c>
      <c r="G53" s="448">
        <f>IF(G46&lt;I46,I46/G46-1,G46/I46-1)</f>
        <v>0.17938032252219616</v>
      </c>
      <c r="H53" s="449" t="str">
        <f>IF(OR(G53&gt;=0.3,G53&lt;=-0.3),"超过30%","")</f>
        <v/>
      </c>
      <c r="I53" s="448">
        <f>IF(I46&lt;E46,E46/I46-1,I46/E46-1)</f>
        <v>0.28954928182268458</v>
      </c>
      <c r="J53" s="449" t="str">
        <f>IF(OR(I53&gt;=0.3,I53&lt;=-0.3),"超过30%","")</f>
        <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674" t="s">
        <v>1887</v>
      </c>
      <c r="H55" s="3752"/>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f>C48</f>
        <v>8921</v>
      </c>
      <c r="C56" s="638">
        <v>1</v>
      </c>
      <c r="D56" s="944">
        <v>1</v>
      </c>
      <c r="E56" s="638">
        <f>'数据-汇总表'!E8+'数据-汇总表'!E9</f>
        <v>1216.8699999999999</v>
      </c>
      <c r="F56" s="886">
        <f t="shared" ref="F56:F64" si="15">ROUND(B56*E56/10000,0)</f>
        <v>1086</v>
      </c>
      <c r="G56" s="3656"/>
      <c r="H56" s="3657"/>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f>ROUND($C$48*C57*D57,0)</f>
        <v>1338</v>
      </c>
      <c r="C57" s="171">
        <f t="shared" ref="C57:C64" si="16">IF($C$55="北京市系数",I57,J57)</f>
        <v>0.6</v>
      </c>
      <c r="D57" s="945">
        <v>0.25</v>
      </c>
      <c r="E57" s="642"/>
      <c r="F57" s="886">
        <f t="shared" si="15"/>
        <v>0</v>
      </c>
      <c r="G57" s="3004" t="s">
        <v>1892</v>
      </c>
      <c r="H57" s="887" t="str">
        <f>项目基本情况!B37</f>
        <v>七级</v>
      </c>
      <c r="I57" s="891">
        <f>SUMIF(修正!A57:A68,H57,修正!B57:B68)</f>
        <v>0.6</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f t="shared" ref="B58:B64" si="17">ROUND($C$48*C58*D58,0)</f>
        <v>669</v>
      </c>
      <c r="C58" s="171">
        <f t="shared" si="16"/>
        <v>0.3</v>
      </c>
      <c r="D58" s="945">
        <v>0.25</v>
      </c>
      <c r="E58" s="642"/>
      <c r="F58" s="886">
        <f t="shared" si="15"/>
        <v>0</v>
      </c>
      <c r="G58" s="3005"/>
      <c r="H58" s="887" t="str">
        <f>项目基本情况!B37</f>
        <v>七级</v>
      </c>
      <c r="I58" s="891">
        <f>SUMIF(修正!A57:A68,H58,修正!C57:C68)</f>
        <v>0.3</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f t="shared" si="17"/>
        <v>558</v>
      </c>
      <c r="C59" s="171">
        <f t="shared" si="16"/>
        <v>0.25</v>
      </c>
      <c r="D59" s="945">
        <v>0.25</v>
      </c>
      <c r="E59" s="642"/>
      <c r="F59" s="886">
        <f t="shared" si="15"/>
        <v>0</v>
      </c>
      <c r="G59" s="3005"/>
      <c r="H59" s="887" t="str">
        <f>项目基本情况!B37</f>
        <v>七级</v>
      </c>
      <c r="I59" s="891">
        <f>SUMIF(修正!A57:A68,H59,修正!D57:D68)</f>
        <v>0.25</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f t="shared" si="17"/>
        <v>558</v>
      </c>
      <c r="C60" s="171">
        <f t="shared" si="16"/>
        <v>0.25</v>
      </c>
      <c r="D60" s="945">
        <v>0.25</v>
      </c>
      <c r="E60" s="217">
        <f>'数据-汇总表'!E11</f>
        <v>0</v>
      </c>
      <c r="F60" s="886">
        <f t="shared" si="15"/>
        <v>0</v>
      </c>
      <c r="G60" s="1986" t="s">
        <v>1896</v>
      </c>
      <c r="H60" s="887" t="str">
        <f>项目基本情况!C37</f>
        <v>七级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f t="shared" si="17"/>
        <v>558</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七级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f t="shared" si="17"/>
        <v>0</v>
      </c>
      <c r="C62" s="171">
        <f t="shared" si="16"/>
        <v>0</v>
      </c>
      <c r="D62" s="945">
        <v>0.25</v>
      </c>
      <c r="E62" s="217">
        <f>'数据-汇总表'!E13</f>
        <v>0</v>
      </c>
      <c r="F62" s="886">
        <f t="shared" si="15"/>
        <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f t="shared" si="17"/>
        <v>335</v>
      </c>
      <c r="C63" s="171">
        <f t="shared" si="16"/>
        <v>0.15</v>
      </c>
      <c r="D63" s="945">
        <v>0.25</v>
      </c>
      <c r="E63" s="217">
        <f>'数据-汇总表'!E14</f>
        <v>0</v>
      </c>
      <c r="F63" s="886">
        <f t="shared" si="15"/>
        <v>0</v>
      </c>
      <c r="G63" s="1986" t="s">
        <v>1892</v>
      </c>
      <c r="H63" s="887" t="str">
        <f>项目基本情况!B37</f>
        <v>七级</v>
      </c>
      <c r="I63" s="891">
        <f>SUMIF(修正!A57:A68,H63,修正!G57:G68)</f>
        <v>0.15</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f t="shared" si="17"/>
        <v>335</v>
      </c>
      <c r="C64" s="171">
        <f t="shared" si="16"/>
        <v>0.15</v>
      </c>
      <c r="D64" s="945">
        <v>0.25</v>
      </c>
      <c r="E64" s="217">
        <f>'数据-汇总表'!E15</f>
        <v>0</v>
      </c>
      <c r="F64" s="886">
        <f t="shared" si="15"/>
        <v>0</v>
      </c>
      <c r="G64" s="1987" t="s">
        <v>1896</v>
      </c>
      <c r="H64" s="897" t="str">
        <f>项目基本情况!C37</f>
        <v>七级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1216.8699999999999</v>
      </c>
      <c r="F65" s="645">
        <f>IF(B46="楼面地价",SUM(F56:F64),ROUND(C48*E65/10000,0))</f>
        <v>1086</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v>0</v>
      </c>
      <c r="D79" s="498">
        <v>1</v>
      </c>
      <c r="E79" s="498">
        <v>2</v>
      </c>
      <c r="F79" s="498">
        <v>3</v>
      </c>
      <c r="G79" s="498">
        <v>4</v>
      </c>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97</v>
      </c>
      <c r="E92" s="493">
        <f>D92-$K19</f>
        <v>94</v>
      </c>
      <c r="F92" s="493">
        <f>E92-$K19</f>
        <v>91</v>
      </c>
      <c r="G92" s="493">
        <f>F92-$K19</f>
        <v>88</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98</v>
      </c>
      <c r="E94" s="493">
        <f>D94-$K21</f>
        <v>96</v>
      </c>
      <c r="F94" s="493">
        <f>E94-$K21</f>
        <v>94</v>
      </c>
      <c r="G94" s="493">
        <f>F94-$K21</f>
        <v>92</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3462" t="s">
        <v>3593</v>
      </c>
      <c r="D107" s="3462" t="s">
        <v>3594</v>
      </c>
      <c r="E107" s="3462" t="s">
        <v>3595</v>
      </c>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98</v>
      </c>
      <c r="E108" s="493">
        <f t="shared" si="24"/>
        <v>96</v>
      </c>
      <c r="F108" s="493">
        <f t="shared" si="24"/>
        <v>94</v>
      </c>
      <c r="G108" s="493">
        <f t="shared" si="24"/>
        <v>92</v>
      </c>
      <c r="H108" s="493">
        <f t="shared" si="24"/>
        <v>90</v>
      </c>
      <c r="I108" s="493">
        <f t="shared" si="24"/>
        <v>88</v>
      </c>
      <c r="J108" s="493">
        <f t="shared" si="24"/>
        <v>86</v>
      </c>
      <c r="K108" s="493">
        <f t="shared" si="24"/>
        <v>84</v>
      </c>
      <c r="L108" s="493">
        <f t="shared" si="24"/>
        <v>82</v>
      </c>
      <c r="M108" s="493">
        <f t="shared" si="24"/>
        <v>80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28.5">
      <c r="A115" s="476" t="s">
        <v>1694</v>
      </c>
      <c r="B115" s="477" t="s">
        <v>1913</v>
      </c>
      <c r="C115" s="478" t="str">
        <f>C116&amp;"(含)"&amp;"-"&amp;D116</f>
        <v>0(含)-10000</v>
      </c>
      <c r="D115" s="478" t="str">
        <f t="shared" ref="D115:M115" si="25">D116&amp;"(含)"&amp;"-"&amp;E116</f>
        <v>10000(含)-20000</v>
      </c>
      <c r="E115" s="478" t="str">
        <f t="shared" si="25"/>
        <v>20000(含)-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v>0</v>
      </c>
      <c r="D116" s="544">
        <v>10000</v>
      </c>
      <c r="E116" s="544">
        <v>20000</v>
      </c>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3463" t="s">
        <v>3596</v>
      </c>
      <c r="D122" s="3463" t="s">
        <v>3597</v>
      </c>
      <c r="E122" s="3463" t="s">
        <v>3592</v>
      </c>
      <c r="F122" s="3463" t="s">
        <v>3598</v>
      </c>
      <c r="G122" s="3463" t="s">
        <v>3599</v>
      </c>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741" t="s">
        <v>1775</v>
      </c>
      <c r="Q4" s="3742"/>
      <c r="R4" s="3745" t="s">
        <v>1771</v>
      </c>
      <c r="S4" s="3746"/>
      <c r="T4" s="3745" t="s">
        <v>1772</v>
      </c>
      <c r="U4" s="3746"/>
      <c r="V4" s="3691" t="s">
        <v>1773</v>
      </c>
      <c r="W4" s="3691"/>
      <c r="X4" s="1354"/>
      <c r="Y4" s="3745" t="s">
        <v>1775</v>
      </c>
      <c r="Z4" s="3746"/>
      <c r="AA4" s="3740" t="s">
        <v>1771</v>
      </c>
      <c r="AB4" s="3704" t="s">
        <v>1772</v>
      </c>
      <c r="AC4" s="3740" t="s">
        <v>1773</v>
      </c>
    </row>
    <row r="5" spans="1:29" ht="15">
      <c r="A5" s="358"/>
      <c r="B5" s="359"/>
      <c r="C5" s="3700" t="s">
        <v>1673</v>
      </c>
      <c r="D5" s="3695"/>
      <c r="E5" s="3747" t="s">
        <v>1674</v>
      </c>
      <c r="F5" s="3707"/>
      <c r="G5" s="3700" t="s">
        <v>1675</v>
      </c>
      <c r="H5" s="3695"/>
      <c r="I5" s="3700" t="s">
        <v>1676</v>
      </c>
      <c r="J5" s="3695"/>
      <c r="K5" s="559"/>
      <c r="L5" s="2713"/>
      <c r="M5" s="2714"/>
      <c r="N5" s="2714"/>
      <c r="O5" s="2714"/>
      <c r="P5" s="3743"/>
      <c r="Q5" s="3681"/>
      <c r="R5" s="3686"/>
      <c r="S5" s="3687"/>
      <c r="T5" s="3686"/>
      <c r="U5" s="3687"/>
      <c r="V5" s="3691"/>
      <c r="W5" s="3691"/>
      <c r="X5" s="1354"/>
      <c r="Y5" s="3686"/>
      <c r="Z5" s="3687"/>
      <c r="AA5" s="3704"/>
      <c r="AB5" s="3704"/>
      <c r="AC5" s="3704"/>
    </row>
    <row r="6" spans="1:29" ht="15.75" thickBot="1">
      <c r="A6" s="360"/>
      <c r="B6" s="361"/>
      <c r="C6" s="3753" t="s">
        <v>1919</v>
      </c>
      <c r="D6" s="3754"/>
      <c r="E6" s="3755" t="s">
        <v>1919</v>
      </c>
      <c r="F6" s="3756"/>
      <c r="G6" s="3753" t="s">
        <v>1919</v>
      </c>
      <c r="H6" s="3754"/>
      <c r="I6" s="3753" t="s">
        <v>1919</v>
      </c>
      <c r="J6" s="3754"/>
      <c r="K6" s="559" t="s">
        <v>1678</v>
      </c>
      <c r="L6" s="2713"/>
      <c r="M6" s="2714"/>
      <c r="N6" s="2714"/>
      <c r="O6" s="2714"/>
      <c r="P6" s="3744"/>
      <c r="Q6" s="3683"/>
      <c r="R6" s="3686"/>
      <c r="S6" s="3687"/>
      <c r="T6" s="3688"/>
      <c r="U6" s="3689"/>
      <c r="V6" s="3691"/>
      <c r="W6" s="3691"/>
      <c r="X6" s="1354"/>
      <c r="Y6" s="3688"/>
      <c r="Z6" s="3689"/>
      <c r="AA6" s="3705"/>
      <c r="AB6" s="3705"/>
      <c r="AC6" s="3705"/>
    </row>
    <row r="7" spans="1:29" s="108" customFormat="1" ht="15.75" thickBot="1">
      <c r="A7" s="362" t="s">
        <v>1679</v>
      </c>
      <c r="B7" s="363"/>
      <c r="C7" s="364">
        <f>'数据-取费表'!B2</f>
        <v>45127</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98" t="s">
        <v>1680</v>
      </c>
      <c r="Q7" s="3699"/>
      <c r="R7" s="701" t="s">
        <v>14</v>
      </c>
      <c r="S7" s="702">
        <f t="shared" ref="S7:S15" si="0">F7</f>
        <v>0</v>
      </c>
      <c r="T7" s="701" t="s">
        <v>14</v>
      </c>
      <c r="U7" s="702">
        <f t="shared" ref="U7:U15" si="1">H7</f>
        <v>0</v>
      </c>
      <c r="V7" s="701" t="s">
        <v>14</v>
      </c>
      <c r="W7" s="702">
        <f t="shared" ref="W7:W15" si="2">J7</f>
        <v>0</v>
      </c>
      <c r="X7" s="703"/>
      <c r="Y7" s="3698" t="s">
        <v>1680</v>
      </c>
      <c r="Z7" s="369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8" t="s">
        <v>1683</v>
      </c>
      <c r="Q8" s="3697"/>
      <c r="R8" s="701" t="s">
        <v>14</v>
      </c>
      <c r="S8" s="702">
        <f t="shared" si="0"/>
        <v>0</v>
      </c>
      <c r="T8" s="701" t="s">
        <v>14</v>
      </c>
      <c r="U8" s="702">
        <f t="shared" si="1"/>
        <v>0</v>
      </c>
      <c r="V8" s="701" t="s">
        <v>14</v>
      </c>
      <c r="W8" s="702">
        <f t="shared" si="2"/>
        <v>0</v>
      </c>
      <c r="X8" s="703"/>
      <c r="Y8" s="3698" t="s">
        <v>1683</v>
      </c>
      <c r="Z8" s="3697"/>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57"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7"/>
      <c r="M10" s="2718"/>
      <c r="N10" s="2718"/>
      <c r="O10" s="2771"/>
      <c r="P10" s="3657"/>
      <c r="Q10" s="1342" t="str">
        <f t="shared" si="6"/>
        <v>土地使用年限（年）</v>
      </c>
      <c r="R10" s="701" t="s">
        <v>14</v>
      </c>
      <c r="S10" s="702">
        <f t="shared" si="0"/>
        <v>128</v>
      </c>
      <c r="T10" s="701" t="s">
        <v>14</v>
      </c>
      <c r="U10" s="702">
        <f t="shared" si="1"/>
        <v>128</v>
      </c>
      <c r="V10" s="701" t="s">
        <v>14</v>
      </c>
      <c r="W10" s="702">
        <f t="shared" si="2"/>
        <v>128</v>
      </c>
      <c r="X10" s="703"/>
      <c r="Y10" s="3563"/>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57"/>
      <c r="Q11" s="1342"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57"/>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57"/>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57"/>
      <c r="Q14" s="1342">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4" t="s">
        <v>1691</v>
      </c>
      <c r="Q15" s="1351" t="str">
        <f t="shared" si="6"/>
        <v>产业集聚程度</v>
      </c>
      <c r="R15" s="705" t="s">
        <v>14</v>
      </c>
      <c r="S15" s="706">
        <f t="shared" si="0"/>
        <v>100</v>
      </c>
      <c r="T15" s="705" t="s">
        <v>14</v>
      </c>
      <c r="U15" s="706">
        <f t="shared" si="1"/>
        <v>100</v>
      </c>
      <c r="V15" s="705" t="s">
        <v>14</v>
      </c>
      <c r="W15" s="706">
        <f t="shared" si="2"/>
        <v>100</v>
      </c>
      <c r="X15" s="1354"/>
      <c r="Y15" s="366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665"/>
      <c r="Q16" s="1351"/>
      <c r="R16" s="705"/>
      <c r="S16" s="706"/>
      <c r="T16" s="705"/>
      <c r="U16" s="706"/>
      <c r="V16" s="705"/>
      <c r="W16" s="706"/>
      <c r="X16" s="1354"/>
      <c r="Y16" s="3665"/>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5"/>
      <c r="Q17" s="1351" t="str">
        <f>B17</f>
        <v>交通便捷度</v>
      </c>
      <c r="R17" s="705" t="s">
        <v>14</v>
      </c>
      <c r="S17" s="706">
        <f>F17</f>
        <v>100</v>
      </c>
      <c r="T17" s="705" t="s">
        <v>14</v>
      </c>
      <c r="U17" s="706">
        <f>H17</f>
        <v>100</v>
      </c>
      <c r="V17" s="705" t="s">
        <v>14</v>
      </c>
      <c r="W17" s="706">
        <f>J17</f>
        <v>100</v>
      </c>
      <c r="X17" s="1354"/>
      <c r="Y17" s="366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665"/>
      <c r="Q18" s="1351"/>
      <c r="R18" s="705"/>
      <c r="S18" s="706"/>
      <c r="T18" s="705"/>
      <c r="U18" s="706"/>
      <c r="V18" s="705"/>
      <c r="W18" s="706"/>
      <c r="X18" s="1354"/>
      <c r="Y18" s="366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5"/>
      <c r="Q19" s="1351" t="str">
        <f t="shared" ref="Q19:Q33" si="8">B19</f>
        <v>区域土地利用方向</v>
      </c>
      <c r="R19" s="705" t="s">
        <v>14</v>
      </c>
      <c r="S19" s="706">
        <f>F19</f>
        <v>100</v>
      </c>
      <c r="T19" s="705" t="s">
        <v>14</v>
      </c>
      <c r="U19" s="706">
        <f>H19</f>
        <v>100</v>
      </c>
      <c r="V19" s="705" t="s">
        <v>14</v>
      </c>
      <c r="W19" s="706">
        <f>J19</f>
        <v>100</v>
      </c>
      <c r="X19" s="1354"/>
      <c r="Y19" s="366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0"/>
      <c r="M20" s="2714"/>
      <c r="N20" s="2714"/>
      <c r="O20" s="2772"/>
      <c r="P20" s="3665"/>
      <c r="Q20" s="1351"/>
      <c r="R20" s="705"/>
      <c r="S20" s="706"/>
      <c r="T20" s="705"/>
      <c r="U20" s="706"/>
      <c r="V20" s="705"/>
      <c r="W20" s="706"/>
      <c r="X20" s="1354"/>
      <c r="Y20" s="3665"/>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5"/>
      <c r="Q21" s="1351" t="str">
        <f t="shared" si="8"/>
        <v>环境状况</v>
      </c>
      <c r="R21" s="705" t="s">
        <v>14</v>
      </c>
      <c r="S21" s="706">
        <f>F21</f>
        <v>100</v>
      </c>
      <c r="T21" s="705" t="s">
        <v>14</v>
      </c>
      <c r="U21" s="706">
        <f>H21</f>
        <v>100</v>
      </c>
      <c r="V21" s="705" t="s">
        <v>14</v>
      </c>
      <c r="W21" s="706">
        <f>J21</f>
        <v>100</v>
      </c>
      <c r="X21" s="1354"/>
      <c r="Y21" s="366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665"/>
      <c r="Q22" s="1351"/>
      <c r="R22" s="705"/>
      <c r="S22" s="706"/>
      <c r="T22" s="705"/>
      <c r="U22" s="706"/>
      <c r="V22" s="705"/>
      <c r="W22" s="706"/>
      <c r="X22" s="1354"/>
      <c r="Y22" s="3665"/>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5"/>
      <c r="Q23" s="1342" t="str">
        <f t="shared" si="8"/>
        <v>公共配套设施</v>
      </c>
      <c r="R23" s="701" t="s">
        <v>14</v>
      </c>
      <c r="S23" s="702">
        <f>F23</f>
        <v>100</v>
      </c>
      <c r="T23" s="701" t="s">
        <v>14</v>
      </c>
      <c r="U23" s="702">
        <f>H23</f>
        <v>100</v>
      </c>
      <c r="V23" s="701" t="s">
        <v>14</v>
      </c>
      <c r="W23" s="702">
        <f>J23</f>
        <v>100</v>
      </c>
      <c r="X23" s="703"/>
      <c r="Y23" s="366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665"/>
      <c r="Q24" s="1342"/>
      <c r="R24" s="701"/>
      <c r="S24" s="702"/>
      <c r="T24" s="701"/>
      <c r="U24" s="702"/>
      <c r="V24" s="701"/>
      <c r="W24" s="702"/>
      <c r="X24" s="703"/>
      <c r="Y24" s="3665"/>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5"/>
      <c r="Q25" s="1342" t="str">
        <f t="shared" ref="Q25" si="9">B25</f>
        <v>基础设施水平</v>
      </c>
      <c r="R25" s="701" t="s">
        <v>14</v>
      </c>
      <c r="S25" s="702">
        <f>F25</f>
        <v>100</v>
      </c>
      <c r="T25" s="701" t="s">
        <v>14</v>
      </c>
      <c r="U25" s="702">
        <f>H25</f>
        <v>100</v>
      </c>
      <c r="V25" s="701" t="s">
        <v>14</v>
      </c>
      <c r="W25" s="702">
        <f>J25</f>
        <v>100</v>
      </c>
      <c r="X25" s="703"/>
      <c r="Y25" s="366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665"/>
      <c r="Q26" s="1342"/>
      <c r="R26" s="701"/>
      <c r="S26" s="702"/>
      <c r="T26" s="701"/>
      <c r="U26" s="702"/>
      <c r="V26" s="701"/>
      <c r="W26" s="702"/>
      <c r="X26" s="703"/>
      <c r="Y26" s="366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5"/>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5"/>
      <c r="Q28" s="1351" t="str">
        <f t="shared" si="8"/>
        <v>毗邻道路的类型与等级</v>
      </c>
      <c r="R28" s="705" t="s">
        <v>14</v>
      </c>
      <c r="S28" s="706">
        <f t="shared" si="10"/>
        <v>100</v>
      </c>
      <c r="T28" s="705" t="s">
        <v>14</v>
      </c>
      <c r="U28" s="706">
        <f t="shared" si="11"/>
        <v>100</v>
      </c>
      <c r="V28" s="705" t="s">
        <v>14</v>
      </c>
      <c r="W28" s="706">
        <f t="shared" si="12"/>
        <v>100</v>
      </c>
      <c r="X28" s="1354"/>
      <c r="Y28" s="366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665"/>
      <c r="Q29" s="1351"/>
      <c r="R29" s="705"/>
      <c r="S29" s="706"/>
      <c r="T29" s="705"/>
      <c r="U29" s="706"/>
      <c r="V29" s="705"/>
      <c r="W29" s="706"/>
      <c r="X29" s="1354"/>
      <c r="Y29" s="3665"/>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5"/>
      <c r="Q30" s="1351" t="str">
        <f t="shared" si="8"/>
        <v>土地级别</v>
      </c>
      <c r="R30" s="705" t="s">
        <v>14</v>
      </c>
      <c r="S30" s="706">
        <f t="shared" si="10"/>
        <v>100</v>
      </c>
      <c r="T30" s="705" t="s">
        <v>14</v>
      </c>
      <c r="U30" s="706">
        <f t="shared" si="11"/>
        <v>100</v>
      </c>
      <c r="V30" s="705" t="s">
        <v>14</v>
      </c>
      <c r="W30" s="706">
        <f t="shared" si="12"/>
        <v>100</v>
      </c>
      <c r="X30" s="1354"/>
      <c r="Y30" s="366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5"/>
      <c r="Q31" s="1351">
        <f t="shared" si="8"/>
        <v>111</v>
      </c>
      <c r="R31" s="705" t="s">
        <v>14</v>
      </c>
      <c r="S31" s="706">
        <f t="shared" si="10"/>
        <v>100</v>
      </c>
      <c r="T31" s="705" t="s">
        <v>14</v>
      </c>
      <c r="U31" s="706">
        <f t="shared" si="11"/>
        <v>100</v>
      </c>
      <c r="V31" s="705" t="s">
        <v>14</v>
      </c>
      <c r="W31" s="706">
        <f t="shared" si="12"/>
        <v>100</v>
      </c>
      <c r="X31" s="1354"/>
      <c r="Y31" s="366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8" t="s">
        <v>1696</v>
      </c>
      <c r="Q32" s="1351">
        <f t="shared" si="8"/>
        <v>111</v>
      </c>
      <c r="R32" s="705" t="s">
        <v>14</v>
      </c>
      <c r="S32" s="706">
        <f t="shared" si="10"/>
        <v>100</v>
      </c>
      <c r="T32" s="705" t="s">
        <v>14</v>
      </c>
      <c r="U32" s="706">
        <f t="shared" si="11"/>
        <v>100</v>
      </c>
      <c r="V32" s="705" t="s">
        <v>14</v>
      </c>
      <c r="W32" s="706">
        <f t="shared" si="12"/>
        <v>100</v>
      </c>
      <c r="X32" s="1354"/>
      <c r="Y32" s="366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69"/>
      <c r="Q33" s="1351">
        <f t="shared" si="8"/>
        <v>111</v>
      </c>
      <c r="R33" s="708" t="s">
        <v>14</v>
      </c>
      <c r="S33" s="709">
        <f t="shared" si="10"/>
        <v>100</v>
      </c>
      <c r="T33" s="708" t="s">
        <v>14</v>
      </c>
      <c r="U33" s="709">
        <f t="shared" si="11"/>
        <v>100</v>
      </c>
      <c r="V33" s="708" t="s">
        <v>14</v>
      </c>
      <c r="W33" s="709">
        <f t="shared" si="12"/>
        <v>100</v>
      </c>
      <c r="X33" s="710"/>
      <c r="Y33" s="3669"/>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69"/>
      <c r="Q34" s="1351" t="str">
        <f>B34</f>
        <v>宗地面积</v>
      </c>
      <c r="R34" s="705" t="s">
        <v>14</v>
      </c>
      <c r="S34" s="706" t="e">
        <f t="shared" si="10"/>
        <v>#N/A</v>
      </c>
      <c r="T34" s="705" t="s">
        <v>14</v>
      </c>
      <c r="U34" s="706" t="e">
        <f t="shared" si="11"/>
        <v>#N/A</v>
      </c>
      <c r="V34" s="705" t="s">
        <v>14</v>
      </c>
      <c r="W34" s="706" t="e">
        <f t="shared" si="12"/>
        <v>#N/A</v>
      </c>
      <c r="X34" s="1354"/>
      <c r="Y34" s="366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669"/>
      <c r="Q35" s="1351" t="str">
        <f t="shared" ref="Q35:Q40" si="14">B35</f>
        <v>宗地形状</v>
      </c>
      <c r="R35" s="705" t="s">
        <v>14</v>
      </c>
      <c r="S35" s="706">
        <f t="shared" si="10"/>
        <v>100</v>
      </c>
      <c r="T35" s="705" t="s">
        <v>14</v>
      </c>
      <c r="U35" s="706">
        <f t="shared" si="11"/>
        <v>100</v>
      </c>
      <c r="V35" s="705" t="s">
        <v>14</v>
      </c>
      <c r="W35" s="706">
        <f t="shared" si="12"/>
        <v>100</v>
      </c>
      <c r="X35" s="1354"/>
      <c r="Y35" s="366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69"/>
      <c r="Q36" s="1351" t="str">
        <f t="shared" si="14"/>
        <v>宗地开发程度</v>
      </c>
      <c r="R36" s="701" t="s">
        <v>14</v>
      </c>
      <c r="S36" s="702">
        <f t="shared" si="10"/>
        <v>100</v>
      </c>
      <c r="T36" s="701" t="s">
        <v>14</v>
      </c>
      <c r="U36" s="702">
        <f t="shared" si="11"/>
        <v>100</v>
      </c>
      <c r="V36" s="701" t="s">
        <v>14</v>
      </c>
      <c r="W36" s="702">
        <f t="shared" si="12"/>
        <v>100</v>
      </c>
      <c r="X36" s="703"/>
      <c r="Y36" s="3669"/>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669" t="s">
        <v>1696</v>
      </c>
      <c r="Q37" s="1351" t="str">
        <f t="shared" si="14"/>
        <v>工程地质条件</v>
      </c>
      <c r="R37" s="705" t="s">
        <v>14</v>
      </c>
      <c r="S37" s="706">
        <f t="shared" si="10"/>
        <v>100</v>
      </c>
      <c r="T37" s="705" t="s">
        <v>14</v>
      </c>
      <c r="U37" s="706">
        <f t="shared" si="11"/>
        <v>100</v>
      </c>
      <c r="V37" s="705" t="s">
        <v>14</v>
      </c>
      <c r="W37" s="706">
        <f t="shared" si="12"/>
        <v>100</v>
      </c>
      <c r="X37" s="1354"/>
      <c r="Y37" s="3669"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69"/>
      <c r="Q38" s="1351">
        <f t="shared" si="14"/>
        <v>111</v>
      </c>
      <c r="R38" s="705" t="s">
        <v>14</v>
      </c>
      <c r="S38" s="706">
        <f t="shared" si="10"/>
        <v>100</v>
      </c>
      <c r="T38" s="705" t="s">
        <v>14</v>
      </c>
      <c r="U38" s="706">
        <f t="shared" si="11"/>
        <v>100</v>
      </c>
      <c r="V38" s="705" t="s">
        <v>14</v>
      </c>
      <c r="W38" s="706">
        <f t="shared" si="12"/>
        <v>100</v>
      </c>
      <c r="X38" s="1354"/>
      <c r="Y38" s="3669"/>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69"/>
      <c r="Q39" s="1351">
        <f t="shared" si="14"/>
        <v>111</v>
      </c>
      <c r="R39" s="705" t="s">
        <v>14</v>
      </c>
      <c r="S39" s="706">
        <f t="shared" si="10"/>
        <v>100</v>
      </c>
      <c r="T39" s="705" t="s">
        <v>14</v>
      </c>
      <c r="U39" s="706">
        <f t="shared" si="11"/>
        <v>100</v>
      </c>
      <c r="V39" s="705" t="s">
        <v>14</v>
      </c>
      <c r="W39" s="706">
        <f t="shared" si="12"/>
        <v>100</v>
      </c>
      <c r="X39" s="1354"/>
      <c r="Y39" s="3669"/>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69"/>
      <c r="Q40" s="1351">
        <f t="shared" si="14"/>
        <v>111</v>
      </c>
      <c r="R40" s="708" t="s">
        <v>14</v>
      </c>
      <c r="S40" s="709">
        <f t="shared" si="10"/>
        <v>100</v>
      </c>
      <c r="T40" s="708" t="s">
        <v>14</v>
      </c>
      <c r="U40" s="709">
        <f t="shared" si="11"/>
        <v>100</v>
      </c>
      <c r="V40" s="708" t="s">
        <v>14</v>
      </c>
      <c r="W40" s="709">
        <f t="shared" si="12"/>
        <v>100</v>
      </c>
      <c r="X40" s="710"/>
      <c r="Y40" s="3669"/>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2"/>
      <c r="M41" s="2714"/>
      <c r="N41" s="2714"/>
      <c r="O41" s="2723"/>
      <c r="P41" s="3657" t="str">
        <f>A41</f>
        <v>成交单价</v>
      </c>
      <c r="Q41" s="3657"/>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2"/>
      <c r="M42" s="2714"/>
      <c r="N42" s="2714"/>
      <c r="O42" s="2723"/>
      <c r="P42" s="3657" t="str">
        <f>A42</f>
        <v>比较价值（元/平方米）</v>
      </c>
      <c r="Q42" s="3657"/>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37" t="str">
        <f>A43</f>
        <v>估价对象XX用房的比较价值（楼面单价，元/平方米）</v>
      </c>
      <c r="Q43" s="3738"/>
      <c r="R43" s="3751" t="e">
        <f>ROUND(IF(D42="简单平均",AVERAGE(R42:W42),R42*F42+T42*H42+V42*J42),0)</f>
        <v>#DIV/0!</v>
      </c>
      <c r="S43" s="3751"/>
      <c r="T43" s="3751"/>
      <c r="U43" s="3751"/>
      <c r="V43" s="3751"/>
      <c r="W43" s="3751"/>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2" t="s">
        <v>1883</v>
      </c>
      <c r="D50" s="1983" t="s">
        <v>1884</v>
      </c>
      <c r="E50" s="634" t="s">
        <v>1885</v>
      </c>
      <c r="F50" s="635" t="s">
        <v>1886</v>
      </c>
      <c r="G50" s="3674" t="s">
        <v>1887</v>
      </c>
      <c r="H50" s="3752"/>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1216.8699999999999</v>
      </c>
      <c r="F51" s="639" t="e">
        <f t="shared" ref="F51:F60" si="15">ROUND(B51*E51/10000,0)</f>
        <v>#DIV/0!</v>
      </c>
      <c r="G51" s="3656"/>
      <c r="H51" s="3657"/>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0.6</v>
      </c>
      <c r="D52" s="945">
        <v>0.25</v>
      </c>
      <c r="E52" s="642"/>
      <c r="F52" s="639" t="e">
        <f t="shared" si="15"/>
        <v>#DIV/0!</v>
      </c>
      <c r="G52" s="3004" t="s">
        <v>1892</v>
      </c>
      <c r="H52" s="887" t="str">
        <f>项目基本情况!B37</f>
        <v>七级</v>
      </c>
      <c r="I52" s="773">
        <f>SUMIF(修正!A57:A68,H52,修正!B57:B68)</f>
        <v>0.6</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0.3</v>
      </c>
      <c r="D53" s="945">
        <v>0.25</v>
      </c>
      <c r="E53" s="642"/>
      <c r="F53" s="639" t="e">
        <f t="shared" si="15"/>
        <v>#DIV/0!</v>
      </c>
      <c r="G53" s="3005"/>
      <c r="H53" s="887" t="str">
        <f>项目基本情况!B37</f>
        <v>七级</v>
      </c>
      <c r="I53" s="773">
        <f>SUMIF(修正!A57:A68,H53,修正!C57:C68)</f>
        <v>0.3</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0.25</v>
      </c>
      <c r="D54" s="945">
        <v>0.25</v>
      </c>
      <c r="E54" s="642"/>
      <c r="F54" s="639" t="e">
        <f t="shared" si="15"/>
        <v>#DIV/0!</v>
      </c>
      <c r="G54" s="3005"/>
      <c r="H54" s="887" t="str">
        <f>项目基本情况!B37</f>
        <v>七级</v>
      </c>
      <c r="I54" s="773">
        <f>SUMIF(修正!A57:A68,H54,修正!D57:D68)</f>
        <v>0.25</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5">
        <v>0.25</v>
      </c>
      <c r="E56" s="217">
        <f>'数据-汇总表'!E11</f>
        <v>0</v>
      </c>
      <c r="F56" s="639" t="e">
        <f t="shared" si="15"/>
        <v>#DIV/0!</v>
      </c>
      <c r="G56" s="1986" t="s">
        <v>1896</v>
      </c>
      <c r="H56" s="887" t="str">
        <f>项目基本情况!C37</f>
        <v>七级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0.15</v>
      </c>
      <c r="D59" s="945">
        <v>0.25</v>
      </c>
      <c r="E59" s="217">
        <f>'数据-汇总表'!E14</f>
        <v>0</v>
      </c>
      <c r="F59" s="639" t="e">
        <f t="shared" si="15"/>
        <v>#DIV/0!</v>
      </c>
      <c r="G59" s="1986" t="s">
        <v>1892</v>
      </c>
      <c r="H59" s="887" t="str">
        <f>项目基本情况!B37</f>
        <v>七级</v>
      </c>
      <c r="I59" s="773">
        <f>SUMIF(修正!A57:A68,H59,修正!G57:G68)</f>
        <v>0.15</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0.15</v>
      </c>
      <c r="D60" s="945">
        <v>0.25</v>
      </c>
      <c r="E60" s="217">
        <f>'数据-汇总表'!E15</f>
        <v>0</v>
      </c>
      <c r="F60" s="639" t="e">
        <f t="shared" si="15"/>
        <v>#DIV/0!</v>
      </c>
      <c r="G60" s="1987" t="s">
        <v>1896</v>
      </c>
      <c r="H60" s="897" t="str">
        <f>项目基本情况!C37</f>
        <v>七级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527.48</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7" t="s">
        <v>27</v>
      </c>
      <c r="D22" s="3758"/>
      <c r="E22" s="3758"/>
      <c r="F22" s="3758"/>
      <c r="G22" s="3758"/>
      <c r="H22" s="3758"/>
      <c r="I22" s="3758"/>
      <c r="J22" s="3758"/>
      <c r="K22" s="3758"/>
      <c r="L22" s="3758"/>
      <c r="M22" s="3758"/>
      <c r="N22" s="3758"/>
      <c r="O22" s="3758"/>
      <c r="P22" s="3758"/>
      <c r="Q22" s="375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0">
        <f ca="1">SUMIF(B6:B13,"&lt;&gt;#ref!",B6:B13)</f>
        <v>906</v>
      </c>
      <c r="C2" s="2144" t="s">
        <v>2074</v>
      </c>
      <c r="D2" s="2144" t="s">
        <v>2075</v>
      </c>
      <c r="E2" s="2610">
        <f ca="1">SUMIF(E6:E13,"&lt;&gt;#ref!",E6:E13)</f>
        <v>1216.8699999999999</v>
      </c>
      <c r="F2" s="2791"/>
      <c r="G2" s="2791"/>
      <c r="H2" s="2791"/>
      <c r="I2" s="2791"/>
      <c r="J2" s="2791"/>
      <c r="K2" s="2791"/>
      <c r="L2" s="2791"/>
      <c r="M2" s="2791"/>
      <c r="N2" s="2791"/>
      <c r="O2" s="2791"/>
      <c r="P2" s="2791"/>
    </row>
    <row r="3" spans="1:16" ht="15.75">
      <c r="A3" s="2144" t="s">
        <v>2076</v>
      </c>
      <c r="B3" s="2600">
        <f ca="1">ROUND(B2*10000/E2,0)</f>
        <v>7445</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5"/>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906</v>
      </c>
      <c r="C6" s="2144" t="s">
        <v>2074</v>
      </c>
      <c r="D6" s="2791"/>
      <c r="E6" s="2610">
        <f ca="1">SUMIF(INDIRECT("'"&amp;A6&amp;"'"&amp;"!C:C"),"建筑面积",INDIRECT("'"&amp;A6&amp;"'"&amp;"!D:D"))</f>
        <v>1216.8699999999999</v>
      </c>
      <c r="F6" s="2791"/>
      <c r="G6" s="2791"/>
      <c r="H6" s="2791"/>
      <c r="I6" s="2791"/>
      <c r="J6" s="2791"/>
      <c r="K6" s="2791"/>
      <c r="L6" s="2791"/>
      <c r="M6" s="2791"/>
      <c r="N6" s="2791"/>
      <c r="O6" s="2791"/>
      <c r="P6" s="2791"/>
    </row>
    <row r="7" spans="1:16" ht="15.75">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65" sqref="C6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1216.8699999999999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906</v>
      </c>
      <c r="C2" s="1998" t="s">
        <v>1935</v>
      </c>
      <c r="D2" s="1999" t="s">
        <v>1936</v>
      </c>
      <c r="E2" s="3420"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Ⅶ-顺2</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59">
        <f>ROUND(SUMPRODUCT((B106:B110=R2)*(C105:N105=G2)*(C106:N110)),4)</f>
        <v>1.5019</v>
      </c>
      <c r="T2" s="3359">
        <f t="shared" ref="T2:T16" si="0">ROUND($C$5*$C$22*$C$23*$C$24*S2*$C$28,0)</f>
        <v>10988</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7445</v>
      </c>
      <c r="C3" s="1998" t="s">
        <v>1941</v>
      </c>
      <c r="D3" s="1999" t="s">
        <v>1942</v>
      </c>
      <c r="E3" s="3418" t="s">
        <v>3635</v>
      </c>
      <c r="F3" s="2003" t="s">
        <v>3388</v>
      </c>
      <c r="G3" s="752">
        <f>IF(F3="宗地容积率",'数据-汇总表'!I4,IF(F3="估价对象容积率",'数据-汇总表'!I6,'数据-汇总表'!I7))</f>
        <v>2.31</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59">
        <f>ROUND(SUMPRODUCT((B106:B110=R3)*(C105:N105=G2)*(C106:N110)),4)</f>
        <v>1.1838</v>
      </c>
      <c r="T3" s="3359">
        <f t="shared" si="0"/>
        <v>8661</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70"/>
      <c r="B4" s="3771"/>
      <c r="C4" s="3771"/>
      <c r="D4" s="3772"/>
      <c r="E4" s="3772"/>
      <c r="F4" s="3772"/>
      <c r="G4" s="3772"/>
      <c r="H4" s="3772"/>
      <c r="I4" s="3772"/>
      <c r="J4" s="3773"/>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59">
        <f>ROUND(SUMPRODUCT((B106:B110=R4)*(C105:N105=G2)*(C106:N110)),4)</f>
        <v>1.0004999999999999</v>
      </c>
      <c r="T4" s="3359">
        <f t="shared" si="0"/>
        <v>7320</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8700</v>
      </c>
      <c r="D5" s="1338">
        <f>ROUND(C6*C17+C20,0)</f>
        <v>8700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59">
        <f>ROUND(SUMPRODUCT((B106:B110=R5)*(C105:N105=G2)*(C106:N110)),4)</f>
        <v>0.88239999999999996</v>
      </c>
      <c r="T5" s="3359">
        <f t="shared" si="0"/>
        <v>6456</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8700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59">
        <f>ROUND(SUMPRODUCT((B106:B110=R6)*(C105:N105=G2)*(C106:N110)),4)</f>
        <v>0.84799999999999998</v>
      </c>
      <c r="T6" s="3359">
        <f t="shared" si="0"/>
        <v>6204</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3243</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8700</v>
      </c>
      <c r="N7" s="866">
        <f>SUMPRODUCT((因素修正幅度!B190:B233=I2)*(因素修正幅度!C3:G3=E2)*(因素修正幅度!C190:G233))</f>
        <v>0.13</v>
      </c>
      <c r="O7" s="1119"/>
      <c r="P7" s="1119"/>
      <c r="Q7" s="1119"/>
      <c r="R7" s="1211">
        <v>6</v>
      </c>
      <c r="S7" s="3417"/>
      <c r="T7" s="3359">
        <f t="shared" si="0"/>
        <v>0</v>
      </c>
      <c r="U7" s="1212"/>
      <c r="V7" s="3359">
        <f t="shared" si="1"/>
        <v>0</v>
      </c>
      <c r="W7" s="1357" t="s">
        <v>1955</v>
      </c>
      <c r="X7" s="1213" t="str">
        <f>G2</f>
        <v>七级</v>
      </c>
      <c r="Y7" s="1213" t="s">
        <v>1956</v>
      </c>
      <c r="Z7" s="1214">
        <f>G3</f>
        <v>2.31</v>
      </c>
      <c r="AA7" s="1215"/>
      <c r="AB7" s="1215"/>
      <c r="AC7" s="1216"/>
      <c r="AD7" s="1217"/>
      <c r="AE7" s="1217"/>
      <c r="AF7" s="1217"/>
      <c r="AG7" s="1217"/>
      <c r="AH7" s="1217"/>
      <c r="AI7" s="1217"/>
      <c r="AJ7" s="1218"/>
    </row>
    <row r="8" spans="1:36" ht="25.5">
      <c r="A8" s="3297"/>
      <c r="B8" s="170" t="s">
        <v>1957</v>
      </c>
      <c r="C8" s="2025" t="s">
        <v>3389</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59">
        <f t="shared" si="0"/>
        <v>0</v>
      </c>
      <c r="U8" s="1212"/>
      <c r="V8" s="3359">
        <f t="shared" si="1"/>
        <v>0</v>
      </c>
      <c r="W8" s="3767" t="s">
        <v>1960</v>
      </c>
      <c r="X8" s="376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59">
        <f t="shared" si="0"/>
        <v>0</v>
      </c>
      <c r="U9" s="1212"/>
      <c r="V9" s="3359">
        <f t="shared" si="1"/>
        <v>0</v>
      </c>
      <c r="W9" s="3769"/>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9">
        <f t="shared" si="0"/>
        <v>0</v>
      </c>
      <c r="U10" s="1212"/>
      <c r="V10" s="3359">
        <f t="shared" si="1"/>
        <v>0</v>
      </c>
      <c r="W10" s="376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3244</v>
      </c>
      <c r="B12" s="3303" t="s">
        <v>3245</v>
      </c>
      <c r="C12" s="3304">
        <v>1</v>
      </c>
      <c r="D12" s="3305" t="s">
        <v>3246</v>
      </c>
      <c r="E12" s="3306" t="s">
        <v>3247</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3248</v>
      </c>
      <c r="B13" s="2033" t="s">
        <v>1982</v>
      </c>
      <c r="C13" s="755">
        <f>ROUND(C16*D16*E16*F16*G16*H16*I16*J16,4)</f>
        <v>0</v>
      </c>
      <c r="D13" s="2034" t="s">
        <v>1983</v>
      </c>
      <c r="E13" s="2035"/>
      <c r="F13" s="2035"/>
      <c r="G13" s="2036"/>
      <c r="H13" s="2036"/>
      <c r="I13" s="2036"/>
      <c r="J13" s="2037"/>
      <c r="K13" s="1119"/>
      <c r="L13" s="3298"/>
      <c r="M13" s="3299"/>
      <c r="N13" s="3300"/>
      <c r="O13" s="1119"/>
      <c r="P13" s="1119"/>
      <c r="Q13" s="1119"/>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3249</v>
      </c>
      <c r="G14" s="3310" t="s">
        <v>3249</v>
      </c>
      <c r="H14" s="3310" t="s">
        <v>3249</v>
      </c>
      <c r="I14" s="3310" t="s">
        <v>3249</v>
      </c>
      <c r="J14" s="3310" t="s">
        <v>3249</v>
      </c>
      <c r="K14" s="1119"/>
      <c r="L14" s="1119"/>
      <c r="M14" s="1119"/>
      <c r="N14" s="1119"/>
      <c r="O14" s="1119"/>
      <c r="P14" s="1119"/>
      <c r="Q14" s="1119"/>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3250</v>
      </c>
      <c r="G15" s="3312"/>
      <c r="H15" s="3313"/>
      <c r="I15" s="3314"/>
      <c r="J15" s="3315"/>
      <c r="K15" s="1119"/>
      <c r="L15" s="1119"/>
      <c r="M15" s="1119"/>
      <c r="N15" s="1119"/>
      <c r="O15" s="1119"/>
      <c r="P15" s="1119"/>
      <c r="Q15" s="1119"/>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6"/>
      <c r="M16" s="1996"/>
      <c r="N16" s="1996"/>
      <c r="O16" s="1996"/>
      <c r="P16" s="1996"/>
      <c r="Q16" s="1119"/>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3251</v>
      </c>
      <c r="B17" s="3319" t="s">
        <v>3252</v>
      </c>
      <c r="C17" s="3329">
        <f>ROUND(IF(OR(E2="工业",E2="公共服务"),1,IF(AND(E18=0,E19=0),1,IF(AND(E18=J24,E19=G19),0.8,IF(E19=0,1+E17*(-0.2),1+E17*G17*(-0.2))))),4)</f>
        <v>1</v>
      </c>
      <c r="D17" s="3320" t="s">
        <v>3253</v>
      </c>
      <c r="E17" s="3329">
        <f>ROUND(G18/I18,2)</f>
        <v>0</v>
      </c>
      <c r="F17" s="3320" t="s">
        <v>3256</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1"/>
      <c r="B18" s="3008"/>
      <c r="C18" s="3326"/>
      <c r="D18" s="3321" t="s">
        <v>3254</v>
      </c>
      <c r="E18" s="3327"/>
      <c r="F18" s="3322" t="s">
        <v>3257</v>
      </c>
      <c r="G18" s="3326">
        <f>ROUND(1-(1/(POWER(1+G24,E18))),4)</f>
        <v>0</v>
      </c>
      <c r="H18" s="3322" t="s">
        <v>3259</v>
      </c>
      <c r="I18" s="3326">
        <f>ROUND(1-(1/(POWER(1+G24,J24))),4)</f>
        <v>0.93120000000000003</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3"/>
      <c r="B19" s="3334"/>
      <c r="C19" s="3335"/>
      <c r="D19" s="3335" t="s">
        <v>3255</v>
      </c>
      <c r="E19" s="3336"/>
      <c r="F19" s="3337" t="s">
        <v>3258</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774" t="s">
        <v>3260</v>
      </c>
      <c r="B20" s="167" t="s">
        <v>1994</v>
      </c>
      <c r="C20" s="3323">
        <f>ROUND(IF(F21="与级别开发程度一致",0,(G21-E21)/C21),0)</f>
        <v>0</v>
      </c>
      <c r="D20" s="3339" t="s">
        <v>1998</v>
      </c>
      <c r="E20" s="3340"/>
      <c r="F20" s="3780" t="s">
        <v>1995</v>
      </c>
      <c r="G20" s="3781"/>
      <c r="H20" s="3324" t="s">
        <v>3390</v>
      </c>
      <c r="I20" s="3324" t="s">
        <v>3391</v>
      </c>
      <c r="J20" s="3325" t="s">
        <v>3392</v>
      </c>
      <c r="K20" s="2046" t="s">
        <v>3393</v>
      </c>
      <c r="L20" s="2046" t="s">
        <v>3394</v>
      </c>
      <c r="M20" s="2046" t="s">
        <v>3395</v>
      </c>
      <c r="N20" s="2046" t="s">
        <v>3396</v>
      </c>
      <c r="O20" s="2047" t="s">
        <v>3397</v>
      </c>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775"/>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3628</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40</v>
      </c>
      <c r="O21" s="2166">
        <f>SUMPRODUCT((七通一平=O20)*(修正!B1:M1=G2)*(修正!B8:M16))</f>
        <v>15</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2000</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3" t="s">
        <v>2002</v>
      </c>
      <c r="E23" s="761">
        <v>44197</v>
      </c>
      <c r="F23" s="2053" t="s">
        <v>2003</v>
      </c>
      <c r="G23" s="762">
        <f>'数据-取费表'!B2</f>
        <v>45127</v>
      </c>
      <c r="H23" s="3341" t="s">
        <v>3261</v>
      </c>
      <c r="I23" s="3342" t="str">
        <f>IF(H23="季度增幅（自定义）",SUMIF(N25:N28,E2,O25:O28),"")</f>
        <v/>
      </c>
      <c r="J23" s="3444" t="s">
        <v>3398</v>
      </c>
      <c r="K23" s="1125"/>
      <c r="L23" s="2054" t="s">
        <v>2004</v>
      </c>
      <c r="M23" s="1327">
        <f>ROUND(SUMIF(地价!B2:G2,E2,地价!B16:G16),0)</f>
        <v>350</v>
      </c>
      <c r="N23" s="2055" t="s">
        <v>2005</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0.80069999999999997</v>
      </c>
      <c r="D24" s="2059" t="s">
        <v>2007</v>
      </c>
      <c r="E24" s="1334">
        <f>存贷款利率!E23/100</f>
        <v>4.3499999999999997E-2</v>
      </c>
      <c r="F24" s="2059" t="s">
        <v>1999</v>
      </c>
      <c r="G24" s="768">
        <f>SUMIF(M30:Q30,E2,M33:Q33)</f>
        <v>5.5E-2</v>
      </c>
      <c r="H24" s="2059" t="s">
        <v>2008</v>
      </c>
      <c r="I24" s="769">
        <f>SUMIF('数据-取费表'!C6:C15,E2,'数据-取费表'!F6:F15)/COUNTIF('数据-取费表'!C6:C15,E2)</f>
        <v>25.57</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3340</v>
      </c>
      <c r="C25" s="771">
        <f>IF(B25="容积率修正",IF(G3&lt;10,D26,J26),C27)</f>
        <v>1.0176000000000001</v>
      </c>
      <c r="D25" s="2066"/>
      <c r="E25" s="2066"/>
      <c r="F25" s="2066"/>
      <c r="G25" s="2066"/>
      <c r="H25" s="2066"/>
      <c r="I25" s="2066"/>
      <c r="J25" s="2067"/>
      <c r="K25" s="1125"/>
      <c r="L25" s="2786"/>
      <c r="M25" s="2786"/>
      <c r="N25" s="2068"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3" t="s">
        <v>3262</v>
      </c>
      <c r="D26" s="1351">
        <f>IF(E26=G26,F26,IF(G3&lt;10,ROUND(F26+(H26-F26)*(G3-E26)/(G26-E26),4),"——"))</f>
        <v>1.0176000000000001</v>
      </c>
      <c r="E26" s="752">
        <f>ROUNDDOWN(G3,1)</f>
        <v>2.2999999999999998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752">
        <f>ROUNDUP(G3,1)</f>
        <v>2.4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3343" t="s">
        <v>3263</v>
      </c>
      <c r="J26" s="772" t="str">
        <f>IF(G3&gt;=10,D115,"——")</f>
        <v>——</v>
      </c>
      <c r="K26" s="1125"/>
      <c r="L26" s="2786"/>
      <c r="M26" s="2786"/>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1.0226</v>
      </c>
      <c r="D28" s="2051"/>
      <c r="E28" s="2076"/>
      <c r="F28" s="2076"/>
      <c r="G28" s="2076"/>
      <c r="H28" s="2076"/>
      <c r="I28" s="2076"/>
      <c r="J28" s="2077"/>
      <c r="K28" s="1125"/>
      <c r="L28" s="2786"/>
      <c r="M28" s="2786"/>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906</v>
      </c>
      <c r="D30" s="2082"/>
      <c r="E30" s="2045"/>
      <c r="F30" s="2083"/>
      <c r="G30" s="2045"/>
      <c r="H30" s="2045"/>
      <c r="I30" s="2045"/>
      <c r="J30" s="2084"/>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7445</v>
      </c>
      <c r="D33" s="2097">
        <f>'数据-汇总表'!E19</f>
        <v>1216.8699999999999</v>
      </c>
      <c r="E33" s="773">
        <f>ROUND(C33*D33/10000,0)</f>
        <v>906</v>
      </c>
      <c r="F33" s="3344" t="s">
        <v>3265</v>
      </c>
      <c r="G33" s="2098"/>
      <c r="H33" s="2098"/>
      <c r="I33" s="2098"/>
      <c r="J33" s="2099"/>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1861</v>
      </c>
      <c r="D34" s="2102"/>
      <c r="E34" s="773">
        <f>ROUND(IF(B25="楼层修正",SUM(V2:V16)*M40,C34*D34/10000),0)</f>
        <v>0</v>
      </c>
      <c r="F34" s="2103" t="s">
        <v>2032</v>
      </c>
      <c r="G34" s="2104"/>
      <c r="H34" s="2104"/>
      <c r="I34" s="2104"/>
      <c r="J34" s="2105"/>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5" t="s">
        <v>3266</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3270</v>
      </c>
      <c r="L36" s="3445">
        <f ca="1">'数据-取费表'!B40</f>
        <v>3.5499999999999997E-2</v>
      </c>
      <c r="M36" s="3356">
        <f ca="1">ROUND($L$36*(1+M31),3)</f>
        <v>4.3999999999999997E-2</v>
      </c>
      <c r="N36" s="3356">
        <f ca="1">ROUND($L$36*(1+N31),3)</f>
        <v>4.2999999999999997E-2</v>
      </c>
      <c r="O36" s="3356">
        <f ca="1">ROUND($L$36*(1+O31),3)</f>
        <v>4.1000000000000002E-2</v>
      </c>
      <c r="P36" s="3356">
        <f ca="1">ROUND($L$36*(1+P31),3)</f>
        <v>3.9E-2</v>
      </c>
      <c r="Q36" s="3356">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8"/>
      <c r="B37" s="2112" t="s">
        <v>2036</v>
      </c>
      <c r="C37" s="175">
        <f>ROUND(D5*C22*C23*C24*C28*F37,0)</f>
        <v>4390</v>
      </c>
      <c r="D37" s="2097"/>
      <c r="E37" s="171">
        <f>ROUND(C37*D37/10000,0)</f>
        <v>0</v>
      </c>
      <c r="F37" s="171">
        <f>SUMIF(修正!A57:A68,G2,修正!B57:B68)</f>
        <v>0.6</v>
      </c>
      <c r="G37" s="171">
        <f>ROUND(IF(E2="工业",C37*$M$42,C37*$M$41),0)</f>
        <v>1098</v>
      </c>
      <c r="H37" s="171">
        <f>D37</f>
        <v>0</v>
      </c>
      <c r="I37" s="171">
        <f>ROUND(G37*H37/10000,0)</f>
        <v>0</v>
      </c>
      <c r="J37" s="3010"/>
      <c r="K37" s="3357" t="s">
        <v>3271</v>
      </c>
      <c r="L37" s="3355">
        <f ca="1">L36+K38</f>
        <v>4.0499999999999994E-2</v>
      </c>
      <c r="M37" s="3356">
        <f ca="1">ROUND($L$37*(1+M31),3)</f>
        <v>5.0999999999999997E-2</v>
      </c>
      <c r="N37" s="3356">
        <f t="shared" ref="N37:Q37" ca="1" si="3">ROUND($L$37*(1+N31),3)</f>
        <v>4.9000000000000002E-2</v>
      </c>
      <c r="O37" s="3356">
        <f t="shared" ca="1" si="3"/>
        <v>4.7E-2</v>
      </c>
      <c r="P37" s="3356">
        <f t="shared" ca="1" si="3"/>
        <v>4.4999999999999998E-2</v>
      </c>
      <c r="Q37" s="3356">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9"/>
      <c r="B38" s="2040" t="s">
        <v>2037</v>
      </c>
      <c r="C38" s="175">
        <f>ROUND(D5*C22*C23*C24*C28*F38,0)</f>
        <v>2195</v>
      </c>
      <c r="D38" s="2097"/>
      <c r="E38" s="171">
        <f t="shared" ref="E38:E42" si="4">ROUND(C38*D38/10000,0)</f>
        <v>0</v>
      </c>
      <c r="F38" s="171">
        <f>SUMIF(修正!A57:A68,G2,修正!C57:C68)</f>
        <v>0.3</v>
      </c>
      <c r="G38" s="171">
        <f>ROUND(IF(E2="工业",C38*$M$42,C38*$M$41),0)</f>
        <v>549</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9"/>
      <c r="B39" s="2040" t="s">
        <v>3264</v>
      </c>
      <c r="C39" s="175">
        <f>ROUND(D5*C22*C23*C24*C28*F39,0)</f>
        <v>1829</v>
      </c>
      <c r="D39" s="2097"/>
      <c r="E39" s="171">
        <f t="shared" si="4"/>
        <v>0</v>
      </c>
      <c r="F39" s="171">
        <f>SUMIF(修正!A57:A68,G2,修正!D57:D68)</f>
        <v>0.25</v>
      </c>
      <c r="G39" s="171">
        <f>ROUND(IF(E2="工业",C39*$M$42,C39*$M$41),0)</f>
        <v>457</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1829</v>
      </c>
      <c r="D40" s="2097"/>
      <c r="E40" s="171">
        <f t="shared" si="4"/>
        <v>0</v>
      </c>
      <c r="F40" s="175">
        <f>SUMIF(修正!A57:A68,G2,修正!E57:E68)</f>
        <v>0.25</v>
      </c>
      <c r="G40" s="171">
        <f>ROUND(IF(E2="工业",C40*$M$42,C40*$M$41),0)</f>
        <v>457</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8" t="s">
        <v>3272</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t="e">
        <f>1+E50</f>
        <v>#VALUE!</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t="s">
        <v>3399</v>
      </c>
      <c r="D50" s="1065">
        <f t="shared" ref="D50:D58" si="7">SUMIF($J$49:$N$49,C50,J50:N50)</f>
        <v>0</v>
      </c>
      <c r="E50" s="744" t="e">
        <f>ROUND(SUM(D50:D58),4)</f>
        <v>#VALUE!</v>
      </c>
      <c r="F50" s="1813" t="str">
        <f>IF(E2="商业",SUMIF(L1:L12,G2,N1:N12),"——")</f>
        <v>——</v>
      </c>
      <c r="G50" s="1063" t="str">
        <f>H50</f>
        <v>——</v>
      </c>
      <c r="H50" s="1066" t="str">
        <f t="shared" ref="H50:H58" si="8">IFERROR(ROUNDDOWN($F$50*I50/2,4),"——")</f>
        <v>——</v>
      </c>
      <c r="I50" s="3365">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t="s">
        <v>3399</v>
      </c>
      <c r="D51" s="1065">
        <f t="shared" si="7"/>
        <v>0</v>
      </c>
      <c r="E51" s="745"/>
      <c r="F51" s="1813"/>
      <c r="G51" s="1063" t="str">
        <f t="shared" ref="G51:G58" si="12">H51</f>
        <v>——</v>
      </c>
      <c r="H51" s="1066" t="str">
        <f t="shared" si="8"/>
        <v>——</v>
      </c>
      <c r="I51" s="3365">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7" t="s">
        <v>3274</v>
      </c>
      <c r="B52" s="2133">
        <f>估价对象房地状况!C19</f>
        <v>0</v>
      </c>
      <c r="C52" s="2043" t="s">
        <v>3400</v>
      </c>
      <c r="D52" s="1065" t="e">
        <f t="shared" si="7"/>
        <v>#VALUE!</v>
      </c>
      <c r="E52" s="745"/>
      <c r="F52" s="1813"/>
      <c r="G52" s="1063" t="str">
        <f t="shared" si="12"/>
        <v>——</v>
      </c>
      <c r="H52" s="1066" t="str">
        <f t="shared" si="8"/>
        <v>——</v>
      </c>
      <c r="I52" s="3365">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29" t="s">
        <v>2054</v>
      </c>
      <c r="B53" s="2134" t="s">
        <v>2055</v>
      </c>
      <c r="C53" s="2043" t="s">
        <v>3400</v>
      </c>
      <c r="D53" s="1065" t="e">
        <f t="shared" si="7"/>
        <v>#VALUE!</v>
      </c>
      <c r="E53" s="745"/>
      <c r="F53" s="1813"/>
      <c r="G53" s="1063" t="str">
        <f t="shared" si="12"/>
        <v>——</v>
      </c>
      <c r="H53" s="1066" t="str">
        <f t="shared" si="8"/>
        <v>——</v>
      </c>
      <c r="I53" s="3365">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t="s">
        <v>3399</v>
      </c>
      <c r="D54" s="1065">
        <f t="shared" si="7"/>
        <v>0</v>
      </c>
      <c r="E54" s="745"/>
      <c r="F54" s="1813"/>
      <c r="G54" s="1063" t="str">
        <f t="shared" si="12"/>
        <v>——</v>
      </c>
      <c r="H54" s="1066" t="str">
        <f t="shared" si="8"/>
        <v>——</v>
      </c>
      <c r="I54" s="3365">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29" t="s">
        <v>2057</v>
      </c>
      <c r="B55" s="2135" t="s">
        <v>2058</v>
      </c>
      <c r="C55" s="2043" t="s">
        <v>3400</v>
      </c>
      <c r="D55" s="1065" t="e">
        <f t="shared" si="7"/>
        <v>#VALUE!</v>
      </c>
      <c r="E55" s="745"/>
      <c r="F55" s="1813"/>
      <c r="G55" s="1063" t="str">
        <f t="shared" si="12"/>
        <v>——</v>
      </c>
      <c r="H55" s="1066" t="str">
        <f t="shared" si="8"/>
        <v>——</v>
      </c>
      <c r="I55" s="3365">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t="s">
        <v>3399</v>
      </c>
      <c r="D56" s="1065">
        <f t="shared" si="7"/>
        <v>0</v>
      </c>
      <c r="E56" s="745"/>
      <c r="F56" s="1813"/>
      <c r="G56" s="1063" t="str">
        <f t="shared" si="12"/>
        <v>——</v>
      </c>
      <c r="H56" s="1066" t="str">
        <f t="shared" si="8"/>
        <v>——</v>
      </c>
      <c r="I56" s="3365">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t="s">
        <v>3401</v>
      </c>
      <c r="D57" s="1065" t="e">
        <f t="shared" si="7"/>
        <v>#VALUE!</v>
      </c>
      <c r="E57" s="745"/>
      <c r="F57" s="1813"/>
      <c r="G57" s="1063" t="str">
        <f t="shared" si="12"/>
        <v>——</v>
      </c>
      <c r="H57" s="1066" t="str">
        <f t="shared" si="8"/>
        <v>——</v>
      </c>
      <c r="I57" s="3365">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t="s">
        <v>3399</v>
      </c>
      <c r="D58" s="1065">
        <f t="shared" si="7"/>
        <v>0</v>
      </c>
      <c r="E58" s="746"/>
      <c r="F58" s="1813"/>
      <c r="G58" s="1063" t="str">
        <f t="shared" si="12"/>
        <v>——</v>
      </c>
      <c r="H58" s="1066" t="str">
        <f t="shared" si="8"/>
        <v>——</v>
      </c>
      <c r="I58" s="3366">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5" t="s">
        <v>2062</v>
      </c>
      <c r="B59" s="2126">
        <f>1+E61</f>
        <v>1.0226</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t="s">
        <v>3399</v>
      </c>
      <c r="D61" s="1065">
        <f t="shared" ref="D61:D69" si="13">SUMIF($J$60:$N$60,C61,J61:N61)</f>
        <v>0</v>
      </c>
      <c r="E61" s="744">
        <f>ROUND(SUM(D61:D69),4)</f>
        <v>2.2599999999999999E-2</v>
      </c>
      <c r="F61" s="1813">
        <f>IF(E2="办公",SUMIF(L1:L12,G2,N1:N12),"——")</f>
        <v>0.13</v>
      </c>
      <c r="G61" s="1063">
        <f>H61</f>
        <v>1.6199999999999999E-2</v>
      </c>
      <c r="H61" s="1066">
        <f t="shared" ref="H61:H69" si="14">IFERROR(ROUNDDOWN($F$61*I61/2,4),"——")</f>
        <v>1.6199999999999999E-2</v>
      </c>
      <c r="I61" s="3365">
        <v>0.25</v>
      </c>
      <c r="J61" s="1064">
        <f t="shared" ref="J61:J69" si="15">K61+$G61</f>
        <v>3.2399999999999998E-2</v>
      </c>
      <c r="K61" s="1064">
        <f t="shared" ref="K61:K69" si="16">$L61+$G61</f>
        <v>1.6199999999999999E-2</v>
      </c>
      <c r="L61" s="1064">
        <v>0</v>
      </c>
      <c r="M61" s="1064">
        <f t="shared" ref="M61:N69" si="17">L61-$G61</f>
        <v>-1.6199999999999999E-2</v>
      </c>
      <c r="N61" s="1064">
        <f t="shared" si="17"/>
        <v>-3.2399999999999998E-2</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t="s">
        <v>3399</v>
      </c>
      <c r="D62" s="1065">
        <f t="shared" si="13"/>
        <v>0</v>
      </c>
      <c r="E62" s="745"/>
      <c r="F62" s="1813"/>
      <c r="G62" s="1063">
        <f t="shared" ref="G62:G69" si="18">H62</f>
        <v>1.6899999999999998E-2</v>
      </c>
      <c r="H62" s="1066">
        <f t="shared" si="14"/>
        <v>1.6899999999999998E-2</v>
      </c>
      <c r="I62" s="3365">
        <v>0.26</v>
      </c>
      <c r="J62" s="1064">
        <f t="shared" si="15"/>
        <v>3.3799999999999997E-2</v>
      </c>
      <c r="K62" s="1064">
        <f t="shared" si="16"/>
        <v>1.6899999999999998E-2</v>
      </c>
      <c r="L62" s="1064">
        <v>0</v>
      </c>
      <c r="M62" s="1064">
        <f t="shared" si="17"/>
        <v>-1.6899999999999998E-2</v>
      </c>
      <c r="N62" s="1064">
        <f t="shared" si="17"/>
        <v>-3.3799999999999997E-2</v>
      </c>
      <c r="AA62" s="1120"/>
      <c r="AB62" s="1120"/>
      <c r="AC62" s="1120"/>
      <c r="AD62" s="1120"/>
      <c r="AE62" s="1120"/>
      <c r="AF62" s="1120"/>
      <c r="AG62" s="1120"/>
      <c r="AH62" s="1120"/>
      <c r="AI62" s="1120"/>
      <c r="AJ62" s="1120"/>
      <c r="AK62" s="1120"/>
    </row>
    <row r="63" spans="1:37" s="1119" customFormat="1" ht="36">
      <c r="A63" s="3367" t="s">
        <v>3274</v>
      </c>
      <c r="B63" s="2133">
        <f>估价对象房地状况!C19</f>
        <v>0</v>
      </c>
      <c r="C63" s="2043" t="s">
        <v>3400</v>
      </c>
      <c r="D63" s="1065">
        <f t="shared" si="13"/>
        <v>7.1000000000000004E-3</v>
      </c>
      <c r="E63" s="745"/>
      <c r="F63" s="1813"/>
      <c r="G63" s="1063">
        <f t="shared" si="18"/>
        <v>7.1000000000000004E-3</v>
      </c>
      <c r="H63" s="1066">
        <f t="shared" si="14"/>
        <v>7.1000000000000004E-3</v>
      </c>
      <c r="I63" s="3365">
        <v>0.11</v>
      </c>
      <c r="J63" s="1064">
        <f t="shared" si="15"/>
        <v>1.4200000000000001E-2</v>
      </c>
      <c r="K63" s="1064">
        <f t="shared" si="16"/>
        <v>7.1000000000000004E-3</v>
      </c>
      <c r="L63" s="1064">
        <v>0</v>
      </c>
      <c r="M63" s="1064">
        <f t="shared" si="17"/>
        <v>-7.1000000000000004E-3</v>
      </c>
      <c r="N63" s="1064">
        <f t="shared" si="17"/>
        <v>-1.4200000000000001E-2</v>
      </c>
      <c r="AA63" s="1120"/>
      <c r="AB63" s="1120"/>
      <c r="AC63" s="1120"/>
      <c r="AD63" s="1120"/>
      <c r="AE63" s="1120"/>
      <c r="AF63" s="1120"/>
      <c r="AG63" s="1120"/>
      <c r="AH63" s="1120"/>
      <c r="AI63" s="1120"/>
      <c r="AJ63" s="1120"/>
      <c r="AK63" s="1120"/>
    </row>
    <row r="64" spans="1:37" s="1119" customFormat="1" ht="36.75">
      <c r="A64" s="2129" t="s">
        <v>2054</v>
      </c>
      <c r="B64" s="2134" t="s">
        <v>2055</v>
      </c>
      <c r="C64" s="2043" t="s">
        <v>3400</v>
      </c>
      <c r="D64" s="1065">
        <f t="shared" si="13"/>
        <v>3.2000000000000002E-3</v>
      </c>
      <c r="E64" s="745"/>
      <c r="F64" s="1813"/>
      <c r="G64" s="1063">
        <f t="shared" si="18"/>
        <v>3.2000000000000002E-3</v>
      </c>
      <c r="H64" s="1066">
        <f t="shared" si="14"/>
        <v>3.2000000000000002E-3</v>
      </c>
      <c r="I64" s="3365">
        <v>0.05</v>
      </c>
      <c r="J64" s="1064">
        <f t="shared" si="15"/>
        <v>6.4000000000000003E-3</v>
      </c>
      <c r="K64" s="1064">
        <f t="shared" si="16"/>
        <v>3.2000000000000002E-3</v>
      </c>
      <c r="L64" s="1064">
        <v>0</v>
      </c>
      <c r="M64" s="1064">
        <f t="shared" si="17"/>
        <v>-3.2000000000000002E-3</v>
      </c>
      <c r="N64" s="1064">
        <f t="shared" si="17"/>
        <v>-6.4000000000000003E-3</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t="s">
        <v>3636</v>
      </c>
      <c r="D65" s="1065">
        <f t="shared" si="13"/>
        <v>-3.2000000000000002E-3</v>
      </c>
      <c r="E65" s="745"/>
      <c r="F65" s="1813"/>
      <c r="G65" s="1063">
        <f t="shared" si="18"/>
        <v>3.2000000000000002E-3</v>
      </c>
      <c r="H65" s="1066">
        <f t="shared" si="14"/>
        <v>3.2000000000000002E-3</v>
      </c>
      <c r="I65" s="3365">
        <v>0.05</v>
      </c>
      <c r="J65" s="1064">
        <f t="shared" si="15"/>
        <v>6.4000000000000003E-3</v>
      </c>
      <c r="K65" s="1064">
        <f t="shared" si="16"/>
        <v>3.2000000000000002E-3</v>
      </c>
      <c r="L65" s="1064">
        <v>0</v>
      </c>
      <c r="M65" s="1064">
        <f t="shared" si="17"/>
        <v>-3.2000000000000002E-3</v>
      </c>
      <c r="N65" s="1064">
        <f t="shared" si="17"/>
        <v>-6.4000000000000003E-3</v>
      </c>
      <c r="AA65" s="1120"/>
      <c r="AB65" s="1120"/>
      <c r="AC65" s="1120"/>
      <c r="AD65" s="1120"/>
      <c r="AE65" s="1120"/>
      <c r="AF65" s="1120"/>
      <c r="AG65" s="1120"/>
      <c r="AH65" s="1120"/>
      <c r="AI65" s="1120"/>
      <c r="AJ65" s="1120"/>
      <c r="AK65" s="1120"/>
    </row>
    <row r="66" spans="1:37" s="1119" customFormat="1" ht="24">
      <c r="A66" s="2129" t="s">
        <v>2057</v>
      </c>
      <c r="B66" s="2135" t="s">
        <v>2058</v>
      </c>
      <c r="C66" s="2043" t="s">
        <v>3400</v>
      </c>
      <c r="D66" s="1065">
        <f t="shared" si="13"/>
        <v>3.8999999999999998E-3</v>
      </c>
      <c r="E66" s="745"/>
      <c r="F66" s="1813"/>
      <c r="G66" s="1063">
        <f t="shared" si="18"/>
        <v>3.8999999999999998E-3</v>
      </c>
      <c r="H66" s="1066">
        <f t="shared" si="14"/>
        <v>3.8999999999999998E-3</v>
      </c>
      <c r="I66" s="3365">
        <v>0.06</v>
      </c>
      <c r="J66" s="1064">
        <f t="shared" si="15"/>
        <v>7.7999999999999996E-3</v>
      </c>
      <c r="K66" s="1064">
        <f t="shared" si="16"/>
        <v>3.8999999999999998E-3</v>
      </c>
      <c r="L66" s="1064">
        <v>0</v>
      </c>
      <c r="M66" s="1064">
        <f t="shared" si="17"/>
        <v>-3.8999999999999998E-3</v>
      </c>
      <c r="N66" s="1064">
        <f t="shared" si="17"/>
        <v>-7.7999999999999996E-3</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t="s">
        <v>3399</v>
      </c>
      <c r="D67" s="1065">
        <f t="shared" si="13"/>
        <v>0</v>
      </c>
      <c r="E67" s="745"/>
      <c r="F67" s="1813"/>
      <c r="G67" s="1063">
        <f t="shared" si="18"/>
        <v>3.8999999999999998E-3</v>
      </c>
      <c r="H67" s="1066">
        <f t="shared" si="14"/>
        <v>3.8999999999999998E-3</v>
      </c>
      <c r="I67" s="3365">
        <v>0.06</v>
      </c>
      <c r="J67" s="1064">
        <f t="shared" si="15"/>
        <v>7.7999999999999996E-3</v>
      </c>
      <c r="K67" s="1064">
        <f t="shared" si="16"/>
        <v>3.8999999999999998E-3</v>
      </c>
      <c r="L67" s="1064">
        <v>0</v>
      </c>
      <c r="M67" s="1064">
        <f t="shared" si="17"/>
        <v>-3.8999999999999998E-3</v>
      </c>
      <c r="N67" s="1064">
        <f t="shared" si="17"/>
        <v>-7.7999999999999996E-3</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t="s">
        <v>3401</v>
      </c>
      <c r="D68" s="1065">
        <f t="shared" si="13"/>
        <v>1.1599999999999999E-2</v>
      </c>
      <c r="E68" s="745"/>
      <c r="F68" s="1813"/>
      <c r="G68" s="1063">
        <f t="shared" si="18"/>
        <v>5.7999999999999996E-3</v>
      </c>
      <c r="H68" s="1066">
        <f t="shared" si="14"/>
        <v>5.7999999999999996E-3</v>
      </c>
      <c r="I68" s="3365">
        <v>0.09</v>
      </c>
      <c r="J68" s="1064">
        <f t="shared" si="15"/>
        <v>1.1599999999999999E-2</v>
      </c>
      <c r="K68" s="1064">
        <f t="shared" si="16"/>
        <v>5.7999999999999996E-3</v>
      </c>
      <c r="L68" s="1064">
        <v>0</v>
      </c>
      <c r="M68" s="1064">
        <f t="shared" si="17"/>
        <v>-5.7999999999999996E-3</v>
      </c>
      <c r="N68" s="1064">
        <f t="shared" si="17"/>
        <v>-1.1599999999999999E-2</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t="s">
        <v>3399</v>
      </c>
      <c r="D69" s="1065">
        <f t="shared" si="13"/>
        <v>0</v>
      </c>
      <c r="E69" s="746"/>
      <c r="F69" s="1813"/>
      <c r="G69" s="1063">
        <f t="shared" si="18"/>
        <v>4.4999999999999997E-3</v>
      </c>
      <c r="H69" s="1066">
        <f t="shared" si="14"/>
        <v>4.4999999999999997E-3</v>
      </c>
      <c r="I69" s="3366">
        <v>7.0000000000000007E-2</v>
      </c>
      <c r="J69" s="1064">
        <f t="shared" si="15"/>
        <v>8.9999999999999993E-3</v>
      </c>
      <c r="K69" s="1064">
        <f t="shared" si="16"/>
        <v>4.4999999999999997E-3</v>
      </c>
      <c r="L69" s="1064">
        <v>0</v>
      </c>
      <c r="M69" s="1064">
        <f t="shared" si="17"/>
        <v>-4.4999999999999997E-3</v>
      </c>
      <c r="N69" s="1064">
        <f t="shared" si="17"/>
        <v>-8.9999999999999993E-3</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9">SUMIF($J$71:$N$71,C72,J72:N72)</f>
        <v>0</v>
      </c>
      <c r="E72" s="744">
        <f>ROUND(SUM(D72:D80),4)</f>
        <v>0</v>
      </c>
      <c r="F72" s="1813" t="str">
        <f>IF(E2="住宅",SUMIF(L1:L12,G2,N1:N12),"——")</f>
        <v>——</v>
      </c>
      <c r="G72" s="1063"/>
      <c r="H72" s="1066" t="str">
        <f t="shared" ref="H72:H80" si="20">IFERROR(ROUNDDOWN($F$72*I72/2,4),"——")</f>
        <v>——</v>
      </c>
      <c r="I72" s="3365">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9"/>
        <v>0</v>
      </c>
      <c r="E73" s="747"/>
      <c r="F73" s="1813"/>
      <c r="G73" s="1063"/>
      <c r="H73" s="1066" t="str">
        <f t="shared" si="20"/>
        <v>——</v>
      </c>
      <c r="I73" s="3365">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6" customFormat="1" ht="36">
      <c r="A74" s="3367" t="s">
        <v>3274</v>
      </c>
      <c r="B74" s="2133">
        <f>估价对象房地状况!C19</f>
        <v>0</v>
      </c>
      <c r="C74" s="2043"/>
      <c r="D74" s="1065">
        <f t="shared" si="19"/>
        <v>0</v>
      </c>
      <c r="E74" s="747"/>
      <c r="F74" s="1813"/>
      <c r="G74" s="1063"/>
      <c r="H74" s="1066" t="str">
        <f t="shared" si="20"/>
        <v>——</v>
      </c>
      <c r="I74" s="3365">
        <v>0.1</v>
      </c>
      <c r="J74" s="1064">
        <f t="shared" si="21"/>
        <v>0</v>
      </c>
      <c r="K74" s="1064">
        <f t="shared" si="22"/>
        <v>0</v>
      </c>
      <c r="L74" s="1064">
        <v>0</v>
      </c>
      <c r="M74" s="1064">
        <f t="shared" si="23"/>
        <v>0</v>
      </c>
      <c r="N74" s="1064">
        <f t="shared" si="23"/>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9"/>
        <v>0</v>
      </c>
      <c r="E75" s="747"/>
      <c r="F75" s="1813"/>
      <c r="G75" s="1063"/>
      <c r="H75" s="1066" t="str">
        <f t="shared" si="20"/>
        <v>——</v>
      </c>
      <c r="I75" s="3365">
        <v>0.05</v>
      </c>
      <c r="J75" s="1064">
        <f t="shared" si="21"/>
        <v>0</v>
      </c>
      <c r="K75" s="1064">
        <f t="shared" si="22"/>
        <v>0</v>
      </c>
      <c r="L75" s="1064">
        <v>0</v>
      </c>
      <c r="M75" s="1064">
        <f t="shared" si="23"/>
        <v>0</v>
      </c>
      <c r="N75" s="1064">
        <f t="shared" si="23"/>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9"/>
        <v>0</v>
      </c>
      <c r="E76" s="747"/>
      <c r="F76" s="1813"/>
      <c r="G76" s="1063"/>
      <c r="H76" s="1066" t="str">
        <f t="shared" si="20"/>
        <v>——</v>
      </c>
      <c r="I76" s="3365">
        <v>0.08</v>
      </c>
      <c r="J76" s="1064">
        <f t="shared" si="21"/>
        <v>0</v>
      </c>
      <c r="K76" s="1064">
        <f t="shared" si="22"/>
        <v>0</v>
      </c>
      <c r="L76" s="1064">
        <v>0</v>
      </c>
      <c r="M76" s="1064">
        <f t="shared" si="23"/>
        <v>0</v>
      </c>
      <c r="N76" s="1064">
        <f t="shared" si="23"/>
        <v>0</v>
      </c>
      <c r="O76" s="1119"/>
      <c r="P76" s="1119"/>
      <c r="Z76" s="1997"/>
      <c r="AA76" s="2052"/>
      <c r="AG76" s="1121"/>
      <c r="AK76" s="2052"/>
    </row>
    <row r="77" spans="1:37" ht="25.5">
      <c r="A77" s="2129" t="s">
        <v>2060</v>
      </c>
      <c r="B77" s="1325" t="str">
        <f>估价对象房地状况!C22</f>
        <v>估价对象所在区域基础设施水平</v>
      </c>
      <c r="C77" s="2043"/>
      <c r="D77" s="1065">
        <f t="shared" si="19"/>
        <v>0</v>
      </c>
      <c r="E77" s="747"/>
      <c r="F77" s="1813"/>
      <c r="G77" s="1063"/>
      <c r="H77" s="1066" t="str">
        <f t="shared" si="20"/>
        <v>——</v>
      </c>
      <c r="I77" s="3365">
        <v>0.09</v>
      </c>
      <c r="J77" s="1064">
        <f t="shared" si="21"/>
        <v>0</v>
      </c>
      <c r="K77" s="1064">
        <f t="shared" si="22"/>
        <v>0</v>
      </c>
      <c r="L77" s="1064">
        <v>0</v>
      </c>
      <c r="M77" s="1064">
        <f t="shared" si="23"/>
        <v>0</v>
      </c>
      <c r="N77" s="1064">
        <f t="shared" si="23"/>
        <v>0</v>
      </c>
      <c r="O77" s="1119"/>
      <c r="P77" s="1119"/>
      <c r="Z77" s="1997"/>
      <c r="AA77" s="2052"/>
      <c r="AG77" s="1121"/>
      <c r="AK77" s="2052"/>
    </row>
    <row r="78" spans="1:37" ht="24">
      <c r="A78" s="2129" t="s">
        <v>2057</v>
      </c>
      <c r="B78" s="2135" t="s">
        <v>2058</v>
      </c>
      <c r="C78" s="2043"/>
      <c r="D78" s="1065">
        <f t="shared" si="19"/>
        <v>0</v>
      </c>
      <c r="E78" s="747"/>
      <c r="F78" s="1813"/>
      <c r="G78" s="1063"/>
      <c r="H78" s="1066" t="str">
        <f t="shared" si="20"/>
        <v>——</v>
      </c>
      <c r="I78" s="3365">
        <v>0.05</v>
      </c>
      <c r="J78" s="1064">
        <f t="shared" si="21"/>
        <v>0</v>
      </c>
      <c r="K78" s="1064">
        <f t="shared" si="22"/>
        <v>0</v>
      </c>
      <c r="L78" s="1064">
        <v>0</v>
      </c>
      <c r="M78" s="1064">
        <f t="shared" si="23"/>
        <v>0</v>
      </c>
      <c r="N78" s="1064">
        <f t="shared" si="23"/>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9"/>
        <v>0</v>
      </c>
      <c r="E79" s="747"/>
      <c r="F79" s="1813"/>
      <c r="G79" s="1063"/>
      <c r="H79" s="1066" t="str">
        <f t="shared" si="20"/>
        <v>——</v>
      </c>
      <c r="I79" s="3365">
        <v>0.12</v>
      </c>
      <c r="J79" s="1064">
        <f t="shared" si="21"/>
        <v>0</v>
      </c>
      <c r="K79" s="1064">
        <f t="shared" si="22"/>
        <v>0</v>
      </c>
      <c r="L79" s="1064">
        <v>0</v>
      </c>
      <c r="M79" s="1064">
        <f t="shared" si="23"/>
        <v>0</v>
      </c>
      <c r="N79" s="1064">
        <f t="shared" si="23"/>
        <v>0</v>
      </c>
      <c r="Z79" s="1997"/>
      <c r="AA79" s="2052"/>
      <c r="AG79" s="1121"/>
      <c r="AK79" s="2052"/>
    </row>
    <row r="80" spans="1:37" ht="24.75" thickBot="1">
      <c r="A80" s="2137" t="s">
        <v>2068</v>
      </c>
      <c r="B80" s="2141"/>
      <c r="C80" s="2043"/>
      <c r="D80" s="1065">
        <f t="shared" si="19"/>
        <v>0</v>
      </c>
      <c r="E80" s="748"/>
      <c r="F80" s="1813"/>
      <c r="G80" s="1063"/>
      <c r="H80" s="1066" t="str">
        <f t="shared" si="20"/>
        <v>——</v>
      </c>
      <c r="I80" s="3366">
        <v>0.05</v>
      </c>
      <c r="J80" s="1064">
        <f t="shared" si="21"/>
        <v>0</v>
      </c>
      <c r="K80" s="1064">
        <f t="shared" si="22"/>
        <v>0</v>
      </c>
      <c r="L80" s="1064">
        <v>0</v>
      </c>
      <c r="M80" s="1064">
        <f t="shared" si="23"/>
        <v>0</v>
      </c>
      <c r="N80" s="1064">
        <f t="shared" si="23"/>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4">SUMIF($J$82:$N$82,C83,J83:N83)</f>
        <v>0</v>
      </c>
      <c r="E83" s="744">
        <f>ROUND(SUM(D83:D90),4)</f>
        <v>0</v>
      </c>
      <c r="F83" s="1813" t="str">
        <f>IF(E2="工业",SUMIF(L1:L12,G2,N1:N12),"——")</f>
        <v>——</v>
      </c>
      <c r="G83" s="1063"/>
      <c r="H83" s="1066" t="str">
        <f t="shared" ref="H83:H90" si="25">IFERROR(ROUNDDOWN($F$83*I83/2,4),"——")</f>
        <v>——</v>
      </c>
      <c r="I83" s="3365">
        <v>0.26</v>
      </c>
      <c r="J83" s="1064">
        <f t="shared" ref="J83:J90" si="26">K83+$G83</f>
        <v>0</v>
      </c>
      <c r="K83" s="1064">
        <f t="shared" ref="K83:K90" si="27">$L83+$G83</f>
        <v>0</v>
      </c>
      <c r="L83" s="1064">
        <v>0</v>
      </c>
      <c r="M83" s="1064">
        <f t="shared" ref="M83:N90" si="28">L83-$G83</f>
        <v>0</v>
      </c>
      <c r="N83" s="1064">
        <f t="shared" si="28"/>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4"/>
        <v>0</v>
      </c>
      <c r="E84" s="747"/>
      <c r="F84" s="1813"/>
      <c r="G84" s="1063"/>
      <c r="H84" s="1066" t="str">
        <f t="shared" si="25"/>
        <v>——</v>
      </c>
      <c r="I84" s="3365">
        <v>0.3</v>
      </c>
      <c r="J84" s="1064">
        <f t="shared" si="26"/>
        <v>0</v>
      </c>
      <c r="K84" s="1064">
        <f t="shared" si="27"/>
        <v>0</v>
      </c>
      <c r="L84" s="1064">
        <v>0</v>
      </c>
      <c r="M84" s="1064">
        <f t="shared" si="28"/>
        <v>0</v>
      </c>
      <c r="N84" s="1064">
        <f t="shared" si="28"/>
        <v>0</v>
      </c>
      <c r="Z84" s="1997"/>
      <c r="AA84" s="2052"/>
      <c r="AG84" s="1121"/>
      <c r="AK84" s="2052"/>
    </row>
    <row r="85" spans="1:37" ht="36">
      <c r="A85" s="3367" t="s">
        <v>3275</v>
      </c>
      <c r="B85" s="2133">
        <f>估价对象房地状况!G17</f>
        <v>0</v>
      </c>
      <c r="C85" s="2043"/>
      <c r="D85" s="1065">
        <f t="shared" si="24"/>
        <v>0</v>
      </c>
      <c r="E85" s="747"/>
      <c r="F85" s="1813"/>
      <c r="G85" s="1063"/>
      <c r="H85" s="1066" t="str">
        <f t="shared" si="25"/>
        <v>——</v>
      </c>
      <c r="I85" s="3365">
        <v>0.1</v>
      </c>
      <c r="J85" s="1064">
        <f t="shared" si="26"/>
        <v>0</v>
      </c>
      <c r="K85" s="1064">
        <f t="shared" si="27"/>
        <v>0</v>
      </c>
      <c r="L85" s="1064">
        <v>0</v>
      </c>
      <c r="M85" s="1064">
        <f t="shared" si="28"/>
        <v>0</v>
      </c>
      <c r="N85" s="1064">
        <f t="shared" si="28"/>
        <v>0</v>
      </c>
      <c r="Z85" s="1997"/>
      <c r="AA85" s="2052"/>
      <c r="AG85" s="1121"/>
      <c r="AK85" s="2052"/>
    </row>
    <row r="86" spans="1:37" ht="14.25">
      <c r="A86" s="2129" t="s">
        <v>2067</v>
      </c>
      <c r="B86" s="2133">
        <f>估价对象房地状况!G22</f>
        <v>0</v>
      </c>
      <c r="C86" s="2043"/>
      <c r="D86" s="1065">
        <f t="shared" si="24"/>
        <v>0</v>
      </c>
      <c r="E86" s="747"/>
      <c r="F86" s="1813"/>
      <c r="G86" s="1063"/>
      <c r="H86" s="1066" t="str">
        <f t="shared" si="25"/>
        <v>——</v>
      </c>
      <c r="I86" s="3365">
        <v>0.05</v>
      </c>
      <c r="J86" s="1064">
        <f t="shared" si="26"/>
        <v>0</v>
      </c>
      <c r="K86" s="1064">
        <f t="shared" si="27"/>
        <v>0</v>
      </c>
      <c r="L86" s="1064">
        <v>0</v>
      </c>
      <c r="M86" s="1064">
        <f t="shared" si="28"/>
        <v>0</v>
      </c>
      <c r="N86" s="1064">
        <f t="shared" si="28"/>
        <v>0</v>
      </c>
      <c r="Z86" s="1997"/>
      <c r="AA86" s="2052"/>
      <c r="AG86" s="1121"/>
      <c r="AK86" s="2052"/>
    </row>
    <row r="87" spans="1:37" ht="25.5">
      <c r="A87" s="2129" t="s">
        <v>2059</v>
      </c>
      <c r="B87" s="1325" t="str">
        <f>估价对象房地状况!G19</f>
        <v>估价对象所在区域公共配套设施齐备情况</v>
      </c>
      <c r="C87" s="2043"/>
      <c r="D87" s="1065">
        <f t="shared" si="24"/>
        <v>0</v>
      </c>
      <c r="E87" s="747"/>
      <c r="F87" s="1813"/>
      <c r="G87" s="1063"/>
      <c r="H87" s="1066" t="str">
        <f t="shared" si="25"/>
        <v>——</v>
      </c>
      <c r="I87" s="3365">
        <v>0.06</v>
      </c>
      <c r="J87" s="1064">
        <f t="shared" si="26"/>
        <v>0</v>
      </c>
      <c r="K87" s="1064">
        <f t="shared" si="27"/>
        <v>0</v>
      </c>
      <c r="L87" s="1064">
        <v>0</v>
      </c>
      <c r="M87" s="1064">
        <f t="shared" si="28"/>
        <v>0</v>
      </c>
      <c r="N87" s="1064">
        <f t="shared" si="28"/>
        <v>0</v>
      </c>
    </row>
    <row r="88" spans="1:37" ht="25.5">
      <c r="A88" s="2129" t="s">
        <v>2060</v>
      </c>
      <c r="B88" s="1325" t="str">
        <f>估价对象房地状况!G20</f>
        <v>估价对象所在区域基础设施水平</v>
      </c>
      <c r="C88" s="2043"/>
      <c r="D88" s="1065">
        <f t="shared" si="24"/>
        <v>0</v>
      </c>
      <c r="E88" s="747"/>
      <c r="F88" s="1813"/>
      <c r="G88" s="1063"/>
      <c r="H88" s="1066" t="str">
        <f t="shared" si="25"/>
        <v>——</v>
      </c>
      <c r="I88" s="3365">
        <v>0.12</v>
      </c>
      <c r="J88" s="1064">
        <f t="shared" si="26"/>
        <v>0</v>
      </c>
      <c r="K88" s="1064">
        <f t="shared" si="27"/>
        <v>0</v>
      </c>
      <c r="L88" s="1064">
        <v>0</v>
      </c>
      <c r="M88" s="1064">
        <f t="shared" si="28"/>
        <v>0</v>
      </c>
      <c r="N88" s="1064">
        <f t="shared" si="28"/>
        <v>0</v>
      </c>
    </row>
    <row r="89" spans="1:37" ht="24">
      <c r="A89" s="2129" t="s">
        <v>2057</v>
      </c>
      <c r="B89" s="2135" t="s">
        <v>2071</v>
      </c>
      <c r="C89" s="2043"/>
      <c r="D89" s="1065">
        <f t="shared" si="24"/>
        <v>0</v>
      </c>
      <c r="E89" s="747"/>
      <c r="F89" s="1813"/>
      <c r="G89" s="1063"/>
      <c r="H89" s="1066" t="str">
        <f t="shared" si="25"/>
        <v>——</v>
      </c>
      <c r="I89" s="3365">
        <v>0.06</v>
      </c>
      <c r="J89" s="1064">
        <f t="shared" si="26"/>
        <v>0</v>
      </c>
      <c r="K89" s="1064">
        <f t="shared" si="27"/>
        <v>0</v>
      </c>
      <c r="L89" s="1064">
        <v>0</v>
      </c>
      <c r="M89" s="1064">
        <f t="shared" si="28"/>
        <v>0</v>
      </c>
      <c r="N89" s="1064">
        <f t="shared" si="28"/>
        <v>0</v>
      </c>
    </row>
    <row r="90" spans="1:37" ht="39" thickBot="1">
      <c r="A90" s="2137" t="s">
        <v>2072</v>
      </c>
      <c r="B90" s="2142" t="str">
        <f>估价对象房地状况!G18</f>
        <v>该园区内是否有污染型企业，绿化情况，卫生条件，整体环境状况判断</v>
      </c>
      <c r="C90" s="2043"/>
      <c r="D90" s="1065">
        <f t="shared" si="24"/>
        <v>0</v>
      </c>
      <c r="E90" s="748"/>
      <c r="F90" s="1813"/>
      <c r="G90" s="1063"/>
      <c r="H90" s="1066" t="str">
        <f t="shared" si="25"/>
        <v>——</v>
      </c>
      <c r="I90" s="3366">
        <v>0.05</v>
      </c>
      <c r="J90" s="1064">
        <f t="shared" si="26"/>
        <v>0</v>
      </c>
      <c r="K90" s="1064">
        <f t="shared" si="27"/>
        <v>0</v>
      </c>
      <c r="L90" s="1064">
        <v>0</v>
      </c>
      <c r="M90" s="1064">
        <f t="shared" si="28"/>
        <v>0</v>
      </c>
      <c r="N90" s="1064">
        <f t="shared" si="28"/>
        <v>0</v>
      </c>
    </row>
    <row r="91" spans="1:37" ht="15">
      <c r="A91" s="3375" t="s">
        <v>2616</v>
      </c>
      <c r="B91" s="3376">
        <f>1+E93</f>
        <v>1</v>
      </c>
      <c r="C91" s="3369"/>
      <c r="D91" s="3370"/>
      <c r="E91" s="1813"/>
      <c r="F91" s="1813"/>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9">K93+$G93</f>
        <v>0</v>
      </c>
      <c r="K93" s="3343">
        <f t="shared" ref="K93:K101" si="30">$L93+$G93</f>
        <v>0</v>
      </c>
      <c r="L93" s="3343">
        <v>0</v>
      </c>
      <c r="M93" s="3343">
        <f t="shared" ref="M93:N101" si="31">L93-$G93</f>
        <v>0</v>
      </c>
      <c r="N93" s="3343">
        <f t="shared" si="31"/>
        <v>0</v>
      </c>
    </row>
    <row r="94" spans="1:37" ht="38.25">
      <c r="A94" s="3377" t="s">
        <v>3278</v>
      </c>
      <c r="B94" s="3368" t="str">
        <f>估价对象房地状况!C18</f>
        <v>估价对象周边道路状况、公共交通通达情况、停车便捷程度，综合评价交通便捷度较好</v>
      </c>
      <c r="C94" s="2043"/>
      <c r="D94" s="3364">
        <f t="shared" ref="D94:D101" si="32">SUMIF($J$60:$N$60,C94,J94:N94)</f>
        <v>0</v>
      </c>
      <c r="E94" s="3381"/>
      <c r="F94" s="1813"/>
      <c r="G94" s="3371"/>
      <c r="H94" s="3419" t="str">
        <f>IFERROR(ROUNDDOWN($F$93*I94/2,4),"——")</f>
        <v>——</v>
      </c>
      <c r="I94" s="3365">
        <v>0.26</v>
      </c>
      <c r="J94" s="3343">
        <f t="shared" si="29"/>
        <v>0</v>
      </c>
      <c r="K94" s="3343">
        <f t="shared" si="30"/>
        <v>0</v>
      </c>
      <c r="L94" s="3343">
        <v>0</v>
      </c>
      <c r="M94" s="3343">
        <f t="shared" si="31"/>
        <v>0</v>
      </c>
      <c r="N94" s="3343">
        <f t="shared" si="31"/>
        <v>0</v>
      </c>
    </row>
    <row r="95" spans="1:37" ht="36">
      <c r="A95" s="3367" t="s">
        <v>3274</v>
      </c>
      <c r="B95" s="3368">
        <f>估价对象房地状况!C19</f>
        <v>0</v>
      </c>
      <c r="C95" s="2043"/>
      <c r="D95" s="3364">
        <f t="shared" si="32"/>
        <v>0</v>
      </c>
      <c r="E95" s="3381"/>
      <c r="F95" s="1813"/>
      <c r="G95" s="3371"/>
      <c r="H95" s="3419" t="str">
        <f t="shared" ref="H95:H101" si="33">IFERROR(ROUNDDOWN($F$93*I95/2,4),"——")</f>
        <v>——</v>
      </c>
      <c r="I95" s="3365">
        <v>0.11</v>
      </c>
      <c r="J95" s="3343">
        <f t="shared" si="29"/>
        <v>0</v>
      </c>
      <c r="K95" s="3343">
        <f t="shared" si="30"/>
        <v>0</v>
      </c>
      <c r="L95" s="3343">
        <v>0</v>
      </c>
      <c r="M95" s="3343">
        <f t="shared" si="31"/>
        <v>0</v>
      </c>
      <c r="N95" s="3343">
        <f t="shared" si="31"/>
        <v>0</v>
      </c>
    </row>
    <row r="96" spans="1:37" ht="36.75">
      <c r="A96" s="3377" t="s">
        <v>3279</v>
      </c>
      <c r="B96" s="3383" t="s">
        <v>3290</v>
      </c>
      <c r="C96" s="2043"/>
      <c r="D96" s="3364">
        <f t="shared" si="32"/>
        <v>0</v>
      </c>
      <c r="E96" s="3381"/>
      <c r="F96" s="1813"/>
      <c r="G96" s="3371"/>
      <c r="H96" s="3419" t="str">
        <f t="shared" si="33"/>
        <v>——</v>
      </c>
      <c r="I96" s="3365">
        <v>0.05</v>
      </c>
      <c r="J96" s="3343">
        <f t="shared" si="29"/>
        <v>0</v>
      </c>
      <c r="K96" s="3343">
        <f t="shared" si="30"/>
        <v>0</v>
      </c>
      <c r="L96" s="3343">
        <v>0</v>
      </c>
      <c r="M96" s="3343">
        <f t="shared" si="31"/>
        <v>0</v>
      </c>
      <c r="N96" s="3343">
        <f t="shared" si="31"/>
        <v>0</v>
      </c>
    </row>
    <row r="97" spans="1:14" ht="24">
      <c r="A97" s="3377" t="s">
        <v>3280</v>
      </c>
      <c r="B97" s="3368">
        <f>估价对象房地状况!C24</f>
        <v>0</v>
      </c>
      <c r="C97" s="2043"/>
      <c r="D97" s="3364">
        <f t="shared" si="32"/>
        <v>0</v>
      </c>
      <c r="E97" s="3381"/>
      <c r="F97" s="1813"/>
      <c r="G97" s="3371"/>
      <c r="H97" s="3419" t="str">
        <f t="shared" si="33"/>
        <v>——</v>
      </c>
      <c r="I97" s="3365">
        <v>0.05</v>
      </c>
      <c r="J97" s="3343">
        <f t="shared" si="29"/>
        <v>0</v>
      </c>
      <c r="K97" s="3343">
        <f t="shared" si="30"/>
        <v>0</v>
      </c>
      <c r="L97" s="3343">
        <v>0</v>
      </c>
      <c r="M97" s="3343">
        <f t="shared" si="31"/>
        <v>0</v>
      </c>
      <c r="N97" s="3343">
        <f t="shared" si="31"/>
        <v>0</v>
      </c>
    </row>
    <row r="98" spans="1:14" ht="24">
      <c r="A98" s="3377" t="s">
        <v>3281</v>
      </c>
      <c r="B98" s="3384" t="s">
        <v>3291</v>
      </c>
      <c r="C98" s="2043"/>
      <c r="D98" s="3364">
        <f t="shared" si="32"/>
        <v>0</v>
      </c>
      <c r="E98" s="3381"/>
      <c r="F98" s="1813"/>
      <c r="G98" s="3371"/>
      <c r="H98" s="3419" t="str">
        <f t="shared" si="33"/>
        <v>——</v>
      </c>
      <c r="I98" s="3365">
        <v>0.06</v>
      </c>
      <c r="J98" s="3343">
        <f t="shared" si="29"/>
        <v>0</v>
      </c>
      <c r="K98" s="3343">
        <f t="shared" si="30"/>
        <v>0</v>
      </c>
      <c r="L98" s="3343">
        <v>0</v>
      </c>
      <c r="M98" s="3343">
        <f t="shared" si="31"/>
        <v>0</v>
      </c>
      <c r="N98" s="3343">
        <f t="shared" si="31"/>
        <v>0</v>
      </c>
    </row>
    <row r="99" spans="1:14" ht="25.5">
      <c r="A99" s="3377" t="s">
        <v>3282</v>
      </c>
      <c r="B99" s="3368" t="str">
        <f>估价对象房地状况!C21</f>
        <v>估价对象所在区域公共配套设施齐备情况</v>
      </c>
      <c r="C99" s="2043"/>
      <c r="D99" s="3364">
        <f t="shared" si="32"/>
        <v>0</v>
      </c>
      <c r="E99" s="3381"/>
      <c r="F99" s="1813"/>
      <c r="G99" s="3371"/>
      <c r="H99" s="3419" t="str">
        <f t="shared" si="33"/>
        <v>——</v>
      </c>
      <c r="I99" s="3365">
        <v>0.06</v>
      </c>
      <c r="J99" s="3343">
        <f t="shared" si="29"/>
        <v>0</v>
      </c>
      <c r="K99" s="3343">
        <f t="shared" si="30"/>
        <v>0</v>
      </c>
      <c r="L99" s="3343">
        <v>0</v>
      </c>
      <c r="M99" s="3343">
        <f t="shared" si="31"/>
        <v>0</v>
      </c>
      <c r="N99" s="3343">
        <f t="shared" si="31"/>
        <v>0</v>
      </c>
    </row>
    <row r="100" spans="1:14" ht="25.5">
      <c r="A100" s="3377" t="s">
        <v>3283</v>
      </c>
      <c r="B100" s="3368" t="str">
        <f>估价对象房地状况!C22</f>
        <v>估价对象所在区域基础设施水平</v>
      </c>
      <c r="C100" s="2043"/>
      <c r="D100" s="3364">
        <f t="shared" si="32"/>
        <v>0</v>
      </c>
      <c r="E100" s="3381"/>
      <c r="F100" s="1813"/>
      <c r="G100" s="3371"/>
      <c r="H100" s="3419" t="str">
        <f t="shared" si="33"/>
        <v>——</v>
      </c>
      <c r="I100" s="3365">
        <v>0.09</v>
      </c>
      <c r="J100" s="3343">
        <f t="shared" si="29"/>
        <v>0</v>
      </c>
      <c r="K100" s="3343">
        <f t="shared" si="30"/>
        <v>0</v>
      </c>
      <c r="L100" s="3343">
        <v>0</v>
      </c>
      <c r="M100" s="3343">
        <f t="shared" si="31"/>
        <v>0</v>
      </c>
      <c r="N100" s="3343">
        <f t="shared" si="31"/>
        <v>0</v>
      </c>
    </row>
    <row r="101" spans="1:14" ht="26.25" thickBot="1">
      <c r="A101" s="3378" t="s">
        <v>3284</v>
      </c>
      <c r="B101" s="3385" t="str">
        <f>估价对象房地状况!C20</f>
        <v>区域自然环境：；人文环境；综合评价环境状况一般</v>
      </c>
      <c r="C101" s="2043"/>
      <c r="D101" s="3364">
        <f t="shared" si="32"/>
        <v>0</v>
      </c>
      <c r="E101" s="3382"/>
      <c r="F101" s="1813"/>
      <c r="G101" s="3371"/>
      <c r="H101" s="3419" t="str">
        <f t="shared" si="33"/>
        <v>——</v>
      </c>
      <c r="I101" s="3366">
        <v>7.0000000000000007E-2</v>
      </c>
      <c r="J101" s="3343">
        <f t="shared" si="29"/>
        <v>0</v>
      </c>
      <c r="K101" s="3343">
        <f t="shared" si="30"/>
        <v>0</v>
      </c>
      <c r="L101" s="3343">
        <v>0</v>
      </c>
      <c r="M101" s="3343">
        <f t="shared" si="31"/>
        <v>0</v>
      </c>
      <c r="N101" s="3343">
        <f t="shared" si="31"/>
        <v>0</v>
      </c>
    </row>
    <row r="103" spans="1:14">
      <c r="A103" s="3776" t="s">
        <v>3299</v>
      </c>
      <c r="B103" s="3776"/>
      <c r="C103" s="3776"/>
      <c r="D103" s="3776"/>
      <c r="E103" s="3776"/>
      <c r="F103" s="3776"/>
      <c r="G103" s="3776"/>
      <c r="H103" s="3776"/>
      <c r="I103" s="3776"/>
      <c r="J103" s="3776"/>
      <c r="K103" s="3388"/>
      <c r="L103" s="3388"/>
      <c r="M103" s="3388"/>
      <c r="N103" s="3388"/>
    </row>
    <row r="104" spans="1:14">
      <c r="A104" s="3777" t="s">
        <v>3300</v>
      </c>
      <c r="B104" s="3777" t="s">
        <v>3301</v>
      </c>
      <c r="C104" s="3389" t="s">
        <v>3302</v>
      </c>
      <c r="D104" s="3390"/>
      <c r="E104" s="3390"/>
      <c r="F104" s="3390"/>
      <c r="G104" s="3390"/>
      <c r="H104" s="3390"/>
      <c r="I104" s="3390"/>
      <c r="J104" s="3391"/>
      <c r="K104" s="3392"/>
      <c r="L104" s="3392"/>
      <c r="M104" s="3392"/>
      <c r="N104" s="3392"/>
    </row>
    <row r="105" spans="1:14">
      <c r="A105" s="3777"/>
      <c r="B105" s="3777"/>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63"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4"/>
      <c r="B111" s="3393" t="s">
        <v>3273</v>
      </c>
      <c r="C111" s="3394">
        <f>$I$3</f>
        <v>0</v>
      </c>
      <c r="D111" s="3394">
        <f t="shared" ref="D111:M111" si="34">$I$3</f>
        <v>0</v>
      </c>
      <c r="E111" s="3394">
        <f t="shared" si="34"/>
        <v>0</v>
      </c>
      <c r="F111" s="3394">
        <f t="shared" si="34"/>
        <v>0</v>
      </c>
      <c r="G111" s="3394">
        <f t="shared" si="34"/>
        <v>0</v>
      </c>
      <c r="H111" s="3394">
        <f t="shared" si="34"/>
        <v>0</v>
      </c>
      <c r="I111" s="3394">
        <f t="shared" si="34"/>
        <v>0</v>
      </c>
      <c r="J111" s="3394">
        <f t="shared" si="34"/>
        <v>0</v>
      </c>
      <c r="K111" s="3394">
        <f t="shared" si="34"/>
        <v>0</v>
      </c>
      <c r="L111" s="3394">
        <f t="shared" si="34"/>
        <v>0</v>
      </c>
      <c r="M111" s="3394">
        <f t="shared" si="34"/>
        <v>0</v>
      </c>
      <c r="N111" s="3394">
        <f>$I$3</f>
        <v>0</v>
      </c>
    </row>
    <row r="112" spans="1:14">
      <c r="A112" s="3765"/>
      <c r="B112" s="3393">
        <v>6</v>
      </c>
      <c r="C112" s="3386">
        <f>(-0.5556*(C111^2)-0.2719*C111+8944)*(10^(-4))</f>
        <v>0.89440000000000008</v>
      </c>
      <c r="D112" s="3386">
        <f>(-0.5556*(D111^2)-0.2719*D111+8944)*(10^(-4))</f>
        <v>0.89440000000000008</v>
      </c>
      <c r="E112" s="3386">
        <f>(-0.7912*(E111^2)-11.3794*E111+8482)*(10^(-4))</f>
        <v>0.84820000000000007</v>
      </c>
      <c r="F112" s="3386">
        <f t="shared" ref="F112:I112" si="35">(-0.7912*(F111^2)-11.3794*F111+8482)*(10^(-4))</f>
        <v>0.84820000000000007</v>
      </c>
      <c r="G112" s="3386">
        <f t="shared" si="35"/>
        <v>0.84820000000000007</v>
      </c>
      <c r="H112" s="3386">
        <f t="shared" si="35"/>
        <v>0.84820000000000007</v>
      </c>
      <c r="I112" s="3386">
        <f t="shared" si="35"/>
        <v>0.84820000000000007</v>
      </c>
      <c r="J112" s="3386">
        <f>(-0.989*(J111^2)-63.78*J111+7771)*(10^(-4))</f>
        <v>0.77710000000000001</v>
      </c>
      <c r="K112" s="3386">
        <f t="shared" ref="K112:N112" si="36">(-0.989*(K111^2)-63.78*K111+7771)*(10^(-4))</f>
        <v>0.77710000000000001</v>
      </c>
      <c r="L112" s="3386">
        <f t="shared" si="36"/>
        <v>0.77710000000000001</v>
      </c>
      <c r="M112" s="3386">
        <f t="shared" si="36"/>
        <v>0.77710000000000001</v>
      </c>
      <c r="N112" s="3386">
        <f t="shared" si="36"/>
        <v>0.77710000000000001</v>
      </c>
    </row>
    <row r="113" spans="1:14">
      <c r="A113" s="3766" t="s">
        <v>3316</v>
      </c>
      <c r="B113" s="3766"/>
      <c r="C113" s="3766"/>
      <c r="D113" s="3766"/>
      <c r="E113" s="3766"/>
      <c r="F113" s="3766"/>
      <c r="G113" s="3766"/>
      <c r="H113" s="3766"/>
      <c r="I113" s="3766"/>
      <c r="J113" s="376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2.31</v>
      </c>
      <c r="C116" s="3398" t="s">
        <v>3318</v>
      </c>
      <c r="D116" s="3399">
        <f>SUMPRODUCT((A118:A122=F116)*(B117:M117=H116)*B118:M122)</f>
        <v>0.90869999999999995</v>
      </c>
      <c r="E116" s="1999" t="s">
        <v>3319</v>
      </c>
      <c r="F116" s="3400" t="str">
        <f>E2</f>
        <v>办公</v>
      </c>
      <c r="G116" s="1999" t="s">
        <v>3320</v>
      </c>
      <c r="H116" s="3400" t="str">
        <f>G2</f>
        <v>七级</v>
      </c>
      <c r="I116" s="1999"/>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0.97140000000000004</v>
      </c>
      <c r="C118" s="3386">
        <f>B118</f>
        <v>0.97140000000000004</v>
      </c>
      <c r="D118" s="3386">
        <f>ROUND(0.949-0.014*B116,4)</f>
        <v>0.91669999999999996</v>
      </c>
      <c r="E118" s="3386">
        <f>D118</f>
        <v>0.91669999999999996</v>
      </c>
      <c r="F118" s="3386">
        <f>E118</f>
        <v>0.91669999999999996</v>
      </c>
      <c r="G118" s="3386">
        <f>F118</f>
        <v>0.91669999999999996</v>
      </c>
      <c r="H118" s="3386">
        <f>G118</f>
        <v>0.91669999999999996</v>
      </c>
      <c r="I118" s="3386">
        <f>ROUND(0.8486-0.018*B116,4)</f>
        <v>0.80700000000000005</v>
      </c>
      <c r="J118" s="3386">
        <f t="shared" ref="J118:M122" si="37">I118</f>
        <v>0.80700000000000005</v>
      </c>
      <c r="K118" s="3386">
        <f t="shared" si="37"/>
        <v>0.80700000000000005</v>
      </c>
      <c r="L118" s="3386">
        <f t="shared" si="37"/>
        <v>0.80700000000000005</v>
      </c>
      <c r="M118" s="3409">
        <f t="shared" si="37"/>
        <v>0.80700000000000005</v>
      </c>
      <c r="N118" s="3396"/>
    </row>
    <row r="119" spans="1:14">
      <c r="A119" s="3408" t="s">
        <v>3334</v>
      </c>
      <c r="B119" s="3386">
        <f>ROUND(0.993-0.0112*B116,4)</f>
        <v>0.96709999999999996</v>
      </c>
      <c r="C119" s="3386">
        <f>B119</f>
        <v>0.96709999999999996</v>
      </c>
      <c r="D119" s="3386">
        <f>ROUND(0.9415-0.0142*B116,4)</f>
        <v>0.90869999999999995</v>
      </c>
      <c r="E119" s="3386">
        <f t="shared" ref="E119:H120" si="38">D119</f>
        <v>0.90869999999999995</v>
      </c>
      <c r="F119" s="3386">
        <f t="shared" si="38"/>
        <v>0.90869999999999995</v>
      </c>
      <c r="G119" s="3386">
        <f t="shared" si="38"/>
        <v>0.90869999999999995</v>
      </c>
      <c r="H119" s="3386">
        <f t="shared" si="38"/>
        <v>0.90869999999999995</v>
      </c>
      <c r="I119" s="3386">
        <f>ROUND(0.838-0.0182*B116,4)</f>
        <v>0.79600000000000004</v>
      </c>
      <c r="J119" s="3386">
        <f t="shared" si="37"/>
        <v>0.79600000000000004</v>
      </c>
      <c r="K119" s="3386">
        <f t="shared" si="37"/>
        <v>0.79600000000000004</v>
      </c>
      <c r="L119" s="3386">
        <f t="shared" si="37"/>
        <v>0.79600000000000004</v>
      </c>
      <c r="M119" s="3409">
        <f t="shared" si="37"/>
        <v>0.79600000000000004</v>
      </c>
      <c r="N119" s="3396"/>
    </row>
    <row r="120" spans="1:14">
      <c r="A120" s="3408" t="s">
        <v>3335</v>
      </c>
      <c r="B120" s="3386">
        <f>ROUND(0.9448-0.0115*B116,4)</f>
        <v>0.91820000000000002</v>
      </c>
      <c r="C120" s="3386">
        <f>B120</f>
        <v>0.91820000000000002</v>
      </c>
      <c r="D120" s="3386">
        <f>ROUND(0.937-0.0145*B116,4)</f>
        <v>0.90349999999999997</v>
      </c>
      <c r="E120" s="3386">
        <f t="shared" si="38"/>
        <v>0.90349999999999997</v>
      </c>
      <c r="F120" s="3386">
        <f t="shared" si="38"/>
        <v>0.90349999999999997</v>
      </c>
      <c r="G120" s="3386">
        <f t="shared" si="38"/>
        <v>0.90349999999999997</v>
      </c>
      <c r="H120" s="3386">
        <f t="shared" si="38"/>
        <v>0.90349999999999997</v>
      </c>
      <c r="I120" s="3386">
        <f>ROUND(0.7965-0.0185*B116,4)</f>
        <v>0.75380000000000003</v>
      </c>
      <c r="J120" s="3386">
        <f t="shared" si="37"/>
        <v>0.75380000000000003</v>
      </c>
      <c r="K120" s="3386">
        <f t="shared" si="37"/>
        <v>0.75380000000000003</v>
      </c>
      <c r="L120" s="3386">
        <f t="shared" si="37"/>
        <v>0.75380000000000003</v>
      </c>
      <c r="M120" s="3409">
        <f t="shared" si="37"/>
        <v>0.75380000000000003</v>
      </c>
      <c r="N120" s="3396"/>
    </row>
    <row r="121" spans="1:14" ht="13.5" thickBot="1">
      <c r="A121" s="3410" t="s">
        <v>3336</v>
      </c>
      <c r="B121" s="3411">
        <f>ROUND(0.7836-0.012*B116,4)</f>
        <v>0.75590000000000002</v>
      </c>
      <c r="C121" s="3411">
        <f>B121</f>
        <v>0.75590000000000002</v>
      </c>
      <c r="D121" s="3411">
        <f>ROUND(0.753-0.015*B116,4)</f>
        <v>0.71840000000000004</v>
      </c>
      <c r="E121" s="3411">
        <f>D121</f>
        <v>0.71840000000000004</v>
      </c>
      <c r="F121" s="3411">
        <f>E121</f>
        <v>0.71840000000000004</v>
      </c>
      <c r="G121" s="3411">
        <f>ROUND(0.6612-0.018*B116,4)</f>
        <v>0.61960000000000004</v>
      </c>
      <c r="H121" s="3411">
        <f>G121</f>
        <v>0.61960000000000004</v>
      </c>
      <c r="I121" s="3411">
        <f>ROUND(0.5905-0.019*B116,4)</f>
        <v>0.54659999999999997</v>
      </c>
      <c r="J121" s="3411">
        <f t="shared" si="37"/>
        <v>0.54659999999999997</v>
      </c>
      <c r="K121" s="3411">
        <f t="shared" si="37"/>
        <v>0.54659999999999997</v>
      </c>
      <c r="L121" s="3411">
        <f t="shared" si="37"/>
        <v>0.54659999999999997</v>
      </c>
      <c r="M121" s="3412">
        <f t="shared" si="37"/>
        <v>0.54659999999999997</v>
      </c>
      <c r="N121" s="3396"/>
    </row>
    <row r="122" spans="1:14">
      <c r="A122" s="3413" t="s">
        <v>2616</v>
      </c>
      <c r="B122" s="3386">
        <f>ROUND(0.9404-0.0106*B116,4)</f>
        <v>0.91590000000000005</v>
      </c>
      <c r="C122" s="3386">
        <f>B122</f>
        <v>0.91590000000000005</v>
      </c>
      <c r="D122" s="3386">
        <f>ROUND(0.8955-0.0135*B116,4)</f>
        <v>0.86429999999999996</v>
      </c>
      <c r="E122" s="3386">
        <f t="shared" ref="E122:H122" si="39">D122</f>
        <v>0.86429999999999996</v>
      </c>
      <c r="F122" s="3386">
        <f t="shared" si="39"/>
        <v>0.86429999999999996</v>
      </c>
      <c r="G122" s="3386">
        <f t="shared" si="39"/>
        <v>0.86429999999999996</v>
      </c>
      <c r="H122" s="3386">
        <f t="shared" si="39"/>
        <v>0.86429999999999996</v>
      </c>
      <c r="I122" s="3386">
        <f>ROUND(0.7632-0.0166*B116,4)</f>
        <v>0.72489999999999999</v>
      </c>
      <c r="J122" s="3386">
        <f t="shared" si="37"/>
        <v>0.72489999999999999</v>
      </c>
      <c r="K122" s="3386">
        <f t="shared" si="37"/>
        <v>0.72489999999999999</v>
      </c>
      <c r="L122" s="3386">
        <f t="shared" si="37"/>
        <v>0.72489999999999999</v>
      </c>
      <c r="M122" s="3409">
        <f t="shared" si="37"/>
        <v>0.72489999999999999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91" t="s">
        <v>2611</v>
      </c>
      <c r="B20" s="3786" t="s">
        <v>2632</v>
      </c>
      <c r="C20" s="3101" t="s">
        <v>2443</v>
      </c>
      <c r="D20" s="3102"/>
      <c r="E20" s="3103">
        <v>1</v>
      </c>
      <c r="F20" s="3104" t="s">
        <v>2444</v>
      </c>
      <c r="G20" s="3104"/>
    </row>
    <row r="21" spans="1:13" ht="19.5" customHeight="1">
      <c r="A21" s="3792"/>
      <c r="B21" s="3785"/>
      <c r="C21" s="3105" t="s">
        <v>2445</v>
      </c>
      <c r="D21" s="3106"/>
      <c r="E21" s="3107">
        <v>1</v>
      </c>
      <c r="F21" s="3104" t="s">
        <v>2446</v>
      </c>
      <c r="G21" s="3104"/>
    </row>
    <row r="22" spans="1:13" ht="19.5" customHeight="1">
      <c r="A22" s="3792"/>
      <c r="B22" s="3785"/>
      <c r="C22" s="3105" t="s">
        <v>2447</v>
      </c>
      <c r="D22" s="3106"/>
      <c r="E22" s="3107">
        <v>0.9</v>
      </c>
      <c r="F22" s="3104" t="s">
        <v>2448</v>
      </c>
      <c r="G22" s="3104"/>
    </row>
    <row r="23" spans="1:13" ht="19.5" customHeight="1">
      <c r="A23" s="3792"/>
      <c r="B23" s="3785"/>
      <c r="C23" s="3105" t="s">
        <v>2449</v>
      </c>
      <c r="D23" s="3106"/>
      <c r="E23" s="3107">
        <v>0.9</v>
      </c>
      <c r="F23" s="3104" t="s">
        <v>2450</v>
      </c>
      <c r="G23" s="3104"/>
    </row>
    <row r="24" spans="1:13" ht="19.5" customHeight="1">
      <c r="A24" s="3792"/>
      <c r="B24" s="3785"/>
      <c r="C24" s="3105" t="s">
        <v>2451</v>
      </c>
      <c r="D24" s="3106"/>
      <c r="E24" s="3107">
        <v>0.8</v>
      </c>
      <c r="F24" s="3104" t="s">
        <v>2452</v>
      </c>
      <c r="G24" s="3104"/>
    </row>
    <row r="25" spans="1:13" ht="19.5" customHeight="1" thickBot="1">
      <c r="A25" s="3793"/>
      <c r="B25" s="3787"/>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88" t="s">
        <v>2635</v>
      </c>
      <c r="B27" s="3786" t="s">
        <v>2616</v>
      </c>
      <c r="C27" s="3101" t="s">
        <v>2456</v>
      </c>
      <c r="D27" s="3102"/>
      <c r="E27" s="3103">
        <v>1</v>
      </c>
      <c r="F27" s="3104" t="s">
        <v>2457</v>
      </c>
      <c r="G27" s="3104"/>
    </row>
    <row r="28" spans="1:13" ht="19.5" customHeight="1">
      <c r="A28" s="3789"/>
      <c r="B28" s="3785"/>
      <c r="C28" s="3105" t="s">
        <v>2458</v>
      </c>
      <c r="D28" s="3106"/>
      <c r="E28" s="3107">
        <v>1</v>
      </c>
      <c r="F28" s="3104" t="s">
        <v>2459</v>
      </c>
      <c r="G28" s="3104"/>
    </row>
    <row r="29" spans="1:13" ht="19.5" customHeight="1">
      <c r="A29" s="3789"/>
      <c r="B29" s="3785"/>
      <c r="C29" s="3105" t="s">
        <v>2460</v>
      </c>
      <c r="D29" s="3106"/>
      <c r="E29" s="3107">
        <v>0.8</v>
      </c>
      <c r="F29" s="3104" t="s">
        <v>2461</v>
      </c>
      <c r="G29" s="3104"/>
    </row>
    <row r="30" spans="1:13" ht="19.5" customHeight="1">
      <c r="A30" s="3789"/>
      <c r="B30" s="3785"/>
      <c r="C30" s="3105" t="s">
        <v>2462</v>
      </c>
      <c r="D30" s="3106"/>
      <c r="E30" s="3107">
        <v>0.8</v>
      </c>
      <c r="F30" s="3104" t="s">
        <v>2463</v>
      </c>
      <c r="G30" s="3104"/>
    </row>
    <row r="31" spans="1:13" ht="19.5" customHeight="1">
      <c r="A31" s="3789"/>
      <c r="B31" s="3785"/>
      <c r="C31" s="3105" t="s">
        <v>2464</v>
      </c>
      <c r="D31" s="3106"/>
      <c r="E31" s="3107">
        <v>0.8</v>
      </c>
      <c r="F31" s="3104" t="s">
        <v>2465</v>
      </c>
      <c r="G31" s="3104"/>
    </row>
    <row r="32" spans="1:13" ht="19.5" customHeight="1">
      <c r="A32" s="3789"/>
      <c r="B32" s="3785"/>
      <c r="C32" s="3105" t="s">
        <v>2466</v>
      </c>
      <c r="D32" s="3106"/>
      <c r="E32" s="3107">
        <v>0.7</v>
      </c>
      <c r="F32" s="3104" t="s">
        <v>2467</v>
      </c>
      <c r="G32" s="3104"/>
    </row>
    <row r="33" spans="1:7" ht="19.5" customHeight="1">
      <c r="A33" s="3789"/>
      <c r="B33" s="3785"/>
      <c r="C33" s="3105" t="s">
        <v>2468</v>
      </c>
      <c r="D33" s="3106"/>
      <c r="E33" s="3107">
        <v>0.8</v>
      </c>
      <c r="F33" s="3104" t="s">
        <v>2469</v>
      </c>
      <c r="G33" s="3104"/>
    </row>
    <row r="34" spans="1:7" ht="19.5" customHeight="1">
      <c r="A34" s="3789"/>
      <c r="B34" s="3785"/>
      <c r="C34" s="3105" t="s">
        <v>2470</v>
      </c>
      <c r="D34" s="3106"/>
      <c r="E34" s="3107">
        <v>0.6</v>
      </c>
      <c r="F34" s="3104" t="s">
        <v>2471</v>
      </c>
      <c r="G34" s="3104"/>
    </row>
    <row r="35" spans="1:7" ht="19.5" customHeight="1">
      <c r="A35" s="3789"/>
      <c r="B35" s="3785"/>
      <c r="C35" s="3105" t="s">
        <v>2472</v>
      </c>
      <c r="D35" s="3106"/>
      <c r="E35" s="3107">
        <v>0.2</v>
      </c>
      <c r="F35" s="3104" t="s">
        <v>2473</v>
      </c>
      <c r="G35" s="3104"/>
    </row>
    <row r="36" spans="1:7" ht="19.5" customHeight="1">
      <c r="A36" s="3789"/>
      <c r="B36" s="3785"/>
      <c r="C36" s="3105" t="s">
        <v>2474</v>
      </c>
      <c r="D36" s="3106"/>
      <c r="E36" s="3107">
        <v>0.2</v>
      </c>
      <c r="F36" s="3104" t="s">
        <v>2475</v>
      </c>
      <c r="G36" s="3104"/>
    </row>
    <row r="37" spans="1:7" ht="19.5" customHeight="1">
      <c r="A37" s="3789"/>
      <c r="B37" s="3783" t="s">
        <v>2636</v>
      </c>
      <c r="C37" s="3105" t="s">
        <v>2476</v>
      </c>
      <c r="D37" s="3106"/>
      <c r="E37" s="3107">
        <v>0.6</v>
      </c>
      <c r="F37" s="3104" t="s">
        <v>2477</v>
      </c>
      <c r="G37" s="3104"/>
    </row>
    <row r="38" spans="1:7" ht="19.5" customHeight="1">
      <c r="A38" s="3789"/>
      <c r="B38" s="3785"/>
      <c r="C38" s="3105" t="s">
        <v>2478</v>
      </c>
      <c r="D38" s="3106"/>
      <c r="E38" s="3107">
        <v>0.6</v>
      </c>
      <c r="F38" s="3104" t="s">
        <v>2479</v>
      </c>
      <c r="G38" s="3104"/>
    </row>
    <row r="39" spans="1:7" ht="19.5" customHeight="1" thickBot="1">
      <c r="A39" s="3790"/>
      <c r="B39" s="3787"/>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91" t="s">
        <v>2614</v>
      </c>
      <c r="B41" s="3786" t="s">
        <v>2638</v>
      </c>
      <c r="C41" s="3101" t="s">
        <v>2483</v>
      </c>
      <c r="D41" s="3102"/>
      <c r="E41" s="3103">
        <v>1</v>
      </c>
      <c r="F41" s="3104" t="s">
        <v>2484</v>
      </c>
      <c r="G41" s="3104"/>
    </row>
    <row r="42" spans="1:7" ht="19.5" customHeight="1">
      <c r="A42" s="3792"/>
      <c r="B42" s="3785"/>
      <c r="C42" s="3105" t="s">
        <v>2485</v>
      </c>
      <c r="D42" s="3106"/>
      <c r="E42" s="3107">
        <v>1</v>
      </c>
      <c r="F42" s="3104" t="s">
        <v>2486</v>
      </c>
      <c r="G42" s="3104"/>
    </row>
    <row r="43" spans="1:7" ht="19.5" customHeight="1">
      <c r="A43" s="3792"/>
      <c r="B43" s="3784"/>
      <c r="C43" s="3105" t="s">
        <v>2487</v>
      </c>
      <c r="D43" s="3106"/>
      <c r="E43" s="3107">
        <v>1.5</v>
      </c>
      <c r="F43" s="3104" t="s">
        <v>2488</v>
      </c>
      <c r="G43" s="3104"/>
    </row>
    <row r="44" spans="1:7" ht="19.5" customHeight="1">
      <c r="A44" s="3792"/>
      <c r="B44" s="3116" t="s">
        <v>2639</v>
      </c>
      <c r="C44" s="3105" t="s">
        <v>2640</v>
      </c>
      <c r="D44" s="3106"/>
      <c r="E44" s="3107">
        <v>2</v>
      </c>
      <c r="F44" s="3104" t="s">
        <v>2489</v>
      </c>
      <c r="G44" s="3104"/>
    </row>
    <row r="45" spans="1:7" ht="19.5" customHeight="1">
      <c r="A45" s="3792"/>
      <c r="B45" s="3783" t="s">
        <v>2641</v>
      </c>
      <c r="C45" s="3105" t="s">
        <v>2490</v>
      </c>
      <c r="D45" s="3106"/>
      <c r="E45" s="3107">
        <v>1</v>
      </c>
      <c r="F45" s="3104" t="s">
        <v>2491</v>
      </c>
      <c r="G45" s="3104"/>
    </row>
    <row r="46" spans="1:7" ht="19.5" customHeight="1">
      <c r="A46" s="3792"/>
      <c r="B46" s="3785"/>
      <c r="C46" s="3105" t="s">
        <v>2492</v>
      </c>
      <c r="D46" s="3106"/>
      <c r="E46" s="3107">
        <v>1</v>
      </c>
      <c r="F46" s="3104" t="s">
        <v>2493</v>
      </c>
      <c r="G46" s="3104"/>
    </row>
    <row r="47" spans="1:7" ht="19.5" customHeight="1">
      <c r="A47" s="3792"/>
      <c r="B47" s="3785"/>
      <c r="C47" s="3105" t="s">
        <v>2494</v>
      </c>
      <c r="D47" s="3106"/>
      <c r="E47" s="3107">
        <v>1</v>
      </c>
      <c r="F47" s="3104" t="s">
        <v>2495</v>
      </c>
      <c r="G47" s="3104"/>
    </row>
    <row r="48" spans="1:7" ht="19.5" customHeight="1">
      <c r="A48" s="3792"/>
      <c r="B48" s="3785"/>
      <c r="C48" s="3105" t="s">
        <v>2496</v>
      </c>
      <c r="D48" s="3106"/>
      <c r="E48" s="3107">
        <v>1</v>
      </c>
      <c r="F48" s="3104" t="s">
        <v>2497</v>
      </c>
      <c r="G48" s="3104"/>
    </row>
    <row r="49" spans="1:7" ht="19.5" customHeight="1">
      <c r="A49" s="3792"/>
      <c r="B49" s="3785"/>
      <c r="C49" s="3105" t="s">
        <v>2498</v>
      </c>
      <c r="D49" s="3106"/>
      <c r="E49" s="3107">
        <v>1</v>
      </c>
      <c r="F49" s="3104" t="s">
        <v>2499</v>
      </c>
      <c r="G49" s="3104"/>
    </row>
    <row r="50" spans="1:7" ht="19.5" customHeight="1">
      <c r="A50" s="3792"/>
      <c r="B50" s="3785"/>
      <c r="C50" s="3105" t="s">
        <v>2500</v>
      </c>
      <c r="D50" s="3106"/>
      <c r="E50" s="3107">
        <v>1</v>
      </c>
      <c r="F50" s="3104" t="s">
        <v>2501</v>
      </c>
      <c r="G50" s="3104"/>
    </row>
    <row r="51" spans="1:7" ht="19.5" customHeight="1" thickBot="1">
      <c r="A51" s="3793"/>
      <c r="B51" s="3787"/>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83" t="s">
        <v>2655</v>
      </c>
      <c r="C73" s="3090" t="s">
        <v>2656</v>
      </c>
      <c r="D73" s="3090" t="s">
        <v>2657</v>
      </c>
      <c r="E73" s="3116">
        <v>0.2</v>
      </c>
      <c r="F73" s="3116">
        <v>25</v>
      </c>
    </row>
    <row r="74" spans="1:7" ht="24">
      <c r="A74" s="3116">
        <v>2</v>
      </c>
      <c r="B74" s="3785"/>
      <c r="C74" s="3090" t="s">
        <v>2658</v>
      </c>
      <c r="D74" s="3090" t="s">
        <v>2659</v>
      </c>
      <c r="E74" s="3116">
        <v>0.2</v>
      </c>
      <c r="F74" s="3116">
        <v>25</v>
      </c>
    </row>
    <row r="75" spans="1:7" ht="24">
      <c r="A75" s="3116">
        <v>3</v>
      </c>
      <c r="B75" s="3785"/>
      <c r="C75" s="3090" t="s">
        <v>2660</v>
      </c>
      <c r="D75" s="3090" t="s">
        <v>2661</v>
      </c>
      <c r="E75" s="3116">
        <v>0.2</v>
      </c>
      <c r="F75" s="3116">
        <v>25</v>
      </c>
    </row>
    <row r="76" spans="1:7" ht="13.5">
      <c r="A76" s="3116">
        <v>4</v>
      </c>
      <c r="B76" s="3785"/>
      <c r="C76" s="3090" t="s">
        <v>2662</v>
      </c>
      <c r="D76" s="3090" t="s">
        <v>2663</v>
      </c>
      <c r="E76" s="3116">
        <v>0.15</v>
      </c>
      <c r="F76" s="3116">
        <v>20</v>
      </c>
    </row>
    <row r="77" spans="1:7" ht="24">
      <c r="A77" s="3116">
        <v>5</v>
      </c>
      <c r="B77" s="3785"/>
      <c r="C77" s="3090" t="s">
        <v>2664</v>
      </c>
      <c r="D77" s="3090" t="s">
        <v>2665</v>
      </c>
      <c r="E77" s="3116">
        <v>0.15</v>
      </c>
      <c r="F77" s="3116">
        <v>20</v>
      </c>
    </row>
    <row r="78" spans="1:7" ht="24">
      <c r="A78" s="3116">
        <v>6</v>
      </c>
      <c r="B78" s="3785"/>
      <c r="C78" s="3090" t="s">
        <v>2666</v>
      </c>
      <c r="D78" s="3090" t="s">
        <v>2667</v>
      </c>
      <c r="E78" s="3116">
        <v>0.15</v>
      </c>
      <c r="F78" s="3116">
        <v>20</v>
      </c>
    </row>
    <row r="79" spans="1:7" ht="24">
      <c r="A79" s="3116">
        <v>7</v>
      </c>
      <c r="B79" s="3785"/>
      <c r="C79" s="3090" t="s">
        <v>2668</v>
      </c>
      <c r="D79" s="3090" t="s">
        <v>2669</v>
      </c>
      <c r="E79" s="3116">
        <v>0.15</v>
      </c>
      <c r="F79" s="3116">
        <v>20</v>
      </c>
    </row>
    <row r="80" spans="1:7" ht="24">
      <c r="A80" s="3116">
        <v>8</v>
      </c>
      <c r="B80" s="3785"/>
      <c r="C80" s="3090" t="s">
        <v>2670</v>
      </c>
      <c r="D80" s="3090" t="s">
        <v>2671</v>
      </c>
      <c r="E80" s="3116">
        <v>0.1</v>
      </c>
      <c r="F80" s="3116">
        <v>15</v>
      </c>
    </row>
    <row r="81" spans="1:6" ht="24">
      <c r="A81" s="3116">
        <v>9</v>
      </c>
      <c r="B81" s="3785"/>
      <c r="C81" s="3090" t="s">
        <v>2672</v>
      </c>
      <c r="D81" s="3090" t="s">
        <v>2673</v>
      </c>
      <c r="E81" s="3116">
        <v>0.1</v>
      </c>
      <c r="F81" s="3116">
        <v>15</v>
      </c>
    </row>
    <row r="82" spans="1:6" ht="24">
      <c r="A82" s="3116">
        <v>10</v>
      </c>
      <c r="B82" s="3785"/>
      <c r="C82" s="3090" t="s">
        <v>2674</v>
      </c>
      <c r="D82" s="3090" t="s">
        <v>2675</v>
      </c>
      <c r="E82" s="3116">
        <v>0.1</v>
      </c>
      <c r="F82" s="3116">
        <v>15</v>
      </c>
    </row>
    <row r="83" spans="1:6" ht="24">
      <c r="A83" s="3116">
        <v>11</v>
      </c>
      <c r="B83" s="3785"/>
      <c r="C83" s="3090" t="s">
        <v>2676</v>
      </c>
      <c r="D83" s="3090" t="s">
        <v>2677</v>
      </c>
      <c r="E83" s="3116">
        <v>0.1</v>
      </c>
      <c r="F83" s="3116">
        <v>15</v>
      </c>
    </row>
    <row r="84" spans="1:6" ht="24">
      <c r="A84" s="3116">
        <v>12</v>
      </c>
      <c r="B84" s="3785"/>
      <c r="C84" s="3090" t="s">
        <v>2678</v>
      </c>
      <c r="D84" s="3090" t="s">
        <v>2679</v>
      </c>
      <c r="E84" s="3116">
        <v>0.1</v>
      </c>
      <c r="F84" s="3116">
        <v>15</v>
      </c>
    </row>
    <row r="85" spans="1:6" ht="13.5">
      <c r="A85" s="3116">
        <v>13</v>
      </c>
      <c r="B85" s="3785"/>
      <c r="C85" s="3090" t="s">
        <v>2680</v>
      </c>
      <c r="D85" s="3090" t="s">
        <v>2681</v>
      </c>
      <c r="E85" s="3116">
        <v>0.1</v>
      </c>
      <c r="F85" s="3116">
        <v>15</v>
      </c>
    </row>
    <row r="86" spans="1:6" ht="13.5">
      <c r="A86" s="3116">
        <v>14</v>
      </c>
      <c r="B86" s="3785"/>
      <c r="C86" s="3090" t="s">
        <v>2682</v>
      </c>
      <c r="D86" s="3090" t="s">
        <v>2683</v>
      </c>
      <c r="E86" s="3116">
        <v>0.1</v>
      </c>
      <c r="F86" s="3116">
        <v>15</v>
      </c>
    </row>
    <row r="87" spans="1:6" ht="13.5">
      <c r="A87" s="3116">
        <v>15</v>
      </c>
      <c r="B87" s="3785"/>
      <c r="C87" s="3090" t="s">
        <v>2684</v>
      </c>
      <c r="D87" s="3090" t="s">
        <v>2685</v>
      </c>
      <c r="E87" s="3116">
        <v>0.1</v>
      </c>
      <c r="F87" s="3116">
        <v>15</v>
      </c>
    </row>
    <row r="88" spans="1:6" ht="24">
      <c r="A88" s="3116">
        <v>16</v>
      </c>
      <c r="B88" s="3785"/>
      <c r="C88" s="3090" t="s">
        <v>2686</v>
      </c>
      <c r="D88" s="3090" t="s">
        <v>2687</v>
      </c>
      <c r="E88" s="3116">
        <v>0.1</v>
      </c>
      <c r="F88" s="3116">
        <v>15</v>
      </c>
    </row>
    <row r="89" spans="1:6" ht="24">
      <c r="A89" s="3116">
        <v>17</v>
      </c>
      <c r="B89" s="3784"/>
      <c r="C89" s="3090" t="s">
        <v>2688</v>
      </c>
      <c r="D89" s="3090" t="s">
        <v>2689</v>
      </c>
      <c r="E89" s="3116">
        <v>0.1</v>
      </c>
      <c r="F89" s="3116">
        <v>15</v>
      </c>
    </row>
    <row r="90" spans="1:6" ht="13.5">
      <c r="A90" s="3116">
        <v>18</v>
      </c>
      <c r="B90" s="3783" t="s">
        <v>2690</v>
      </c>
      <c r="C90" s="3090" t="s">
        <v>2691</v>
      </c>
      <c r="D90" s="3090" t="s">
        <v>2692</v>
      </c>
      <c r="E90" s="3116">
        <v>0.2</v>
      </c>
      <c r="F90" s="3116">
        <v>25</v>
      </c>
    </row>
    <row r="91" spans="1:6" ht="24">
      <c r="A91" s="3116">
        <v>19</v>
      </c>
      <c r="B91" s="3785"/>
      <c r="C91" s="3090" t="s">
        <v>2693</v>
      </c>
      <c r="D91" s="3090" t="s">
        <v>2694</v>
      </c>
      <c r="E91" s="3116">
        <v>0.2</v>
      </c>
      <c r="F91" s="3116">
        <v>25</v>
      </c>
    </row>
    <row r="92" spans="1:6" ht="13.5">
      <c r="A92" s="3116">
        <v>20</v>
      </c>
      <c r="B92" s="3785"/>
      <c r="C92" s="3090" t="s">
        <v>2695</v>
      </c>
      <c r="D92" s="3090" t="s">
        <v>2696</v>
      </c>
      <c r="E92" s="3116">
        <v>0.15</v>
      </c>
      <c r="F92" s="3116">
        <v>20</v>
      </c>
    </row>
    <row r="93" spans="1:6" ht="13.5">
      <c r="A93" s="3116">
        <v>21</v>
      </c>
      <c r="B93" s="3785"/>
      <c r="C93" s="3090" t="s">
        <v>2697</v>
      </c>
      <c r="D93" s="3090" t="s">
        <v>2698</v>
      </c>
      <c r="E93" s="3116">
        <v>0.15</v>
      </c>
      <c r="F93" s="3116">
        <v>20</v>
      </c>
    </row>
    <row r="94" spans="1:6" ht="13.5">
      <c r="A94" s="3116">
        <v>22</v>
      </c>
      <c r="B94" s="3785"/>
      <c r="C94" s="3090" t="s">
        <v>2699</v>
      </c>
      <c r="D94" s="3090" t="s">
        <v>2700</v>
      </c>
      <c r="E94" s="3116">
        <v>0.15</v>
      </c>
      <c r="F94" s="3116">
        <v>20</v>
      </c>
    </row>
    <row r="95" spans="1:6" ht="36">
      <c r="A95" s="3116">
        <v>23</v>
      </c>
      <c r="B95" s="3785"/>
      <c r="C95" s="3090" t="s">
        <v>2701</v>
      </c>
      <c r="D95" s="3090" t="s">
        <v>2702</v>
      </c>
      <c r="E95" s="3116">
        <v>0.15</v>
      </c>
      <c r="F95" s="3116">
        <v>20</v>
      </c>
    </row>
    <row r="96" spans="1:6" ht="13.5">
      <c r="A96" s="3116">
        <v>24</v>
      </c>
      <c r="B96" s="3785"/>
      <c r="C96" s="3090" t="s">
        <v>2703</v>
      </c>
      <c r="D96" s="3090" t="s">
        <v>2704</v>
      </c>
      <c r="E96" s="3116">
        <v>0.1</v>
      </c>
      <c r="F96" s="3116">
        <v>15</v>
      </c>
    </row>
    <row r="97" spans="1:6" ht="13.5">
      <c r="A97" s="3116">
        <v>25</v>
      </c>
      <c r="B97" s="3785"/>
      <c r="C97" s="3090" t="s">
        <v>2705</v>
      </c>
      <c r="D97" s="3090" t="s">
        <v>2706</v>
      </c>
      <c r="E97" s="3116">
        <v>0.1</v>
      </c>
      <c r="F97" s="3116">
        <v>15</v>
      </c>
    </row>
    <row r="98" spans="1:6" ht="24">
      <c r="A98" s="3116">
        <v>26</v>
      </c>
      <c r="B98" s="3785"/>
      <c r="C98" s="3090" t="s">
        <v>2707</v>
      </c>
      <c r="D98" s="3090" t="s">
        <v>2708</v>
      </c>
      <c r="E98" s="3116">
        <v>0.1</v>
      </c>
      <c r="F98" s="3116">
        <v>15</v>
      </c>
    </row>
    <row r="99" spans="1:6" ht="24">
      <c r="A99" s="3116">
        <v>27</v>
      </c>
      <c r="B99" s="3785"/>
      <c r="C99" s="3090" t="s">
        <v>2709</v>
      </c>
      <c r="D99" s="3090" t="s">
        <v>2710</v>
      </c>
      <c r="E99" s="3116">
        <v>0.1</v>
      </c>
      <c r="F99" s="3116">
        <v>15</v>
      </c>
    </row>
    <row r="100" spans="1:6" ht="13.5">
      <c r="A100" s="3116">
        <v>28</v>
      </c>
      <c r="B100" s="3785"/>
      <c r="C100" s="3090" t="s">
        <v>2711</v>
      </c>
      <c r="D100" s="3090" t="s">
        <v>2712</v>
      </c>
      <c r="E100" s="3116">
        <v>0.1</v>
      </c>
      <c r="F100" s="3116">
        <v>15</v>
      </c>
    </row>
    <row r="101" spans="1:6" ht="13.5">
      <c r="A101" s="3116">
        <v>29</v>
      </c>
      <c r="B101" s="3785"/>
      <c r="C101" s="3090" t="s">
        <v>2713</v>
      </c>
      <c r="D101" s="3090" t="s">
        <v>2714</v>
      </c>
      <c r="E101" s="3116">
        <v>0.1</v>
      </c>
      <c r="F101" s="3116">
        <v>15</v>
      </c>
    </row>
    <row r="102" spans="1:6" ht="13.5">
      <c r="A102" s="3116">
        <v>30</v>
      </c>
      <c r="B102" s="3785"/>
      <c r="C102" s="3090" t="s">
        <v>2715</v>
      </c>
      <c r="D102" s="3090" t="s">
        <v>2716</v>
      </c>
      <c r="E102" s="3116">
        <v>0.1</v>
      </c>
      <c r="F102" s="3116">
        <v>15</v>
      </c>
    </row>
    <row r="103" spans="1:6" ht="24">
      <c r="A103" s="3116">
        <v>31</v>
      </c>
      <c r="B103" s="3785"/>
      <c r="C103" s="3090" t="s">
        <v>2717</v>
      </c>
      <c r="D103" s="3090" t="s">
        <v>2718</v>
      </c>
      <c r="E103" s="3116">
        <v>0.1</v>
      </c>
      <c r="F103" s="3116">
        <v>15</v>
      </c>
    </row>
    <row r="104" spans="1:6" ht="24">
      <c r="A104" s="3116">
        <v>32</v>
      </c>
      <c r="B104" s="3785"/>
      <c r="C104" s="3090" t="s">
        <v>2719</v>
      </c>
      <c r="D104" s="3090" t="s">
        <v>2720</v>
      </c>
      <c r="E104" s="3116">
        <v>0.1</v>
      </c>
      <c r="F104" s="3116">
        <v>15</v>
      </c>
    </row>
    <row r="105" spans="1:6" ht="24">
      <c r="A105" s="3116">
        <v>33</v>
      </c>
      <c r="B105" s="3785"/>
      <c r="C105" s="3090" t="s">
        <v>2721</v>
      </c>
      <c r="D105" s="3090" t="s">
        <v>2722</v>
      </c>
      <c r="E105" s="3116">
        <v>0.1</v>
      </c>
      <c r="F105" s="3116">
        <v>15</v>
      </c>
    </row>
    <row r="106" spans="1:6" ht="24">
      <c r="A106" s="3116">
        <v>34</v>
      </c>
      <c r="B106" s="3784"/>
      <c r="C106" s="3090" t="s">
        <v>2723</v>
      </c>
      <c r="D106" s="3090" t="s">
        <v>2724</v>
      </c>
      <c r="E106" s="3116">
        <v>0.1</v>
      </c>
      <c r="F106" s="3116">
        <v>15</v>
      </c>
    </row>
    <row r="107" spans="1:6" ht="24">
      <c r="A107" s="3116">
        <v>35</v>
      </c>
      <c r="B107" s="3783" t="s">
        <v>2725</v>
      </c>
      <c r="C107" s="3116" t="s">
        <v>2726</v>
      </c>
      <c r="D107" s="3090" t="s">
        <v>2727</v>
      </c>
      <c r="E107" s="3116">
        <v>0.15</v>
      </c>
      <c r="F107" s="3116">
        <v>20</v>
      </c>
    </row>
    <row r="108" spans="1:6" ht="13.5">
      <c r="A108" s="3116">
        <v>36</v>
      </c>
      <c r="B108" s="3785"/>
      <c r="C108" s="3116" t="s">
        <v>2728</v>
      </c>
      <c r="D108" s="3090" t="s">
        <v>2729</v>
      </c>
      <c r="E108" s="3116">
        <v>0.15</v>
      </c>
      <c r="F108" s="3116">
        <v>20</v>
      </c>
    </row>
    <row r="109" spans="1:6" ht="13.5">
      <c r="A109" s="3116">
        <v>37</v>
      </c>
      <c r="B109" s="3785"/>
      <c r="C109" s="3116" t="s">
        <v>2730</v>
      </c>
      <c r="D109" s="3090" t="s">
        <v>2731</v>
      </c>
      <c r="E109" s="3116">
        <v>0.15</v>
      </c>
      <c r="F109" s="3116">
        <v>20</v>
      </c>
    </row>
    <row r="110" spans="1:6" ht="13.5">
      <c r="A110" s="3116">
        <v>38</v>
      </c>
      <c r="B110" s="3785"/>
      <c r="C110" s="3116" t="s">
        <v>2732</v>
      </c>
      <c r="D110" s="3090" t="s">
        <v>2733</v>
      </c>
      <c r="E110" s="3116">
        <v>0.1</v>
      </c>
      <c r="F110" s="3116">
        <v>15</v>
      </c>
    </row>
    <row r="111" spans="1:6" ht="24">
      <c r="A111" s="3116">
        <v>39</v>
      </c>
      <c r="B111" s="3785"/>
      <c r="C111" s="3116" t="s">
        <v>2734</v>
      </c>
      <c r="D111" s="3090" t="s">
        <v>2735</v>
      </c>
      <c r="E111" s="3116">
        <v>0.1</v>
      </c>
      <c r="F111" s="3116">
        <v>15</v>
      </c>
    </row>
    <row r="112" spans="1:6" ht="24">
      <c r="A112" s="3116">
        <v>40</v>
      </c>
      <c r="B112" s="3784"/>
      <c r="C112" s="3116" t="s">
        <v>2736</v>
      </c>
      <c r="D112" s="3090" t="s">
        <v>2737</v>
      </c>
      <c r="E112" s="3116">
        <v>0.1</v>
      </c>
      <c r="F112" s="3116">
        <v>15</v>
      </c>
    </row>
    <row r="113" spans="1:6" ht="13.5">
      <c r="A113" s="3116">
        <v>41</v>
      </c>
      <c r="B113" s="3782" t="s">
        <v>2738</v>
      </c>
      <c r="C113" s="3116" t="s">
        <v>2739</v>
      </c>
      <c r="D113" s="3090" t="s">
        <v>2740</v>
      </c>
      <c r="E113" s="3116">
        <v>0.1</v>
      </c>
      <c r="F113" s="3116">
        <v>15</v>
      </c>
    </row>
    <row r="114" spans="1:6" ht="13.5">
      <c r="A114" s="3116">
        <v>42</v>
      </c>
      <c r="B114" s="3782"/>
      <c r="C114" s="3116" t="s">
        <v>2741</v>
      </c>
      <c r="D114" s="3090" t="s">
        <v>2742</v>
      </c>
      <c r="E114" s="3116">
        <v>0.1</v>
      </c>
      <c r="F114" s="3116">
        <v>15</v>
      </c>
    </row>
    <row r="115" spans="1:6" ht="24">
      <c r="A115" s="3116">
        <v>43</v>
      </c>
      <c r="B115" s="3782"/>
      <c r="C115" s="3116" t="s">
        <v>2743</v>
      </c>
      <c r="D115" s="3090" t="s">
        <v>2744</v>
      </c>
      <c r="E115" s="3116">
        <v>0.1</v>
      </c>
      <c r="F115" s="3116">
        <v>15</v>
      </c>
    </row>
    <row r="116" spans="1:6" ht="13.5">
      <c r="A116" s="3116">
        <v>44</v>
      </c>
      <c r="B116" s="3783" t="s">
        <v>2745</v>
      </c>
      <c r="C116" s="3116" t="s">
        <v>2746</v>
      </c>
      <c r="D116" s="3090" t="s">
        <v>2747</v>
      </c>
      <c r="E116" s="3116">
        <v>0.1</v>
      </c>
      <c r="F116" s="3116">
        <v>15</v>
      </c>
    </row>
    <row r="117" spans="1:6" ht="24">
      <c r="A117" s="3116">
        <v>45</v>
      </c>
      <c r="B117" s="3784"/>
      <c r="C117" s="3090" t="s">
        <v>2748</v>
      </c>
      <c r="D117" s="3090" t="s">
        <v>2749</v>
      </c>
      <c r="E117" s="3116">
        <v>0.1</v>
      </c>
      <c r="F117" s="3116">
        <v>15</v>
      </c>
    </row>
    <row r="118" spans="1:6" ht="24">
      <c r="A118" s="3116">
        <v>46</v>
      </c>
      <c r="B118" s="3783" t="s">
        <v>2750</v>
      </c>
      <c r="C118" s="3116" t="s">
        <v>2751</v>
      </c>
      <c r="D118" s="3090" t="s">
        <v>2752</v>
      </c>
      <c r="E118" s="3116">
        <v>0.1</v>
      </c>
      <c r="F118" s="3116">
        <v>15</v>
      </c>
    </row>
    <row r="119" spans="1:6" ht="24">
      <c r="A119" s="3116">
        <v>47</v>
      </c>
      <c r="B119" s="3784"/>
      <c r="C119" s="3116" t="s">
        <v>2753</v>
      </c>
      <c r="D119" s="3090" t="s">
        <v>2754</v>
      </c>
      <c r="E119" s="3116">
        <v>0.1</v>
      </c>
      <c r="F119" s="3116">
        <v>15</v>
      </c>
    </row>
    <row r="120" spans="1:6" ht="13.5">
      <c r="A120" s="3116">
        <v>48</v>
      </c>
      <c r="B120" s="3783" t="s">
        <v>2755</v>
      </c>
      <c r="C120" s="3116" t="s">
        <v>2756</v>
      </c>
      <c r="D120" s="3090" t="s">
        <v>2757</v>
      </c>
      <c r="E120" s="3116">
        <v>0.1</v>
      </c>
      <c r="F120" s="3116">
        <v>15</v>
      </c>
    </row>
    <row r="121" spans="1:6" ht="13.5">
      <c r="A121" s="3116">
        <v>49</v>
      </c>
      <c r="B121" s="3784"/>
      <c r="C121" s="3116" t="s">
        <v>2758</v>
      </c>
      <c r="D121" s="3090" t="s">
        <v>2759</v>
      </c>
      <c r="E121" s="3116">
        <v>0.1</v>
      </c>
      <c r="F121" s="3116">
        <v>15</v>
      </c>
    </row>
    <row r="122" spans="1:6" ht="24">
      <c r="A122" s="3116">
        <v>50</v>
      </c>
      <c r="B122" s="3782" t="s">
        <v>2760</v>
      </c>
      <c r="C122" s="3116" t="s">
        <v>2761</v>
      </c>
      <c r="D122" s="3090" t="s">
        <v>2762</v>
      </c>
      <c r="E122" s="3116">
        <v>0.1</v>
      </c>
      <c r="F122" s="3116">
        <v>15</v>
      </c>
    </row>
    <row r="123" spans="1:6" ht="24">
      <c r="A123" s="3116">
        <v>51</v>
      </c>
      <c r="B123" s="3782"/>
      <c r="C123" s="3116" t="s">
        <v>2763</v>
      </c>
      <c r="D123" s="3090" t="s">
        <v>2764</v>
      </c>
      <c r="E123" s="3116">
        <v>0.1</v>
      </c>
      <c r="F123" s="3116">
        <v>15</v>
      </c>
    </row>
    <row r="124" spans="1:6" ht="24">
      <c r="A124" s="3116">
        <v>52</v>
      </c>
      <c r="B124" s="3782" t="s">
        <v>2765</v>
      </c>
      <c r="C124" s="3116" t="s">
        <v>2766</v>
      </c>
      <c r="D124" s="3090" t="s">
        <v>2767</v>
      </c>
      <c r="E124" s="3116">
        <v>0.1</v>
      </c>
      <c r="F124" s="3116">
        <v>15</v>
      </c>
    </row>
    <row r="125" spans="1:6" ht="24">
      <c r="A125" s="3116">
        <v>53</v>
      </c>
      <c r="B125" s="3782"/>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82" t="s">
        <v>2773</v>
      </c>
      <c r="C127" s="3116" t="s">
        <v>2774</v>
      </c>
      <c r="D127" s="3090" t="s">
        <v>2775</v>
      </c>
      <c r="E127" s="3116">
        <v>0.1</v>
      </c>
      <c r="F127" s="3116">
        <v>15</v>
      </c>
    </row>
    <row r="128" spans="1:6" ht="13.5">
      <c r="A128" s="3116">
        <v>56</v>
      </c>
      <c r="B128" s="3782"/>
      <c r="C128" s="3116" t="s">
        <v>2776</v>
      </c>
      <c r="D128" s="3090" t="s">
        <v>2777</v>
      </c>
      <c r="E128" s="3116">
        <v>0.1</v>
      </c>
      <c r="F128" s="3116">
        <v>15</v>
      </c>
    </row>
    <row r="129" spans="1:6" ht="24">
      <c r="A129" s="3116">
        <v>57</v>
      </c>
      <c r="B129" s="3782"/>
      <c r="C129" s="3116" t="s">
        <v>2778</v>
      </c>
      <c r="D129" s="3090" t="s">
        <v>2779</v>
      </c>
      <c r="E129" s="3116">
        <v>0.1</v>
      </c>
      <c r="F129" s="3116">
        <v>15</v>
      </c>
    </row>
    <row r="130" spans="1:6" ht="24">
      <c r="A130" s="3116">
        <v>58</v>
      </c>
      <c r="B130" s="3782" t="s">
        <v>2780</v>
      </c>
      <c r="C130" s="3116" t="s">
        <v>2781</v>
      </c>
      <c r="D130" s="3090" t="s">
        <v>2782</v>
      </c>
      <c r="E130" s="3116">
        <v>0.1</v>
      </c>
      <c r="F130" s="3116">
        <v>15</v>
      </c>
    </row>
    <row r="131" spans="1:6" ht="13.5">
      <c r="A131" s="3116">
        <v>59</v>
      </c>
      <c r="B131" s="3782"/>
      <c r="C131" s="3116" t="s">
        <v>2783</v>
      </c>
      <c r="D131" s="3090" t="s">
        <v>2784</v>
      </c>
      <c r="E131" s="3116">
        <v>0.1</v>
      </c>
      <c r="F131" s="3116">
        <v>15</v>
      </c>
    </row>
    <row r="132" spans="1:6" ht="13.5">
      <c r="A132" s="3116">
        <v>60</v>
      </c>
      <c r="B132" s="3783" t="s">
        <v>2785</v>
      </c>
      <c r="C132" s="3116" t="s">
        <v>2786</v>
      </c>
      <c r="D132" s="3090" t="s">
        <v>2787</v>
      </c>
      <c r="E132" s="3116">
        <v>0.1</v>
      </c>
      <c r="F132" s="3116">
        <v>15</v>
      </c>
    </row>
    <row r="133" spans="1:6" ht="13.5">
      <c r="A133" s="3116">
        <v>61</v>
      </c>
      <c r="B133" s="3784"/>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82" t="s">
        <v>2793</v>
      </c>
      <c r="C135" s="3116" t="s">
        <v>2794</v>
      </c>
      <c r="D135" s="3090" t="s">
        <v>2795</v>
      </c>
      <c r="E135" s="3116">
        <v>0.1</v>
      </c>
      <c r="F135" s="3116">
        <v>15</v>
      </c>
    </row>
    <row r="136" spans="1:6" ht="13.5">
      <c r="A136" s="3116">
        <v>64</v>
      </c>
      <c r="B136" s="3782"/>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1.0185999999999999</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0.96889999999999998</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28208</v>
      </c>
      <c r="C2" s="2" t="s">
        <v>106</v>
      </c>
      <c r="D2" s="199"/>
      <c r="E2" s="199"/>
      <c r="F2" s="199"/>
      <c r="G2" s="199"/>
    </row>
    <row r="3" spans="1:7" s="200" customFormat="1" ht="18" customHeight="1" thickBot="1">
      <c r="A3" s="203" t="s">
        <v>58</v>
      </c>
      <c r="B3" s="204">
        <f ca="1">ROUND(B2*10000/'数据-汇总表'!E3,0)</f>
        <v>231808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24</v>
      </c>
      <c r="D10" s="845">
        <f>'数据-汇总表'!E6</f>
        <v>1216.8699999999999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24</v>
      </c>
      <c r="D19" s="849">
        <f>'数据-汇总表'!E3</f>
        <v>1216.8699999999999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1506</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365</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24</v>
      </c>
      <c r="D37" s="217">
        <f>'数据-汇总表'!E3</f>
        <v>1216.8699999999999</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v>
      </c>
      <c r="D42" s="238"/>
      <c r="E42" s="238"/>
      <c r="F42" s="239"/>
      <c r="G42" s="3708" t="s">
        <v>94</v>
      </c>
    </row>
    <row r="43" spans="1:7" ht="13.5" customHeight="1">
      <c r="A43" s="780" t="s">
        <v>347</v>
      </c>
      <c r="B43" s="215" t="s">
        <v>426</v>
      </c>
      <c r="C43" s="238">
        <f ca="1">ROUND(IF('数据-取费表'!B22&lt;=1,C39*F22*'数据-取费表'!B21/2,C39*(POWER((1+F22),'数据-取费表'!B21/2)-1)),0)</f>
        <v>0</v>
      </c>
      <c r="D43" s="238"/>
      <c r="E43" s="238"/>
      <c r="F43" s="239"/>
      <c r="G43" s="3709"/>
    </row>
    <row r="44" spans="1:7" ht="13.5" customHeight="1">
      <c r="A44" s="780" t="s">
        <v>348</v>
      </c>
      <c r="B44" s="215" t="s">
        <v>428</v>
      </c>
      <c r="C44" s="238">
        <f ca="1">ROUND(IF('数据-取费表'!B22&lt;=1,C40*F22*'数据-取费表'!B21/2,C40*(POWER((1+F22),'数据-取费表'!B21/2)-1)),4)</f>
        <v>6.9999999999999999E-4</v>
      </c>
      <c r="D44" s="238"/>
      <c r="E44" s="238"/>
      <c r="F44" s="239"/>
      <c r="G44" s="3710"/>
    </row>
    <row r="45" spans="1:7" s="214" customFormat="1" ht="13.5" customHeight="1">
      <c r="A45" s="777" t="s">
        <v>341</v>
      </c>
      <c r="B45" s="244" t="s">
        <v>85</v>
      </c>
      <c r="C45" s="245">
        <f>C46</f>
        <v>62</v>
      </c>
      <c r="D45" s="235">
        <f>C47</f>
        <v>3.0000000000000001E-3</v>
      </c>
      <c r="E45" s="236" t="s">
        <v>102</v>
      </c>
      <c r="F45" s="246"/>
      <c r="G45" s="247" t="s">
        <v>434</v>
      </c>
    </row>
    <row r="46" spans="1:7" s="214" customFormat="1" ht="13.5" customHeight="1">
      <c r="A46" s="780" t="s">
        <v>349</v>
      </c>
      <c r="B46" s="248" t="s">
        <v>427</v>
      </c>
      <c r="C46" s="249">
        <f>ROUND((C33+C39)*F27,0)</f>
        <v>62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529</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381</v>
      </c>
      <c r="D51" s="232"/>
      <c r="E51" s="232"/>
      <c r="F51" s="264"/>
      <c r="G51" s="234" t="s">
        <v>37</v>
      </c>
    </row>
    <row r="52" spans="1:7" s="208" customFormat="1" ht="16.5" thickBot="1">
      <c r="A52" s="265" t="s">
        <v>38</v>
      </c>
      <c r="B52" s="266"/>
      <c r="C52" s="267">
        <f ca="1">C31+C51</f>
        <v>28208</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估价结果一览表（市场价值不需“结果表-1”）</v>
      </c>
      <c r="B3" s="3479"/>
      <c r="C3" s="3479"/>
      <c r="D3" s="3479"/>
      <c r="E3" s="3479"/>
    </row>
    <row r="4" spans="1:5" ht="19.5" thickBot="1">
      <c r="A4" s="1492"/>
      <c r="B4" s="3477" t="s">
        <v>917</v>
      </c>
      <c r="C4" s="3477"/>
      <c r="D4" s="3477"/>
      <c r="E4" s="1492"/>
    </row>
    <row r="5" spans="1:5" ht="16.5" thickTop="1">
      <c r="A5" s="1490"/>
      <c r="B5" s="3475" t="s">
        <v>909</v>
      </c>
      <c r="C5" s="1493" t="s">
        <v>910</v>
      </c>
      <c r="D5" s="850">
        <f ca="1">结果表!H101</f>
        <v>2133</v>
      </c>
      <c r="E5" s="1490"/>
    </row>
    <row r="6" spans="1:5" ht="15.75">
      <c r="A6" s="1490"/>
      <c r="B6" s="3475"/>
      <c r="C6" s="1493" t="s">
        <v>911</v>
      </c>
      <c r="D6" s="850" t="str">
        <f ca="1">NUMBERSTRING(INT(D5*10000),2)&amp;"元整"</f>
        <v>贰仟壹佰叁拾叁万元整</v>
      </c>
      <c r="E6" s="1490"/>
    </row>
    <row r="7" spans="1:5" ht="15.75">
      <c r="A7" s="1490"/>
      <c r="B7" s="3480"/>
      <c r="C7" s="1494" t="s">
        <v>912</v>
      </c>
      <c r="D7" s="851">
        <f ca="1">结果表!H102</f>
        <v>17529</v>
      </c>
      <c r="E7" s="1490"/>
    </row>
    <row r="8" spans="1:5" ht="15.75">
      <c r="A8" s="1490"/>
      <c r="B8" s="3481" t="str">
        <f>结果表!E103</f>
        <v>2.估价师知悉的法定优先受偿款</v>
      </c>
      <c r="C8" s="1495" t="s">
        <v>913</v>
      </c>
      <c r="D8" s="851">
        <f>结果表!H103</f>
        <v>0</v>
      </c>
      <c r="E8" s="1490"/>
    </row>
    <row r="9" spans="1:5" ht="15.75">
      <c r="A9" s="1490"/>
      <c r="B9" s="3483"/>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4" t="str">
        <f>结果表!E107</f>
        <v>3.房地产抵押价值</v>
      </c>
      <c r="C13" s="1498" t="s">
        <v>910</v>
      </c>
      <c r="D13" s="853">
        <f ca="1">结果表!H107</f>
        <v>2133</v>
      </c>
      <c r="E13" s="1490"/>
    </row>
    <row r="14" spans="1:5" ht="15.75">
      <c r="A14" s="1490"/>
      <c r="B14" s="3475"/>
      <c r="C14" s="1493" t="s">
        <v>911</v>
      </c>
      <c r="D14" s="850" t="str">
        <f ca="1">NUMBERSTRING(INT(D13*10000),2)&amp;"元整"</f>
        <v>贰仟壹佰叁拾叁万元整</v>
      </c>
      <c r="E14" s="1490"/>
    </row>
    <row r="15" spans="1:5" ht="15">
      <c r="A15" s="1490"/>
      <c r="B15" s="3480"/>
      <c r="C15" s="1494" t="s">
        <v>921</v>
      </c>
      <c r="D15" s="859">
        <f ca="1">结果表!H108</f>
        <v>17529</v>
      </c>
      <c r="E15" s="1490"/>
    </row>
    <row r="16" spans="1:5" ht="15">
      <c r="A16" s="1490"/>
      <c r="B16" s="3481" t="str">
        <f>结果表!E109</f>
        <v>——</v>
      </c>
      <c r="C16" s="1498" t="s">
        <v>922</v>
      </c>
      <c r="D16" s="1499" t="str">
        <f>结果表!H109</f>
        <v>——</v>
      </c>
      <c r="E16" s="1490"/>
    </row>
    <row r="17" spans="1:5" ht="15.75">
      <c r="A17" s="1490"/>
      <c r="B17" s="3482"/>
      <c r="C17" s="1493" t="s">
        <v>923</v>
      </c>
      <c r="D17" s="850" t="e">
        <f>NUMBERSTRING(INT(D16*10000),2)&amp;"元整"</f>
        <v>#VALUE!</v>
      </c>
      <c r="E17" s="1490"/>
    </row>
    <row r="18" spans="1:5" ht="15">
      <c r="A18" s="1490"/>
      <c r="B18" s="3483"/>
      <c r="C18" s="1494" t="s">
        <v>912</v>
      </c>
      <c r="D18" s="859" t="str">
        <f>结果表!H110</f>
        <v>——</v>
      </c>
      <c r="E18" s="1490"/>
    </row>
    <row r="19" spans="1:5" ht="15.75">
      <c r="A19" s="1490"/>
      <c r="B19" s="3474" t="str">
        <f>结果表!E111</f>
        <v>——</v>
      </c>
      <c r="C19" s="1498" t="s">
        <v>910</v>
      </c>
      <c r="D19" s="851" t="str">
        <f>结果表!H111</f>
        <v>——</v>
      </c>
      <c r="E19" s="1490"/>
    </row>
    <row r="20" spans="1:5" ht="15.75">
      <c r="A20" s="1490"/>
      <c r="B20" s="3475"/>
      <c r="C20" s="1493" t="s">
        <v>923</v>
      </c>
      <c r="D20" s="850" t="e">
        <f>NUMBERSTRING(INT(D19*10000),2)&amp;"元整"</f>
        <v>#VALUE!</v>
      </c>
      <c r="E20" s="1490"/>
    </row>
    <row r="21" spans="1:5" ht="15.75" thickBot="1">
      <c r="A21" s="1490"/>
      <c r="B21" s="3476"/>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6" t="s">
        <v>2845</v>
      </c>
      <c r="B1" s="3796"/>
      <c r="C1" s="3796"/>
      <c r="D1" s="3796"/>
      <c r="E1" s="3796"/>
      <c r="F1" s="3796"/>
      <c r="G1" s="3797"/>
      <c r="I1" s="3221" t="s">
        <v>2846</v>
      </c>
      <c r="J1" s="3222" t="s">
        <v>2847</v>
      </c>
      <c r="K1" s="3222" t="s">
        <v>2848</v>
      </c>
      <c r="L1" s="3222" t="s">
        <v>2849</v>
      </c>
      <c r="M1" s="3222" t="s">
        <v>2850</v>
      </c>
      <c r="N1" s="3222" t="s">
        <v>2851</v>
      </c>
      <c r="O1" s="3222" t="s">
        <v>2852</v>
      </c>
      <c r="P1" s="3222" t="s">
        <v>2853</v>
      </c>
      <c r="Q1" s="3222" t="s">
        <v>2854</v>
      </c>
      <c r="R1" s="3222" t="s">
        <v>2855</v>
      </c>
      <c r="S1" s="3222" t="s">
        <v>2856</v>
      </c>
      <c r="T1" s="3223" t="s">
        <v>2857</v>
      </c>
    </row>
    <row r="2" spans="1:20" ht="12" thickBot="1">
      <c r="A2" s="3225" t="s">
        <v>2858</v>
      </c>
      <c r="B2" s="3225"/>
      <c r="C2" s="3225"/>
      <c r="D2" s="3225"/>
      <c r="E2" s="3225"/>
      <c r="F2" s="3225"/>
      <c r="G2" s="3226" t="s">
        <v>2859</v>
      </c>
      <c r="I2" s="3227" t="s">
        <v>2860</v>
      </c>
      <c r="J2" s="3227" t="s">
        <v>2861</v>
      </c>
      <c r="K2" s="3227" t="s">
        <v>2862</v>
      </c>
      <c r="L2" s="3227" t="s">
        <v>2863</v>
      </c>
      <c r="M2" s="3227" t="s">
        <v>2864</v>
      </c>
      <c r="N2" s="3227" t="s">
        <v>2865</v>
      </c>
      <c r="O2" s="3227" t="s">
        <v>2866</v>
      </c>
      <c r="P2" s="3227" t="s">
        <v>2867</v>
      </c>
      <c r="Q2" s="3227" t="s">
        <v>2868</v>
      </c>
      <c r="R2" s="3227" t="s">
        <v>2869</v>
      </c>
      <c r="S2" s="3227" t="s">
        <v>2870</v>
      </c>
      <c r="T2" s="3227" t="s">
        <v>2871</v>
      </c>
    </row>
    <row r="3" spans="1:20" s="3233" customFormat="1">
      <c r="A3" s="3794" t="s">
        <v>2872</v>
      </c>
      <c r="B3" s="3228"/>
      <c r="C3" s="3229" t="s">
        <v>2815</v>
      </c>
      <c r="D3" s="3229" t="s">
        <v>2873</v>
      </c>
      <c r="E3" s="3229" t="s">
        <v>2817</v>
      </c>
      <c r="F3" s="3229" t="s">
        <v>2874</v>
      </c>
      <c r="G3" s="3229" t="s">
        <v>2635</v>
      </c>
      <c r="H3" s="3230"/>
      <c r="I3" s="3231" t="s">
        <v>2875</v>
      </c>
      <c r="J3" s="3232" t="s">
        <v>128</v>
      </c>
      <c r="K3" s="3232" t="s">
        <v>129</v>
      </c>
      <c r="L3" s="3231" t="s">
        <v>130</v>
      </c>
      <c r="M3" s="3231" t="s">
        <v>131</v>
      </c>
      <c r="N3" s="3231" t="s">
        <v>132</v>
      </c>
      <c r="O3" s="3231" t="s">
        <v>133</v>
      </c>
      <c r="P3" s="3231" t="s">
        <v>134</v>
      </c>
      <c r="Q3" s="3231" t="s">
        <v>135</v>
      </c>
      <c r="R3" s="3231" t="s">
        <v>136</v>
      </c>
      <c r="S3" s="3231" t="s">
        <v>2876</v>
      </c>
      <c r="T3" s="3231" t="s">
        <v>2877</v>
      </c>
    </row>
    <row r="4" spans="1:20" s="3233" customFormat="1" ht="12" thickBot="1">
      <c r="A4" s="3795"/>
      <c r="B4" s="3234" t="s">
        <v>2878</v>
      </c>
      <c r="C4" s="3234" t="s">
        <v>2879</v>
      </c>
      <c r="D4" s="3234" t="s">
        <v>2879</v>
      </c>
      <c r="E4" s="3234" t="s">
        <v>2879</v>
      </c>
      <c r="F4" s="3235" t="s">
        <v>2879</v>
      </c>
      <c r="G4" s="3235" t="s">
        <v>2879</v>
      </c>
      <c r="H4" s="3230"/>
      <c r="I4" s="3232" t="s">
        <v>137</v>
      </c>
      <c r="J4" s="3232" t="s">
        <v>111</v>
      </c>
      <c r="K4" s="3232" t="s">
        <v>138</v>
      </c>
      <c r="L4" s="3231" t="s">
        <v>139</v>
      </c>
      <c r="M4" s="3231" t="s">
        <v>140</v>
      </c>
      <c r="N4" s="3231" t="s">
        <v>141</v>
      </c>
      <c r="O4" s="3231" t="s">
        <v>142</v>
      </c>
      <c r="P4" s="3231" t="s">
        <v>143</v>
      </c>
      <c r="Q4" s="3231" t="s">
        <v>2880</v>
      </c>
      <c r="R4" s="3231" t="s">
        <v>2881</v>
      </c>
      <c r="S4" s="3231" t="s">
        <v>2882</v>
      </c>
      <c r="T4" s="3231" t="s">
        <v>2883</v>
      </c>
    </row>
    <row r="5" spans="1:20">
      <c r="A5" s="3236" t="s">
        <v>2846</v>
      </c>
      <c r="B5" s="3227" t="s">
        <v>2860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2884</v>
      </c>
      <c r="R5" s="3231" t="s">
        <v>2885</v>
      </c>
      <c r="S5" s="3231" t="s">
        <v>153</v>
      </c>
      <c r="T5" s="3231" t="s">
        <v>2886</v>
      </c>
    </row>
    <row r="6" spans="1:20" ht="12" thickBot="1">
      <c r="A6" s="3231" t="s">
        <v>144</v>
      </c>
      <c r="B6" s="3231" t="s">
        <v>2875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2887</v>
      </c>
      <c r="Q6" s="3231" t="s">
        <v>2888</v>
      </c>
      <c r="R6" s="3231" t="s">
        <v>161</v>
      </c>
      <c r="S6" s="3231" t="s">
        <v>2889</v>
      </c>
      <c r="T6" s="3231" t="s">
        <v>2890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2891</v>
      </c>
      <c r="Q7" s="3231" t="s">
        <v>2892</v>
      </c>
      <c r="R7" s="3231" t="s">
        <v>2893</v>
      </c>
      <c r="S7" s="3231" t="s">
        <v>2894</v>
      </c>
      <c r="T7" s="3231" t="s">
        <v>2895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2896</v>
      </c>
      <c r="Q8" s="3231" t="s">
        <v>174</v>
      </c>
      <c r="R8" s="3231" t="s">
        <v>2897</v>
      </c>
      <c r="S8" s="3231" t="s">
        <v>2898</v>
      </c>
      <c r="T8" s="3238" t="s">
        <v>2899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2900</v>
      </c>
      <c r="Q9" s="3231" t="s">
        <v>182</v>
      </c>
      <c r="R9" s="3231" t="s">
        <v>183</v>
      </c>
      <c r="S9" s="3231" t="s">
        <v>200</v>
      </c>
    </row>
    <row r="10" spans="1:20">
      <c r="A10" s="3236" t="s">
        <v>184</v>
      </c>
      <c r="B10" s="3227" t="s">
        <v>2861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2902</v>
      </c>
      <c r="P11" s="3231" t="s">
        <v>191</v>
      </c>
      <c r="Q11" s="3231" t="s">
        <v>199</v>
      </c>
      <c r="R11" s="3231" t="s">
        <v>2903</v>
      </c>
      <c r="S11" s="3231" t="s">
        <v>2904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2905</v>
      </c>
      <c r="P12" s="3231" t="s">
        <v>2906</v>
      </c>
      <c r="Q12" s="3231" t="s">
        <v>2907</v>
      </c>
      <c r="R12" s="3231" t="s">
        <v>2908</v>
      </c>
      <c r="S12" s="3231" t="s">
        <v>2909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2911</v>
      </c>
      <c r="K14" s="3232" t="s">
        <v>215</v>
      </c>
      <c r="L14" s="3231" t="s">
        <v>216</v>
      </c>
      <c r="M14" s="3231" t="s">
        <v>217</v>
      </c>
      <c r="N14" s="3231" t="s">
        <v>218</v>
      </c>
      <c r="O14" s="3231" t="s">
        <v>240</v>
      </c>
      <c r="P14" s="3231" t="s">
        <v>213</v>
      </c>
      <c r="Q14" s="3231" t="s">
        <v>2912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2913</v>
      </c>
      <c r="P15" s="3231" t="s">
        <v>2914</v>
      </c>
      <c r="Q15" s="3231" t="s">
        <v>242</v>
      </c>
      <c r="R15" s="3231" t="s">
        <v>2915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2916</v>
      </c>
      <c r="P16" s="3231" t="s">
        <v>227</v>
      </c>
      <c r="Q16" s="3231" t="s">
        <v>250</v>
      </c>
      <c r="R16" s="3231" t="s">
        <v>207</v>
      </c>
      <c r="S16" s="3231" t="s">
        <v>2917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2918</v>
      </c>
      <c r="P17" s="3231" t="s">
        <v>2919</v>
      </c>
      <c r="Q17" s="3231" t="s">
        <v>256</v>
      </c>
      <c r="R17" s="3231" t="s">
        <v>2920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2921</v>
      </c>
      <c r="P18" s="3231" t="s">
        <v>241</v>
      </c>
      <c r="Q18" s="3231" t="s">
        <v>2922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2923</v>
      </c>
      <c r="P19" s="3231" t="s">
        <v>249</v>
      </c>
      <c r="Q19" s="3231" t="s">
        <v>2924</v>
      </c>
      <c r="R19" s="3231" t="s">
        <v>265</v>
      </c>
      <c r="S19" s="3231" t="s">
        <v>2925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2926</v>
      </c>
      <c r="P20" s="3231" t="s">
        <v>2927</v>
      </c>
      <c r="Q20" s="3231" t="s">
        <v>290</v>
      </c>
      <c r="R20" s="3231" t="s">
        <v>2928</v>
      </c>
      <c r="S20" s="3231" t="s">
        <v>277</v>
      </c>
    </row>
    <row r="21" spans="1:19" ht="14.25" customHeight="1" thickBot="1">
      <c r="A21" s="3231" t="s">
        <v>184</v>
      </c>
      <c r="B21" s="3232" t="s">
        <v>208</v>
      </c>
      <c r="C21" s="3231">
        <v>32370</v>
      </c>
      <c r="D21" s="3231">
        <v>26730</v>
      </c>
      <c r="E21" s="3231">
        <v>26640</v>
      </c>
      <c r="F21" s="3231"/>
      <c r="G21" s="3231">
        <v>19440</v>
      </c>
      <c r="J21" s="3238" t="s">
        <v>2929</v>
      </c>
      <c r="K21" s="3232" t="s">
        <v>267</v>
      </c>
      <c r="L21" s="3231" t="s">
        <v>268</v>
      </c>
      <c r="M21" s="3231" t="s">
        <v>269</v>
      </c>
      <c r="N21" s="3231" t="s">
        <v>270</v>
      </c>
      <c r="O21" s="3231" t="s">
        <v>264</v>
      </c>
      <c r="P21" s="3231" t="s">
        <v>283</v>
      </c>
      <c r="Q21" s="3231" t="s">
        <v>293</v>
      </c>
      <c r="R21" s="3231" t="s">
        <v>2930</v>
      </c>
      <c r="S21" s="3238" t="s">
        <v>2931</v>
      </c>
    </row>
    <row r="22" spans="1:19" ht="14.25" customHeight="1">
      <c r="A22" s="3231" t="s">
        <v>184</v>
      </c>
      <c r="B22" s="3232" t="s">
        <v>2911</v>
      </c>
      <c r="C22" s="3231">
        <v>29830</v>
      </c>
      <c r="D22" s="3231">
        <v>27600</v>
      </c>
      <c r="E22" s="3231">
        <v>28150</v>
      </c>
      <c r="F22" s="3231"/>
      <c r="G22" s="3231">
        <v>20080</v>
      </c>
      <c r="K22" s="3232" t="s">
        <v>2932</v>
      </c>
      <c r="L22" s="3231" t="s">
        <v>272</v>
      </c>
      <c r="M22" s="3231" t="s">
        <v>273</v>
      </c>
      <c r="N22" s="3231" t="s">
        <v>274</v>
      </c>
      <c r="O22" s="3231" t="s">
        <v>2933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2934</v>
      </c>
      <c r="L23" s="3231" t="s">
        <v>278</v>
      </c>
      <c r="M23" s="3231" t="s">
        <v>279</v>
      </c>
      <c r="N23" s="3231" t="s">
        <v>2935</v>
      </c>
      <c r="O23" s="3231" t="s">
        <v>2936</v>
      </c>
      <c r="P23" s="3231" t="s">
        <v>289</v>
      </c>
      <c r="Q23" s="3231" t="s">
        <v>298</v>
      </c>
      <c r="R23" s="3231" t="s">
        <v>2937</v>
      </c>
    </row>
    <row r="24" spans="1:19" ht="14.25" customHeight="1">
      <c r="A24" s="3231" t="s">
        <v>184</v>
      </c>
      <c r="B24" s="3232" t="s">
        <v>230</v>
      </c>
      <c r="C24" s="3231">
        <v>27930</v>
      </c>
      <c r="D24" s="3231">
        <v>32260</v>
      </c>
      <c r="E24" s="3231">
        <v>32120</v>
      </c>
      <c r="F24" s="3231"/>
      <c r="G24" s="3231">
        <v>23470</v>
      </c>
      <c r="K24" s="3232" t="s">
        <v>2938</v>
      </c>
      <c r="L24" s="3231" t="s">
        <v>281</v>
      </c>
      <c r="M24" s="3231" t="s">
        <v>282</v>
      </c>
      <c r="N24" s="3231" t="s">
        <v>2939</v>
      </c>
      <c r="O24" s="3231" t="s">
        <v>285</v>
      </c>
      <c r="P24" s="3231" t="s">
        <v>2940</v>
      </c>
      <c r="Q24" s="3240" t="s">
        <v>2941</v>
      </c>
      <c r="R24" s="3231" t="s">
        <v>2942</v>
      </c>
    </row>
    <row r="25" spans="1:19" ht="14.25" customHeight="1">
      <c r="A25" s="3231" t="s">
        <v>184</v>
      </c>
      <c r="B25" s="3232" t="s">
        <v>235</v>
      </c>
      <c r="C25" s="3231">
        <v>32230</v>
      </c>
      <c r="D25" s="3231">
        <v>29640</v>
      </c>
      <c r="E25" s="3231">
        <v>29510</v>
      </c>
      <c r="F25" s="3231"/>
      <c r="G25" s="3231">
        <v>21560</v>
      </c>
      <c r="K25" s="3232" t="s">
        <v>2943</v>
      </c>
      <c r="L25" s="3231" t="s">
        <v>2944</v>
      </c>
      <c r="M25" s="3231" t="s">
        <v>284</v>
      </c>
      <c r="N25" s="3231" t="s">
        <v>292</v>
      </c>
      <c r="O25" s="3231" t="s">
        <v>288</v>
      </c>
      <c r="P25" s="3231" t="s">
        <v>275</v>
      </c>
      <c r="Q25" s="3240" t="s">
        <v>271</v>
      </c>
      <c r="R25" s="3231" t="s">
        <v>2945</v>
      </c>
    </row>
    <row r="26" spans="1:19" ht="14.25" customHeight="1" thickBot="1">
      <c r="A26" s="3231" t="s">
        <v>184</v>
      </c>
      <c r="B26" s="3232" t="s">
        <v>244</v>
      </c>
      <c r="C26" s="3231">
        <v>31690</v>
      </c>
      <c r="D26" s="3231">
        <v>27650</v>
      </c>
      <c r="E26" s="3231">
        <v>28200</v>
      </c>
      <c r="F26" s="3231"/>
      <c r="G26" s="3231">
        <v>20110</v>
      </c>
      <c r="K26" s="3237" t="s">
        <v>2946</v>
      </c>
      <c r="L26" s="3231" t="s">
        <v>2947</v>
      </c>
      <c r="M26" s="3231" t="s">
        <v>287</v>
      </c>
      <c r="N26" s="3231" t="s">
        <v>294</v>
      </c>
      <c r="O26" s="3231" t="s">
        <v>2948</v>
      </c>
      <c r="P26" s="3231" t="s">
        <v>2949</v>
      </c>
      <c r="Q26" s="3240" t="s">
        <v>276</v>
      </c>
      <c r="R26" s="3231" t="s">
        <v>2950</v>
      </c>
    </row>
    <row r="27" spans="1:19" ht="14.25" customHeight="1">
      <c r="A27" s="3231" t="s">
        <v>184</v>
      </c>
      <c r="B27" s="3232" t="s">
        <v>251</v>
      </c>
      <c r="C27" s="3231">
        <v>29610</v>
      </c>
      <c r="D27" s="3231">
        <v>27770</v>
      </c>
      <c r="E27" s="3231">
        <v>28300</v>
      </c>
      <c r="F27" s="3231"/>
      <c r="G27" s="3231">
        <v>20210</v>
      </c>
      <c r="L27" s="3231" t="s">
        <v>2951</v>
      </c>
      <c r="M27" s="3231" t="s">
        <v>291</v>
      </c>
      <c r="N27" s="3231" t="s">
        <v>297</v>
      </c>
      <c r="O27" s="3231" t="s">
        <v>2952</v>
      </c>
      <c r="P27" s="3231" t="s">
        <v>2953</v>
      </c>
      <c r="Q27" s="3231" t="s">
        <v>2954</v>
      </c>
      <c r="R27" s="3231" t="s">
        <v>2955</v>
      </c>
    </row>
    <row r="28" spans="1:19" ht="14.25" customHeight="1">
      <c r="A28" s="3231" t="s">
        <v>184</v>
      </c>
      <c r="B28" s="3232" t="s">
        <v>259</v>
      </c>
      <c r="C28" s="3231"/>
      <c r="D28" s="3231">
        <v>31520</v>
      </c>
      <c r="E28" s="3231">
        <v>31410</v>
      </c>
      <c r="F28" s="3231"/>
      <c r="G28" s="3231">
        <v>22940</v>
      </c>
      <c r="L28" s="3231" t="s">
        <v>2956</v>
      </c>
      <c r="M28" s="3231" t="s">
        <v>2957</v>
      </c>
      <c r="N28" s="3231" t="s">
        <v>2958</v>
      </c>
      <c r="O28" s="3231" t="s">
        <v>2959</v>
      </c>
      <c r="P28" s="3231" t="s">
        <v>2960</v>
      </c>
      <c r="Q28" s="3231" t="s">
        <v>2961</v>
      </c>
      <c r="R28" s="3231" t="s">
        <v>2962</v>
      </c>
    </row>
    <row r="29" spans="1:19" ht="14.25" customHeight="1" thickBot="1">
      <c r="A29" s="3239" t="s">
        <v>184</v>
      </c>
      <c r="B29" s="3241" t="s">
        <v>2929</v>
      </c>
      <c r="C29" s="3242"/>
      <c r="D29" s="3242">
        <v>29460</v>
      </c>
      <c r="E29" s="3242">
        <v>28640</v>
      </c>
      <c r="F29" s="3242"/>
      <c r="G29" s="3242">
        <v>21430</v>
      </c>
      <c r="L29" s="3231" t="s">
        <v>2963</v>
      </c>
      <c r="M29" s="3231" t="s">
        <v>2964</v>
      </c>
      <c r="N29" s="3231" t="s">
        <v>2965</v>
      </c>
      <c r="O29" s="3231" t="s">
        <v>2966</v>
      </c>
      <c r="P29" s="3231" t="s">
        <v>2967</v>
      </c>
      <c r="Q29" s="3231" t="s">
        <v>2968</v>
      </c>
      <c r="R29" s="3231" t="s">
        <v>280</v>
      </c>
    </row>
    <row r="30" spans="1:19" ht="14.25" customHeight="1">
      <c r="A30" s="3236" t="s">
        <v>296</v>
      </c>
      <c r="B30" s="3227" t="s">
        <v>2862</v>
      </c>
      <c r="C30" s="3227">
        <v>26890</v>
      </c>
      <c r="D30" s="3227">
        <v>26770</v>
      </c>
      <c r="E30" s="3227">
        <v>25700</v>
      </c>
      <c r="F30" s="3227">
        <v>8180</v>
      </c>
      <c r="G30" s="3243">
        <v>18740</v>
      </c>
      <c r="L30" s="3231" t="s">
        <v>2969</v>
      </c>
      <c r="M30" s="3231" t="s">
        <v>2970</v>
      </c>
      <c r="N30" s="3231" t="s">
        <v>2971</v>
      </c>
      <c r="O30" s="3231" t="s">
        <v>2972</v>
      </c>
      <c r="P30" s="3231" t="s">
        <v>2973</v>
      </c>
      <c r="Q30" s="3231" t="s">
        <v>2974</v>
      </c>
      <c r="R30" s="3231" t="s">
        <v>2975</v>
      </c>
    </row>
    <row r="31" spans="1:19" ht="14.25" customHeight="1">
      <c r="A31" s="3231" t="s">
        <v>296</v>
      </c>
      <c r="B31" s="3232" t="s">
        <v>129</v>
      </c>
      <c r="C31" s="3231">
        <v>24550</v>
      </c>
      <c r="D31" s="3231">
        <v>23990</v>
      </c>
      <c r="E31" s="3231">
        <v>22930</v>
      </c>
      <c r="F31" s="3231">
        <v>7470</v>
      </c>
      <c r="G31" s="3244">
        <v>16790</v>
      </c>
      <c r="L31" s="3231" t="s">
        <v>2976</v>
      </c>
      <c r="M31" s="3231" t="s">
        <v>2977</v>
      </c>
      <c r="N31" s="3231" t="s">
        <v>2978</v>
      </c>
      <c r="O31" s="3231" t="s">
        <v>2979</v>
      </c>
      <c r="P31" s="3231" t="s">
        <v>2980</v>
      </c>
      <c r="Q31" s="3231" t="s">
        <v>2981</v>
      </c>
      <c r="R31" s="3231" t="s">
        <v>2982</v>
      </c>
    </row>
    <row r="32" spans="1:19" ht="14.25" customHeight="1" thickBot="1">
      <c r="A32" s="3231" t="s">
        <v>296</v>
      </c>
      <c r="B32" s="3232" t="s">
        <v>138</v>
      </c>
      <c r="C32" s="3231">
        <v>27210</v>
      </c>
      <c r="D32" s="3231">
        <v>23240</v>
      </c>
      <c r="E32" s="3231">
        <v>23260</v>
      </c>
      <c r="F32" s="3231">
        <v>7130</v>
      </c>
      <c r="G32" s="3244">
        <v>16270</v>
      </c>
      <c r="L32" s="3231" t="s">
        <v>2983</v>
      </c>
      <c r="M32" s="3231" t="s">
        <v>2984</v>
      </c>
      <c r="N32" s="3231" t="s">
        <v>300</v>
      </c>
      <c r="O32" s="3231" t="s">
        <v>2985</v>
      </c>
      <c r="P32" s="3231" t="s">
        <v>299</v>
      </c>
      <c r="Q32" s="3231" t="s">
        <v>2986</v>
      </c>
      <c r="R32" s="3238" t="s">
        <v>2987</v>
      </c>
    </row>
    <row r="33" spans="1:17" ht="14.25" customHeight="1" thickBot="1">
      <c r="A33" s="3231" t="s">
        <v>296</v>
      </c>
      <c r="B33" s="3232" t="s">
        <v>147</v>
      </c>
      <c r="C33" s="3231">
        <v>27300</v>
      </c>
      <c r="D33" s="3231">
        <v>22980</v>
      </c>
      <c r="E33" s="3231">
        <v>24260</v>
      </c>
      <c r="F33" s="3231">
        <v>5860</v>
      </c>
      <c r="G33" s="3244">
        <v>16090</v>
      </c>
      <c r="L33" s="3238" t="s">
        <v>2988</v>
      </c>
      <c r="M33" s="3231" t="s">
        <v>2989</v>
      </c>
      <c r="N33" s="3231" t="s">
        <v>301</v>
      </c>
      <c r="O33" s="3231" t="s">
        <v>2990</v>
      </c>
      <c r="P33" s="3231" t="s">
        <v>2991</v>
      </c>
      <c r="Q33" s="3231" t="s">
        <v>2992</v>
      </c>
    </row>
    <row r="34" spans="1:17" ht="14.25" customHeight="1">
      <c r="A34" s="3231" t="s">
        <v>296</v>
      </c>
      <c r="B34" s="3232" t="s">
        <v>156</v>
      </c>
      <c r="C34" s="3231">
        <v>23090</v>
      </c>
      <c r="D34" s="3231">
        <v>23390</v>
      </c>
      <c r="E34" s="3231">
        <v>23510</v>
      </c>
      <c r="F34" s="3231">
        <v>6700</v>
      </c>
      <c r="G34" s="3244">
        <v>16370</v>
      </c>
      <c r="M34" s="3231" t="s">
        <v>2993</v>
      </c>
      <c r="N34" s="3231" t="s">
        <v>302</v>
      </c>
      <c r="O34" s="3231" t="s">
        <v>2994</v>
      </c>
      <c r="P34" s="3231" t="s">
        <v>2995</v>
      </c>
      <c r="Q34" s="3231" t="s">
        <v>2996</v>
      </c>
    </row>
    <row r="35" spans="1:17" ht="14.25" customHeight="1">
      <c r="A35" s="3231" t="s">
        <v>296</v>
      </c>
      <c r="B35" s="3232" t="s">
        <v>163</v>
      </c>
      <c r="C35" s="3231">
        <v>27270</v>
      </c>
      <c r="D35" s="3231">
        <v>24270</v>
      </c>
      <c r="E35" s="3231">
        <v>24950</v>
      </c>
      <c r="F35" s="3231">
        <v>6600</v>
      </c>
      <c r="G35" s="3244">
        <v>16990</v>
      </c>
      <c r="M35" s="3231" t="s">
        <v>2997</v>
      </c>
      <c r="N35" s="3231" t="s">
        <v>2998</v>
      </c>
      <c r="O35" s="3231" t="s">
        <v>2999</v>
      </c>
      <c r="P35" s="3231" t="s">
        <v>3000</v>
      </c>
      <c r="Q35" s="3231" t="s">
        <v>3001</v>
      </c>
    </row>
    <row r="36" spans="1:17" ht="14.25" customHeight="1">
      <c r="A36" s="3231" t="s">
        <v>296</v>
      </c>
      <c r="B36" s="3232" t="s">
        <v>169</v>
      </c>
      <c r="C36" s="3231">
        <v>23490</v>
      </c>
      <c r="D36" s="3231">
        <v>23020</v>
      </c>
      <c r="E36" s="3231">
        <v>25230</v>
      </c>
      <c r="F36" s="3231">
        <v>6780</v>
      </c>
      <c r="G36" s="3244">
        <v>16120</v>
      </c>
      <c r="M36" s="3231" t="s">
        <v>3002</v>
      </c>
      <c r="N36" s="3231" t="s">
        <v>3003</v>
      </c>
      <c r="O36" s="3231" t="s">
        <v>3004</v>
      </c>
      <c r="P36" s="3231" t="s">
        <v>3005</v>
      </c>
      <c r="Q36" s="3231" t="s">
        <v>3006</v>
      </c>
    </row>
    <row r="37" spans="1:17" ht="14.25" customHeight="1">
      <c r="A37" s="3231" t="s">
        <v>296</v>
      </c>
      <c r="B37" s="3232" t="s">
        <v>176</v>
      </c>
      <c r="C37" s="3231">
        <v>24380</v>
      </c>
      <c r="D37" s="3231">
        <v>22240</v>
      </c>
      <c r="E37" s="3231">
        <v>25980</v>
      </c>
      <c r="F37" s="3231">
        <v>8160</v>
      </c>
      <c r="G37" s="3244">
        <v>15570</v>
      </c>
      <c r="M37" s="3231" t="s">
        <v>3007</v>
      </c>
      <c r="N37" s="3231" t="s">
        <v>3008</v>
      </c>
      <c r="O37" s="3231" t="s">
        <v>3009</v>
      </c>
      <c r="P37" s="3231" t="s">
        <v>3010</v>
      </c>
      <c r="Q37" s="3231" t="s">
        <v>3011</v>
      </c>
    </row>
    <row r="38" spans="1:17" ht="14.25" customHeight="1">
      <c r="A38" s="3231" t="s">
        <v>296</v>
      </c>
      <c r="B38" s="3232" t="s">
        <v>186</v>
      </c>
      <c r="C38" s="3231">
        <v>23120</v>
      </c>
      <c r="D38" s="3231">
        <v>24630</v>
      </c>
      <c r="E38" s="3231">
        <v>25030</v>
      </c>
      <c r="F38" s="3231">
        <v>7710</v>
      </c>
      <c r="G38" s="3244">
        <v>17240</v>
      </c>
      <c r="M38" s="3231" t="s">
        <v>3012</v>
      </c>
      <c r="N38" s="3231" t="s">
        <v>3013</v>
      </c>
      <c r="O38" s="3231" t="s">
        <v>3014</v>
      </c>
      <c r="P38" s="3231" t="s">
        <v>3015</v>
      </c>
      <c r="Q38" s="3231" t="s">
        <v>3016</v>
      </c>
    </row>
    <row r="39" spans="1:17" ht="14.25" customHeight="1">
      <c r="A39" s="3231" t="s">
        <v>296</v>
      </c>
      <c r="B39" s="3232" t="s">
        <v>195</v>
      </c>
      <c r="C39" s="3231">
        <v>22330</v>
      </c>
      <c r="D39" s="3231">
        <v>21140</v>
      </c>
      <c r="E39" s="3231">
        <v>23970</v>
      </c>
      <c r="F39" s="3231">
        <v>7940</v>
      </c>
      <c r="G39" s="3244">
        <v>14790</v>
      </c>
      <c r="M39" s="3231" t="s">
        <v>3017</v>
      </c>
      <c r="N39" s="3231" t="s">
        <v>3018</v>
      </c>
      <c r="O39" s="3231" t="s">
        <v>3019</v>
      </c>
      <c r="P39" s="3231" t="s">
        <v>3020</v>
      </c>
      <c r="Q39" s="3231" t="s">
        <v>3021</v>
      </c>
    </row>
    <row r="40" spans="1:17" ht="14.25" customHeight="1">
      <c r="A40" s="3231" t="s">
        <v>296</v>
      </c>
      <c r="B40" s="3232" t="s">
        <v>202</v>
      </c>
      <c r="C40" s="3231">
        <v>24740</v>
      </c>
      <c r="D40" s="3231">
        <v>24690</v>
      </c>
      <c r="E40" s="3231">
        <v>22610</v>
      </c>
      <c r="F40" s="3231"/>
      <c r="G40" s="3244">
        <v>17280</v>
      </c>
      <c r="M40" s="3231" t="s">
        <v>3022</v>
      </c>
      <c r="N40" s="3231" t="s">
        <v>3023</v>
      </c>
      <c r="O40" s="3231" t="s">
        <v>3024</v>
      </c>
      <c r="P40" s="3231" t="s">
        <v>3025</v>
      </c>
      <c r="Q40" s="3231" t="s">
        <v>3026</v>
      </c>
    </row>
    <row r="41" spans="1:17" ht="14.25" customHeight="1" thickBot="1">
      <c r="A41" s="3231" t="s">
        <v>296</v>
      </c>
      <c r="B41" s="3232" t="s">
        <v>209</v>
      </c>
      <c r="C41" s="3231">
        <v>21220</v>
      </c>
      <c r="D41" s="3231">
        <v>21120</v>
      </c>
      <c r="E41" s="3231">
        <v>22590</v>
      </c>
      <c r="F41" s="3231"/>
      <c r="G41" s="3244">
        <v>14780</v>
      </c>
      <c r="M41" s="3238" t="s">
        <v>3027</v>
      </c>
      <c r="N41" s="3231" t="s">
        <v>3028</v>
      </c>
      <c r="O41" s="3231" t="s">
        <v>3029</v>
      </c>
      <c r="P41" s="3231" t="s">
        <v>3030</v>
      </c>
      <c r="Q41" s="3231" t="s">
        <v>3031</v>
      </c>
    </row>
    <row r="42" spans="1:17" ht="14.25" customHeight="1">
      <c r="A42" s="3231" t="s">
        <v>296</v>
      </c>
      <c r="B42" s="3232" t="s">
        <v>215</v>
      </c>
      <c r="C42" s="3231">
        <v>24800</v>
      </c>
      <c r="D42" s="3231">
        <v>22280</v>
      </c>
      <c r="E42" s="3231">
        <v>24350</v>
      </c>
      <c r="F42" s="3231"/>
      <c r="G42" s="3244">
        <v>15590</v>
      </c>
      <c r="N42" s="3231" t="s">
        <v>3032</v>
      </c>
      <c r="O42" s="3231" t="s">
        <v>3033</v>
      </c>
      <c r="P42" s="3231" t="s">
        <v>3034</v>
      </c>
      <c r="Q42" s="3231" t="s">
        <v>3035</v>
      </c>
    </row>
    <row r="43" spans="1:17" ht="14.25" customHeight="1">
      <c r="A43" s="3231" t="s">
        <v>3036</v>
      </c>
      <c r="B43" s="3232" t="s">
        <v>223</v>
      </c>
      <c r="C43" s="3231">
        <v>21210</v>
      </c>
      <c r="D43" s="3231">
        <v>21160</v>
      </c>
      <c r="E43" s="3231">
        <v>22650</v>
      </c>
      <c r="F43" s="3231"/>
      <c r="G43" s="3244">
        <v>14800</v>
      </c>
      <c r="N43" s="3231" t="s">
        <v>3037</v>
      </c>
      <c r="O43" s="3231" t="s">
        <v>3038</v>
      </c>
      <c r="P43" s="3231" t="s">
        <v>3039</v>
      </c>
      <c r="Q43" s="3231" t="s">
        <v>3040</v>
      </c>
    </row>
    <row r="44" spans="1:17" ht="14.25" customHeight="1" thickBot="1">
      <c r="A44" s="3231" t="s">
        <v>296</v>
      </c>
      <c r="B44" s="3232" t="s">
        <v>231</v>
      </c>
      <c r="C44" s="3231">
        <v>22370</v>
      </c>
      <c r="D44" s="3231">
        <v>23140</v>
      </c>
      <c r="E44" s="3231">
        <v>25090</v>
      </c>
      <c r="F44" s="3231"/>
      <c r="G44" s="3244">
        <v>16190</v>
      </c>
      <c r="N44" s="3231" t="s">
        <v>3041</v>
      </c>
      <c r="O44" s="3231" t="s">
        <v>3042</v>
      </c>
      <c r="P44" s="3238" t="s">
        <v>3043</v>
      </c>
      <c r="Q44" s="3231" t="s">
        <v>3044</v>
      </c>
    </row>
    <row r="45" spans="1:17" ht="14.25" customHeight="1" thickBot="1">
      <c r="A45" s="3231" t="s">
        <v>296</v>
      </c>
      <c r="B45" s="3232" t="s">
        <v>236</v>
      </c>
      <c r="C45" s="3231">
        <v>21240</v>
      </c>
      <c r="D45" s="3231">
        <v>27050</v>
      </c>
      <c r="E45" s="3231">
        <v>28000</v>
      </c>
      <c r="F45" s="3231"/>
      <c r="G45" s="3244">
        <v>18940</v>
      </c>
      <c r="N45" s="3231" t="s">
        <v>3045</v>
      </c>
      <c r="O45" s="3238" t="s">
        <v>3046</v>
      </c>
      <c r="Q45" s="3231" t="s">
        <v>3047</v>
      </c>
    </row>
    <row r="46" spans="1:17" ht="14.25" customHeight="1">
      <c r="A46" s="3231" t="s">
        <v>296</v>
      </c>
      <c r="B46" s="3232" t="s">
        <v>245</v>
      </c>
      <c r="C46" s="3231">
        <v>23240</v>
      </c>
      <c r="D46" s="3231">
        <v>23000</v>
      </c>
      <c r="E46" s="3231">
        <v>24980</v>
      </c>
      <c r="F46" s="3231"/>
      <c r="G46" s="3244">
        <v>16100</v>
      </c>
      <c r="N46" s="3231" t="s">
        <v>3048</v>
      </c>
      <c r="Q46" s="3231" t="s">
        <v>3049</v>
      </c>
    </row>
    <row r="47" spans="1:17" ht="14.25" customHeight="1">
      <c r="A47" s="3231" t="s">
        <v>296</v>
      </c>
      <c r="B47" s="3232" t="s">
        <v>252</v>
      </c>
      <c r="C47" s="3231">
        <v>27150</v>
      </c>
      <c r="D47" s="3231">
        <v>23310</v>
      </c>
      <c r="E47" s="3231">
        <v>25150</v>
      </c>
      <c r="F47" s="3231"/>
      <c r="G47" s="3244">
        <v>16310</v>
      </c>
      <c r="N47" s="3231" t="s">
        <v>3050</v>
      </c>
      <c r="Q47" s="3231" t="s">
        <v>3051</v>
      </c>
    </row>
    <row r="48" spans="1:17" ht="14.25" customHeight="1">
      <c r="A48" s="3231" t="s">
        <v>296</v>
      </c>
      <c r="B48" s="3232" t="s">
        <v>260</v>
      </c>
      <c r="C48" s="3231">
        <v>23100</v>
      </c>
      <c r="D48" s="3231">
        <v>21110</v>
      </c>
      <c r="E48" s="3231">
        <v>23080</v>
      </c>
      <c r="F48" s="3231"/>
      <c r="G48" s="3244">
        <v>14780</v>
      </c>
      <c r="N48" s="3231" t="s">
        <v>3052</v>
      </c>
      <c r="Q48" s="3231" t="s">
        <v>3053</v>
      </c>
    </row>
    <row r="49" spans="1:17" ht="14.25" customHeight="1">
      <c r="A49" s="3231" t="s">
        <v>296</v>
      </c>
      <c r="B49" s="3232" t="s">
        <v>267</v>
      </c>
      <c r="C49" s="3231">
        <v>23400</v>
      </c>
      <c r="D49" s="3231">
        <v>22920</v>
      </c>
      <c r="E49" s="3231">
        <v>24900</v>
      </c>
      <c r="F49" s="3231"/>
      <c r="G49" s="3244">
        <v>16040</v>
      </c>
      <c r="N49" s="3231" t="s">
        <v>3054</v>
      </c>
      <c r="Q49" s="3231" t="s">
        <v>3055</v>
      </c>
    </row>
    <row r="50" spans="1:17" ht="14.25" customHeight="1">
      <c r="A50" s="3231" t="s">
        <v>296</v>
      </c>
      <c r="B50" s="3232" t="s">
        <v>2932</v>
      </c>
      <c r="C50" s="3231">
        <v>21200</v>
      </c>
      <c r="D50" s="3231">
        <v>26540</v>
      </c>
      <c r="E50" s="3231">
        <v>23200</v>
      </c>
      <c r="F50" s="3231"/>
      <c r="G50" s="3244">
        <v>18580</v>
      </c>
      <c r="N50" s="3231" t="s">
        <v>3056</v>
      </c>
      <c r="Q50" s="3232" t="s">
        <v>3057</v>
      </c>
    </row>
    <row r="51" spans="1:17" ht="14.25" customHeight="1" thickBot="1">
      <c r="A51" s="3231" t="s">
        <v>296</v>
      </c>
      <c r="B51" s="3232" t="s">
        <v>2934</v>
      </c>
      <c r="C51" s="3231">
        <v>23000</v>
      </c>
      <c r="D51" s="3231">
        <v>23460</v>
      </c>
      <c r="E51" s="3231">
        <v>25290</v>
      </c>
      <c r="F51" s="3231"/>
      <c r="G51" s="3244">
        <v>16420</v>
      </c>
      <c r="N51" s="3231" t="s">
        <v>3058</v>
      </c>
      <c r="Q51" s="3238" t="s">
        <v>3059</v>
      </c>
    </row>
    <row r="52" spans="1:17" ht="14.25" customHeight="1">
      <c r="A52" s="3231" t="s">
        <v>296</v>
      </c>
      <c r="B52" s="3232" t="s">
        <v>2938</v>
      </c>
      <c r="C52" s="3231">
        <v>26660</v>
      </c>
      <c r="D52" s="3231">
        <v>22350</v>
      </c>
      <c r="E52" s="3231">
        <v>22920</v>
      </c>
      <c r="F52" s="3231"/>
      <c r="G52" s="3244">
        <v>15640</v>
      </c>
      <c r="N52" s="3231" t="s">
        <v>3060</v>
      </c>
    </row>
    <row r="53" spans="1:17" ht="14.25" customHeight="1">
      <c r="A53" s="3231" t="s">
        <v>296</v>
      </c>
      <c r="B53" s="3232" t="s">
        <v>2943</v>
      </c>
      <c r="C53" s="3231">
        <v>23580</v>
      </c>
      <c r="D53" s="3231"/>
      <c r="E53" s="3231">
        <v>24280</v>
      </c>
      <c r="F53" s="3231"/>
      <c r="G53" s="3244"/>
      <c r="N53" s="3231" t="s">
        <v>3061</v>
      </c>
    </row>
    <row r="54" spans="1:17" ht="14.25" customHeight="1" thickBot="1">
      <c r="A54" s="3245" t="s">
        <v>296</v>
      </c>
      <c r="B54" s="3237" t="s">
        <v>2946</v>
      </c>
      <c r="C54" s="3238">
        <v>22460</v>
      </c>
      <c r="D54" s="3238"/>
      <c r="E54" s="3238"/>
      <c r="F54" s="3238"/>
      <c r="G54" s="3246"/>
      <c r="N54" s="3231" t="s">
        <v>3062</v>
      </c>
    </row>
    <row r="55" spans="1:17" ht="14.25" customHeight="1">
      <c r="A55" s="3236" t="s">
        <v>110</v>
      </c>
      <c r="B55" s="3227" t="s">
        <v>3063</v>
      </c>
      <c r="C55" s="3231">
        <v>21970</v>
      </c>
      <c r="D55" s="3231">
        <v>20370</v>
      </c>
      <c r="E55" s="3231">
        <v>20180</v>
      </c>
      <c r="F55" s="3231">
        <v>5730</v>
      </c>
      <c r="G55" s="3231">
        <v>13820</v>
      </c>
      <c r="N55" s="3231" t="s">
        <v>3064</v>
      </c>
    </row>
    <row r="56" spans="1:17" ht="14.25" customHeight="1">
      <c r="A56" s="3231" t="s">
        <v>110</v>
      </c>
      <c r="B56" s="3231" t="s">
        <v>130</v>
      </c>
      <c r="C56" s="3231">
        <v>20470</v>
      </c>
      <c r="D56" s="3231">
        <v>20700</v>
      </c>
      <c r="E56" s="3231">
        <v>20380</v>
      </c>
      <c r="F56" s="3231">
        <v>4760</v>
      </c>
      <c r="G56" s="3231">
        <v>14050</v>
      </c>
      <c r="N56" s="3231" t="s">
        <v>3065</v>
      </c>
    </row>
    <row r="57" spans="1:17" ht="14.25" customHeight="1">
      <c r="A57" s="3231" t="s">
        <v>110</v>
      </c>
      <c r="B57" s="3231" t="s">
        <v>139</v>
      </c>
      <c r="C57" s="3231">
        <v>20790</v>
      </c>
      <c r="D57" s="3231">
        <v>21370</v>
      </c>
      <c r="E57" s="3231">
        <v>20890</v>
      </c>
      <c r="F57" s="3231">
        <v>4910</v>
      </c>
      <c r="G57" s="3231">
        <v>14510</v>
      </c>
      <c r="N57" s="3231" t="s">
        <v>3066</v>
      </c>
    </row>
    <row r="58" spans="1:17" ht="14.25" customHeight="1">
      <c r="A58" s="3231" t="s">
        <v>110</v>
      </c>
      <c r="B58" s="3231" t="s">
        <v>148</v>
      </c>
      <c r="C58" s="3231">
        <v>21460</v>
      </c>
      <c r="D58" s="3231">
        <v>20920</v>
      </c>
      <c r="E58" s="3231">
        <v>23410</v>
      </c>
      <c r="F58" s="3231">
        <v>5100</v>
      </c>
      <c r="G58" s="3231">
        <v>14200</v>
      </c>
      <c r="N58" s="3231" t="s">
        <v>3067</v>
      </c>
    </row>
    <row r="59" spans="1:17" ht="14.25" customHeight="1">
      <c r="A59" s="3231" t="s">
        <v>110</v>
      </c>
      <c r="B59" s="3231" t="s">
        <v>157</v>
      </c>
      <c r="C59" s="3231">
        <v>21000</v>
      </c>
      <c r="D59" s="3231">
        <v>21550</v>
      </c>
      <c r="E59" s="3231">
        <v>21150</v>
      </c>
      <c r="F59" s="3231">
        <v>5250</v>
      </c>
      <c r="G59" s="3231">
        <v>14630</v>
      </c>
      <c r="N59" s="3231" t="s">
        <v>3068</v>
      </c>
    </row>
    <row r="60" spans="1:17" ht="14.25" customHeight="1">
      <c r="A60" s="3231" t="s">
        <v>110</v>
      </c>
      <c r="B60" s="3231" t="s">
        <v>164</v>
      </c>
      <c r="C60" s="3231">
        <v>21640</v>
      </c>
      <c r="D60" s="3231">
        <v>21260</v>
      </c>
      <c r="E60" s="3231">
        <v>24040</v>
      </c>
      <c r="F60" s="3231">
        <v>4470</v>
      </c>
      <c r="G60" s="3231">
        <v>14430</v>
      </c>
      <c r="N60" s="3231" t="s">
        <v>3069</v>
      </c>
    </row>
    <row r="61" spans="1:17" ht="14.25" customHeight="1">
      <c r="A61" s="3231" t="s">
        <v>110</v>
      </c>
      <c r="B61" s="3231" t="s">
        <v>170</v>
      </c>
      <c r="C61" s="3231">
        <v>21330</v>
      </c>
      <c r="D61" s="3231">
        <v>18640</v>
      </c>
      <c r="E61" s="3231">
        <v>21190</v>
      </c>
      <c r="F61" s="3231">
        <v>4180</v>
      </c>
      <c r="G61" s="3231">
        <v>12650</v>
      </c>
      <c r="N61" s="3231" t="s">
        <v>3070</v>
      </c>
    </row>
    <row r="62" spans="1:17" ht="14.25" customHeight="1">
      <c r="A62" s="3231" t="s">
        <v>110</v>
      </c>
      <c r="B62" s="3231" t="s">
        <v>177</v>
      </c>
      <c r="C62" s="3231">
        <v>18710</v>
      </c>
      <c r="D62" s="3231">
        <v>19400</v>
      </c>
      <c r="E62" s="3231">
        <v>23750</v>
      </c>
      <c r="F62" s="3231">
        <v>4860</v>
      </c>
      <c r="G62" s="3231">
        <v>13170</v>
      </c>
      <c r="N62" s="3231" t="s">
        <v>3071</v>
      </c>
    </row>
    <row r="63" spans="1:17" ht="14.25" customHeight="1">
      <c r="A63" s="3231" t="s">
        <v>110</v>
      </c>
      <c r="B63" s="3231" t="s">
        <v>187</v>
      </c>
      <c r="C63" s="3231">
        <v>19480</v>
      </c>
      <c r="D63" s="3231">
        <v>16830</v>
      </c>
      <c r="E63" s="3231">
        <v>21590</v>
      </c>
      <c r="F63" s="3231">
        <v>4560</v>
      </c>
      <c r="G63" s="3231">
        <v>11420</v>
      </c>
      <c r="N63" s="3231" t="s">
        <v>3072</v>
      </c>
    </row>
    <row r="64" spans="1:17" ht="14.25" customHeight="1" thickBot="1">
      <c r="A64" s="3231" t="s">
        <v>110</v>
      </c>
      <c r="B64" s="3231" t="s">
        <v>196</v>
      </c>
      <c r="C64" s="3231">
        <v>16920</v>
      </c>
      <c r="D64" s="3231">
        <v>19190</v>
      </c>
      <c r="E64" s="3231">
        <v>22200</v>
      </c>
      <c r="F64" s="3231">
        <v>4390</v>
      </c>
      <c r="G64" s="3231">
        <v>13030</v>
      </c>
      <c r="N64" s="3238" t="s">
        <v>3073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2944</v>
      </c>
      <c r="C78" s="3231">
        <v>19820</v>
      </c>
      <c r="D78" s="3231">
        <v>19780</v>
      </c>
      <c r="E78" s="3231">
        <v>18560</v>
      </c>
      <c r="F78" s="3231"/>
      <c r="G78" s="3231">
        <v>13430</v>
      </c>
    </row>
    <row r="79" spans="1:7" s="3220" customFormat="1" ht="14.25" customHeight="1">
      <c r="A79" s="3231" t="s">
        <v>110</v>
      </c>
      <c r="B79" s="3231" t="s">
        <v>2947</v>
      </c>
      <c r="C79" s="3231">
        <v>21660</v>
      </c>
      <c r="D79" s="3231">
        <v>18000</v>
      </c>
      <c r="E79" s="3231">
        <v>22570</v>
      </c>
      <c r="F79" s="3231"/>
      <c r="G79" s="3231">
        <v>12220</v>
      </c>
    </row>
    <row r="80" spans="1:7" s="3220" customFormat="1" ht="14.25" customHeight="1">
      <c r="A80" s="3231" t="s">
        <v>110</v>
      </c>
      <c r="B80" s="3231" t="s">
        <v>2951</v>
      </c>
      <c r="C80" s="3231">
        <v>19850</v>
      </c>
      <c r="D80" s="3231"/>
      <c r="E80" s="3231">
        <v>21700</v>
      </c>
      <c r="F80" s="3231"/>
      <c r="G80" s="3231"/>
    </row>
    <row r="81" spans="1:7" s="3220" customFormat="1" ht="14.25" customHeight="1">
      <c r="A81" s="3231" t="s">
        <v>110</v>
      </c>
      <c r="B81" s="3231" t="s">
        <v>2956</v>
      </c>
      <c r="C81" s="3231">
        <v>18080</v>
      </c>
      <c r="D81" s="3231"/>
      <c r="E81" s="3231">
        <v>20900</v>
      </c>
      <c r="F81" s="3231"/>
      <c r="G81" s="3231"/>
    </row>
    <row r="82" spans="1:7" s="3220" customFormat="1" ht="14.25" customHeight="1">
      <c r="A82" s="3231" t="s">
        <v>110</v>
      </c>
      <c r="B82" s="3231" t="s">
        <v>2963</v>
      </c>
      <c r="C82" s="3231"/>
      <c r="D82" s="3231"/>
      <c r="E82" s="3231">
        <v>20840</v>
      </c>
      <c r="F82" s="3231"/>
      <c r="G82" s="3231"/>
    </row>
    <row r="83" spans="1:7" s="3220" customFormat="1" ht="14.25" customHeight="1">
      <c r="A83" s="3231" t="s">
        <v>110</v>
      </c>
      <c r="B83" s="3231" t="s">
        <v>3074</v>
      </c>
      <c r="C83" s="3231"/>
      <c r="D83" s="3231"/>
      <c r="E83" s="3231"/>
      <c r="F83" s="3231">
        <v>4770</v>
      </c>
      <c r="G83" s="3231"/>
    </row>
    <row r="84" spans="1:7" s="3220" customFormat="1" ht="14.25" customHeight="1">
      <c r="A84" s="3231" t="s">
        <v>110</v>
      </c>
      <c r="B84" s="3231" t="s">
        <v>3075</v>
      </c>
      <c r="C84" s="3231"/>
      <c r="D84" s="3231"/>
      <c r="E84" s="3231"/>
      <c r="F84" s="3231">
        <v>4600</v>
      </c>
      <c r="G84" s="3231"/>
    </row>
    <row r="85" spans="1:7" s="3220" customFormat="1" ht="14.25" customHeight="1">
      <c r="A85" s="3231" t="s">
        <v>110</v>
      </c>
      <c r="B85" s="3231" t="s">
        <v>3076</v>
      </c>
      <c r="C85" s="3231"/>
      <c r="D85" s="3231"/>
      <c r="E85" s="3231"/>
      <c r="F85" s="3231">
        <v>4680</v>
      </c>
      <c r="G85" s="3231"/>
    </row>
    <row r="86" spans="1:7" s="3220" customFormat="1" ht="14.25" customHeight="1" thickBot="1">
      <c r="A86" s="3239" t="s">
        <v>110</v>
      </c>
      <c r="B86" s="3241" t="s">
        <v>3077</v>
      </c>
      <c r="C86" s="3242">
        <v>16610</v>
      </c>
      <c r="D86" s="3242">
        <v>16540</v>
      </c>
      <c r="E86" s="3242">
        <v>18850</v>
      </c>
      <c r="F86" s="3242"/>
      <c r="G86" s="3242">
        <v>11220</v>
      </c>
    </row>
    <row r="87" spans="1:7" s="3220" customFormat="1" ht="14.25" customHeight="1">
      <c r="A87" s="3236" t="s">
        <v>303</v>
      </c>
      <c r="B87" s="3227" t="s">
        <v>3078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2957</v>
      </c>
      <c r="C113" s="3231">
        <v>15520</v>
      </c>
      <c r="D113" s="3231">
        <v>15450</v>
      </c>
      <c r="E113" s="3231"/>
      <c r="F113" s="3231"/>
      <c r="G113" s="3244">
        <v>10210</v>
      </c>
    </row>
    <row r="114" spans="1:7" s="3220" customFormat="1" ht="14.25" customHeight="1">
      <c r="A114" s="3231" t="s">
        <v>303</v>
      </c>
      <c r="B114" s="3231" t="s">
        <v>2964</v>
      </c>
      <c r="C114" s="3231">
        <v>13110</v>
      </c>
      <c r="D114" s="3231">
        <v>13050</v>
      </c>
      <c r="E114" s="3231"/>
      <c r="F114" s="3231"/>
      <c r="G114" s="3244">
        <v>8620</v>
      </c>
    </row>
    <row r="115" spans="1:7" s="3220" customFormat="1" ht="14.25" customHeight="1">
      <c r="A115" s="3231" t="s">
        <v>303</v>
      </c>
      <c r="B115" s="3231" t="s">
        <v>2970</v>
      </c>
      <c r="C115" s="3231">
        <v>12460</v>
      </c>
      <c r="D115" s="3231">
        <v>12390</v>
      </c>
      <c r="E115" s="3231"/>
      <c r="F115" s="3231"/>
      <c r="G115" s="3244">
        <v>8190</v>
      </c>
    </row>
    <row r="116" spans="1:7" s="3220" customFormat="1" ht="14.25" customHeight="1">
      <c r="A116" s="3231" t="s">
        <v>303</v>
      </c>
      <c r="B116" s="3231" t="s">
        <v>2977</v>
      </c>
      <c r="C116" s="3231">
        <v>13580</v>
      </c>
      <c r="D116" s="3231">
        <v>13520</v>
      </c>
      <c r="E116" s="3231"/>
      <c r="F116" s="3231"/>
      <c r="G116" s="3244">
        <v>8930</v>
      </c>
    </row>
    <row r="117" spans="1:7" s="3220" customFormat="1" ht="14.25" customHeight="1">
      <c r="A117" s="3231" t="s">
        <v>303</v>
      </c>
      <c r="B117" s="3231" t="s">
        <v>2984</v>
      </c>
      <c r="C117" s="3231">
        <v>17120</v>
      </c>
      <c r="D117" s="3231">
        <v>17040</v>
      </c>
      <c r="E117" s="3231"/>
      <c r="F117" s="3231"/>
      <c r="G117" s="3244">
        <v>11260</v>
      </c>
    </row>
    <row r="118" spans="1:7" s="3220" customFormat="1" ht="14.25" customHeight="1">
      <c r="A118" s="3231" t="s">
        <v>303</v>
      </c>
      <c r="B118" s="3231" t="s">
        <v>2989</v>
      </c>
      <c r="C118" s="3231">
        <v>14860</v>
      </c>
      <c r="D118" s="3231">
        <v>14790</v>
      </c>
      <c r="E118" s="3231"/>
      <c r="F118" s="3231"/>
      <c r="G118" s="3244">
        <v>9780</v>
      </c>
    </row>
    <row r="119" spans="1:7" s="3220" customFormat="1" ht="14.25" customHeight="1">
      <c r="A119" s="3231" t="s">
        <v>303</v>
      </c>
      <c r="B119" s="3231" t="s">
        <v>2993</v>
      </c>
      <c r="C119" s="3231">
        <v>16470</v>
      </c>
      <c r="D119" s="3231">
        <v>16400</v>
      </c>
      <c r="E119" s="3231"/>
      <c r="F119" s="3231"/>
      <c r="G119" s="3244">
        <v>10840</v>
      </c>
    </row>
    <row r="120" spans="1:7" s="3220" customFormat="1" ht="14.25" customHeight="1">
      <c r="A120" s="3231" t="s">
        <v>303</v>
      </c>
      <c r="B120" s="3231" t="s">
        <v>3079</v>
      </c>
      <c r="C120" s="3231"/>
      <c r="D120" s="3231"/>
      <c r="E120" s="3231"/>
      <c r="F120" s="3231">
        <v>4160</v>
      </c>
      <c r="G120" s="3244"/>
    </row>
    <row r="121" spans="1:7" s="3220" customFormat="1" ht="14.25" customHeight="1">
      <c r="A121" s="3231" t="s">
        <v>303</v>
      </c>
      <c r="B121" s="3231" t="s">
        <v>3080</v>
      </c>
      <c r="C121" s="3231"/>
      <c r="D121" s="3231"/>
      <c r="E121" s="3231"/>
      <c r="F121" s="3231">
        <v>3880</v>
      </c>
      <c r="G121" s="3244"/>
    </row>
    <row r="122" spans="1:7" s="3220" customFormat="1" ht="14.25" customHeight="1">
      <c r="A122" s="3231" t="s">
        <v>303</v>
      </c>
      <c r="B122" s="3231" t="s">
        <v>3081</v>
      </c>
      <c r="C122" s="3231">
        <v>13750</v>
      </c>
      <c r="D122" s="3231">
        <v>13680</v>
      </c>
      <c r="E122" s="3231">
        <v>16460</v>
      </c>
      <c r="F122" s="3231">
        <v>2880</v>
      </c>
      <c r="G122" s="3244">
        <v>9040</v>
      </c>
    </row>
    <row r="123" spans="1:7" s="3220" customFormat="1" ht="14.25" customHeight="1">
      <c r="A123" s="3231" t="s">
        <v>303</v>
      </c>
      <c r="B123" s="3231" t="s">
        <v>3012</v>
      </c>
      <c r="C123" s="3231">
        <v>13590</v>
      </c>
      <c r="D123" s="3231">
        <v>13520</v>
      </c>
      <c r="E123" s="3231">
        <v>16290</v>
      </c>
      <c r="F123" s="3231">
        <v>2790</v>
      </c>
      <c r="G123" s="3244">
        <v>8930</v>
      </c>
    </row>
    <row r="124" spans="1:7" s="3220" customFormat="1" ht="14.25" customHeight="1">
      <c r="A124" s="3231" t="s">
        <v>303</v>
      </c>
      <c r="B124" s="3231" t="s">
        <v>3017</v>
      </c>
      <c r="C124" s="3231">
        <v>13400</v>
      </c>
      <c r="D124" s="3231">
        <v>13320</v>
      </c>
      <c r="E124" s="3231">
        <v>16100</v>
      </c>
      <c r="F124" s="3231">
        <v>2320</v>
      </c>
      <c r="G124" s="3244">
        <v>8800</v>
      </c>
    </row>
    <row r="125" spans="1:7" s="3220" customFormat="1" ht="14.25" customHeight="1">
      <c r="A125" s="3231" t="s">
        <v>303</v>
      </c>
      <c r="B125" s="3231" t="s">
        <v>3022</v>
      </c>
      <c r="C125" s="3231">
        <v>12860</v>
      </c>
      <c r="D125" s="3231">
        <v>12790</v>
      </c>
      <c r="E125" s="3231">
        <v>15370</v>
      </c>
      <c r="F125" s="3231">
        <v>2280</v>
      </c>
      <c r="G125" s="3244">
        <v>8450</v>
      </c>
    </row>
    <row r="126" spans="1:7" s="3220" customFormat="1" ht="14.25" customHeight="1" thickBot="1">
      <c r="A126" s="3245" t="s">
        <v>303</v>
      </c>
      <c r="B126" s="3238" t="s">
        <v>3027</v>
      </c>
      <c r="C126" s="3238">
        <v>12960</v>
      </c>
      <c r="D126" s="3238">
        <v>12890</v>
      </c>
      <c r="E126" s="3238">
        <v>15530</v>
      </c>
      <c r="F126" s="3238">
        <v>2910</v>
      </c>
      <c r="G126" s="3246">
        <v>8520</v>
      </c>
    </row>
    <row r="127" spans="1:7" s="3220" customFormat="1" ht="14.25" customHeight="1">
      <c r="A127" s="3236" t="s">
        <v>29</v>
      </c>
      <c r="B127" s="3227" t="s">
        <v>3082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3083</v>
      </c>
      <c r="C148" s="3231">
        <v>10370</v>
      </c>
      <c r="D148" s="3231">
        <v>10310</v>
      </c>
      <c r="E148" s="3231">
        <v>12970</v>
      </c>
      <c r="F148" s="3231"/>
      <c r="G148" s="3231">
        <v>6630</v>
      </c>
    </row>
    <row r="149" spans="1:7" s="3220" customFormat="1" ht="14.25" customHeight="1">
      <c r="A149" s="3231" t="s">
        <v>29</v>
      </c>
      <c r="B149" s="3231" t="s">
        <v>3084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2958</v>
      </c>
      <c r="C153" s="3231">
        <v>10880</v>
      </c>
      <c r="D153" s="3231">
        <v>10820</v>
      </c>
      <c r="E153" s="3231">
        <v>13660</v>
      </c>
      <c r="F153" s="3231">
        <v>2260</v>
      </c>
      <c r="G153" s="3231">
        <v>6970</v>
      </c>
    </row>
    <row r="154" spans="1:7" s="3220" customFormat="1" ht="14.25" customHeight="1">
      <c r="A154" s="3231" t="s">
        <v>29</v>
      </c>
      <c r="B154" s="3231" t="s">
        <v>3085</v>
      </c>
      <c r="C154" s="3231">
        <v>11220</v>
      </c>
      <c r="D154" s="3231">
        <v>11160</v>
      </c>
      <c r="E154" s="3231">
        <v>14130</v>
      </c>
      <c r="F154" s="3231">
        <v>2230</v>
      </c>
      <c r="G154" s="3231">
        <v>7180</v>
      </c>
    </row>
    <row r="155" spans="1:7" s="3220" customFormat="1" ht="14.25" customHeight="1">
      <c r="A155" s="3231" t="s">
        <v>29</v>
      </c>
      <c r="B155" s="3231" t="s">
        <v>2971</v>
      </c>
      <c r="C155" s="3231">
        <v>10430</v>
      </c>
      <c r="D155" s="3231">
        <v>10380</v>
      </c>
      <c r="E155" s="3231">
        <v>13140</v>
      </c>
      <c r="F155" s="3231">
        <v>2080</v>
      </c>
      <c r="G155" s="3231">
        <v>6650</v>
      </c>
    </row>
    <row r="156" spans="1:7" s="3220" customFormat="1" ht="14.25" customHeight="1">
      <c r="A156" s="3231" t="s">
        <v>29</v>
      </c>
      <c r="B156" s="3231" t="s">
        <v>3086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3087</v>
      </c>
      <c r="C160" s="3231">
        <v>11180</v>
      </c>
      <c r="D160" s="3231">
        <v>11140</v>
      </c>
      <c r="E160" s="3231">
        <v>14050</v>
      </c>
      <c r="F160" s="3231">
        <v>2270</v>
      </c>
      <c r="G160" s="3231">
        <v>7170</v>
      </c>
    </row>
    <row r="161" spans="1:7" s="3220" customFormat="1" ht="14.25" customHeight="1">
      <c r="A161" s="3231" t="s">
        <v>29</v>
      </c>
      <c r="B161" s="3231" t="s">
        <v>3003</v>
      </c>
      <c r="C161" s="3231">
        <v>11160</v>
      </c>
      <c r="D161" s="3231">
        <v>11120</v>
      </c>
      <c r="E161" s="3231">
        <v>14020</v>
      </c>
      <c r="F161" s="3231">
        <v>2150</v>
      </c>
      <c r="G161" s="3231">
        <v>7160</v>
      </c>
    </row>
    <row r="162" spans="1:7" s="3220" customFormat="1" ht="14.25" customHeight="1">
      <c r="A162" s="3231" t="s">
        <v>29</v>
      </c>
      <c r="B162" s="3231" t="s">
        <v>3008</v>
      </c>
      <c r="C162" s="3231">
        <v>9620</v>
      </c>
      <c r="D162" s="3231">
        <v>9570</v>
      </c>
      <c r="E162" s="3231">
        <v>12320</v>
      </c>
      <c r="F162" s="3231">
        <v>2010</v>
      </c>
      <c r="G162" s="3231">
        <v>6160</v>
      </c>
    </row>
    <row r="163" spans="1:7" s="3220" customFormat="1" ht="14.25" customHeight="1">
      <c r="A163" s="3231" t="s">
        <v>29</v>
      </c>
      <c r="B163" s="3231" t="s">
        <v>3013</v>
      </c>
      <c r="C163" s="3231">
        <v>9320</v>
      </c>
      <c r="D163" s="3231">
        <v>9270</v>
      </c>
      <c r="E163" s="3231">
        <v>11790</v>
      </c>
      <c r="F163" s="3231">
        <v>1920</v>
      </c>
      <c r="G163" s="3231">
        <v>5960</v>
      </c>
    </row>
    <row r="164" spans="1:7" s="3220" customFormat="1" ht="14.25" customHeight="1">
      <c r="A164" s="3231" t="s">
        <v>29</v>
      </c>
      <c r="B164" s="3231" t="s">
        <v>3018</v>
      </c>
      <c r="C164" s="3231"/>
      <c r="D164" s="3231"/>
      <c r="E164" s="3231"/>
      <c r="F164" s="3231">
        <v>1980</v>
      </c>
      <c r="G164" s="3231"/>
    </row>
    <row r="165" spans="1:7" s="3220" customFormat="1" ht="14.25" customHeight="1">
      <c r="A165" s="3231" t="s">
        <v>29</v>
      </c>
      <c r="B165" s="3231" t="s">
        <v>3088</v>
      </c>
      <c r="C165" s="3231">
        <v>11060</v>
      </c>
      <c r="D165" s="3231">
        <v>11030</v>
      </c>
      <c r="E165" s="3231">
        <v>13850</v>
      </c>
      <c r="F165" s="3231">
        <v>2170</v>
      </c>
      <c r="G165" s="3231">
        <v>7090</v>
      </c>
    </row>
    <row r="166" spans="1:7" s="3220" customFormat="1" ht="14.25" customHeight="1">
      <c r="A166" s="3231" t="s">
        <v>29</v>
      </c>
      <c r="B166" s="3231" t="s">
        <v>3028</v>
      </c>
      <c r="C166" s="3231">
        <v>11050</v>
      </c>
      <c r="D166" s="3231">
        <v>11010</v>
      </c>
      <c r="E166" s="3231">
        <v>13920</v>
      </c>
      <c r="F166" s="3231">
        <v>2140</v>
      </c>
      <c r="G166" s="3231">
        <v>7080</v>
      </c>
    </row>
    <row r="167" spans="1:7" s="3220" customFormat="1" ht="14.25" customHeight="1">
      <c r="A167" s="3231" t="s">
        <v>29</v>
      </c>
      <c r="B167" s="3231" t="s">
        <v>3032</v>
      </c>
      <c r="C167" s="3231">
        <v>10930</v>
      </c>
      <c r="D167" s="3231">
        <v>10890</v>
      </c>
      <c r="E167" s="3231">
        <v>13790</v>
      </c>
      <c r="F167" s="3231">
        <v>2010</v>
      </c>
      <c r="G167" s="3231">
        <v>7000</v>
      </c>
    </row>
    <row r="168" spans="1:7" s="3220" customFormat="1" ht="14.25" customHeight="1">
      <c r="A168" s="3231" t="s">
        <v>29</v>
      </c>
      <c r="B168" s="3231" t="s">
        <v>3037</v>
      </c>
      <c r="C168" s="3231">
        <v>9420</v>
      </c>
      <c r="D168" s="3231">
        <v>9380</v>
      </c>
      <c r="E168" s="3231">
        <v>11970</v>
      </c>
      <c r="F168" s="3231"/>
      <c r="G168" s="3231">
        <v>6040</v>
      </c>
    </row>
    <row r="169" spans="1:7" s="3220" customFormat="1" ht="14.25" customHeight="1">
      <c r="A169" s="3231" t="s">
        <v>29</v>
      </c>
      <c r="B169" s="3231" t="s">
        <v>3089</v>
      </c>
      <c r="C169" s="3231"/>
      <c r="D169" s="3231"/>
      <c r="E169" s="3231"/>
      <c r="F169" s="3231">
        <v>2880</v>
      </c>
      <c r="G169" s="3231"/>
    </row>
    <row r="170" spans="1:7" s="3220" customFormat="1" ht="14.25" customHeight="1">
      <c r="A170" s="3231" t="s">
        <v>29</v>
      </c>
      <c r="B170" s="3231" t="s">
        <v>3045</v>
      </c>
      <c r="C170" s="3231"/>
      <c r="D170" s="3231"/>
      <c r="E170" s="3231"/>
      <c r="F170" s="3231">
        <v>2880</v>
      </c>
      <c r="G170" s="3231"/>
    </row>
    <row r="171" spans="1:7" s="3220" customFormat="1" ht="14.25" customHeight="1">
      <c r="A171" s="3231" t="s">
        <v>29</v>
      </c>
      <c r="B171" s="3231" t="s">
        <v>3048</v>
      </c>
      <c r="C171" s="3231"/>
      <c r="D171" s="3231"/>
      <c r="E171" s="3231"/>
      <c r="F171" s="3231">
        <v>2880</v>
      </c>
      <c r="G171" s="3231"/>
    </row>
    <row r="172" spans="1:7" s="3220" customFormat="1" ht="14.25" customHeight="1">
      <c r="A172" s="3231" t="s">
        <v>29</v>
      </c>
      <c r="B172" s="3231" t="s">
        <v>3050</v>
      </c>
      <c r="C172" s="3231"/>
      <c r="D172" s="3231"/>
      <c r="E172" s="3231"/>
      <c r="F172" s="3231">
        <v>2880</v>
      </c>
      <c r="G172" s="3231"/>
    </row>
    <row r="173" spans="1:7" s="3220" customFormat="1" ht="14.25" customHeight="1">
      <c r="A173" s="3231" t="s">
        <v>29</v>
      </c>
      <c r="B173" s="3231" t="s">
        <v>3052</v>
      </c>
      <c r="C173" s="3231"/>
      <c r="D173" s="3231"/>
      <c r="E173" s="3231"/>
      <c r="F173" s="3231">
        <v>2150</v>
      </c>
      <c r="G173" s="3231"/>
    </row>
    <row r="174" spans="1:7" s="3220" customFormat="1" ht="14.25" customHeight="1">
      <c r="A174" s="3231" t="s">
        <v>29</v>
      </c>
      <c r="B174" s="3231" t="s">
        <v>3054</v>
      </c>
      <c r="C174" s="3231"/>
      <c r="D174" s="3231"/>
      <c r="E174" s="3231"/>
      <c r="F174" s="3231">
        <v>2030</v>
      </c>
      <c r="G174" s="3231"/>
    </row>
    <row r="175" spans="1:7" s="3220" customFormat="1" ht="14.25" customHeight="1">
      <c r="A175" s="3231" t="s">
        <v>29</v>
      </c>
      <c r="B175" s="3231" t="s">
        <v>3056</v>
      </c>
      <c r="C175" s="3231"/>
      <c r="D175" s="3231"/>
      <c r="E175" s="3231"/>
      <c r="F175" s="3231">
        <v>2780</v>
      </c>
      <c r="G175" s="3231"/>
    </row>
    <row r="176" spans="1:7" s="3220" customFormat="1" ht="14.25" customHeight="1">
      <c r="A176" s="3231" t="s">
        <v>29</v>
      </c>
      <c r="B176" s="3231" t="s">
        <v>3058</v>
      </c>
      <c r="C176" s="3231"/>
      <c r="D176" s="3231"/>
      <c r="E176" s="3231"/>
      <c r="F176" s="3231">
        <v>2780</v>
      </c>
      <c r="G176" s="3231"/>
    </row>
    <row r="177" spans="1:7" s="3220" customFormat="1" ht="14.25" customHeight="1">
      <c r="A177" s="3231" t="s">
        <v>29</v>
      </c>
      <c r="B177" s="3231" t="s">
        <v>3090</v>
      </c>
      <c r="C177" s="3231"/>
      <c r="D177" s="3231"/>
      <c r="E177" s="3231"/>
      <c r="F177" s="3231">
        <v>2780</v>
      </c>
      <c r="G177" s="3231"/>
    </row>
    <row r="178" spans="1:7" s="3220" customFormat="1" ht="14.25" customHeight="1">
      <c r="A178" s="3231" t="s">
        <v>29</v>
      </c>
      <c r="B178" s="3231" t="s">
        <v>3091</v>
      </c>
      <c r="C178" s="3231"/>
      <c r="D178" s="3231"/>
      <c r="E178" s="3231"/>
      <c r="F178" s="3231">
        <v>2060</v>
      </c>
      <c r="G178" s="3231"/>
    </row>
    <row r="179" spans="1:7" s="3220" customFormat="1" ht="14.25" customHeight="1">
      <c r="A179" s="3231" t="s">
        <v>29</v>
      </c>
      <c r="B179" s="3231" t="s">
        <v>3092</v>
      </c>
      <c r="C179" s="3231"/>
      <c r="D179" s="3231"/>
      <c r="E179" s="3231"/>
      <c r="F179" s="3231">
        <v>2120</v>
      </c>
      <c r="G179" s="3231"/>
    </row>
    <row r="180" spans="1:7" s="3220" customFormat="1" ht="14.25" customHeight="1">
      <c r="A180" s="3231" t="s">
        <v>29</v>
      </c>
      <c r="B180" s="3231" t="s">
        <v>3064</v>
      </c>
      <c r="C180" s="3231"/>
      <c r="D180" s="3231"/>
      <c r="E180" s="3231"/>
      <c r="F180" s="3231">
        <v>2340</v>
      </c>
      <c r="G180" s="3231"/>
    </row>
    <row r="181" spans="1:7" s="3220" customFormat="1" ht="14.25" customHeight="1">
      <c r="A181" s="3231" t="s">
        <v>29</v>
      </c>
      <c r="B181" s="3231" t="s">
        <v>3065</v>
      </c>
      <c r="C181" s="3231"/>
      <c r="D181" s="3231"/>
      <c r="E181" s="3231"/>
      <c r="F181" s="3231">
        <v>2340</v>
      </c>
      <c r="G181" s="3231"/>
    </row>
    <row r="182" spans="1:7" s="3220" customFormat="1" ht="14.25" customHeight="1">
      <c r="A182" s="3231" t="s">
        <v>29</v>
      </c>
      <c r="B182" s="3231" t="s">
        <v>3066</v>
      </c>
      <c r="C182" s="3231"/>
      <c r="D182" s="3231"/>
      <c r="E182" s="3231"/>
      <c r="F182" s="3231">
        <v>2340</v>
      </c>
      <c r="G182" s="3231"/>
    </row>
    <row r="183" spans="1:7" s="3220" customFormat="1" ht="14.25" customHeight="1">
      <c r="A183" s="3231" t="s">
        <v>29</v>
      </c>
      <c r="B183" s="3231" t="s">
        <v>3067</v>
      </c>
      <c r="C183" s="3231"/>
      <c r="D183" s="3231"/>
      <c r="E183" s="3231"/>
      <c r="F183" s="3231">
        <v>2340</v>
      </c>
      <c r="G183" s="3231"/>
    </row>
    <row r="184" spans="1:7" s="3220" customFormat="1" ht="14.25" customHeight="1">
      <c r="A184" s="3231" t="s">
        <v>29</v>
      </c>
      <c r="B184" s="3231" t="s">
        <v>3068</v>
      </c>
      <c r="C184" s="3231"/>
      <c r="D184" s="3231"/>
      <c r="E184" s="3231"/>
      <c r="F184" s="3231">
        <v>2340</v>
      </c>
      <c r="G184" s="3231"/>
    </row>
    <row r="185" spans="1:7" s="3220" customFormat="1" ht="14.25" customHeight="1">
      <c r="A185" s="3231" t="s">
        <v>29</v>
      </c>
      <c r="B185" s="3231" t="s">
        <v>3069</v>
      </c>
      <c r="C185" s="3231"/>
      <c r="D185" s="3231"/>
      <c r="E185" s="3231"/>
      <c r="F185" s="3231">
        <v>2530</v>
      </c>
      <c r="G185" s="3231"/>
    </row>
    <row r="186" spans="1:7" s="3220" customFormat="1" ht="14.25" customHeight="1">
      <c r="A186" s="3231" t="s">
        <v>29</v>
      </c>
      <c r="B186" s="3231" t="s">
        <v>3070</v>
      </c>
      <c r="C186" s="3231"/>
      <c r="D186" s="3231"/>
      <c r="E186" s="3231"/>
      <c r="F186" s="3231">
        <v>2550</v>
      </c>
      <c r="G186" s="3231"/>
    </row>
    <row r="187" spans="1:7" s="3220" customFormat="1" ht="14.25" customHeight="1">
      <c r="A187" s="3231" t="s">
        <v>29</v>
      </c>
      <c r="B187" s="3231" t="s">
        <v>3071</v>
      </c>
      <c r="C187" s="3231"/>
      <c r="D187" s="3231"/>
      <c r="E187" s="3231"/>
      <c r="F187" s="3231">
        <v>2070</v>
      </c>
      <c r="G187" s="3231"/>
    </row>
    <row r="188" spans="1:7" s="3220" customFormat="1" ht="14.25" customHeight="1">
      <c r="A188" s="3231" t="s">
        <v>29</v>
      </c>
      <c r="B188" s="3231" t="s">
        <v>3072</v>
      </c>
      <c r="C188" s="3231"/>
      <c r="D188" s="3231"/>
      <c r="E188" s="3231"/>
      <c r="F188" s="3231">
        <v>2340</v>
      </c>
      <c r="G188" s="3231"/>
    </row>
    <row r="189" spans="1:7" s="3220" customFormat="1" ht="14.25" customHeight="1" thickBot="1">
      <c r="A189" s="3239" t="s">
        <v>29</v>
      </c>
      <c r="B189" s="3242" t="s">
        <v>3073</v>
      </c>
      <c r="C189" s="3242"/>
      <c r="D189" s="3242"/>
      <c r="E189" s="3242"/>
      <c r="F189" s="3242">
        <v>2050</v>
      </c>
      <c r="G189" s="3242"/>
    </row>
    <row r="190" spans="1:7" s="3220" customFormat="1" ht="14.25" customHeight="1">
      <c r="A190" s="3236" t="s">
        <v>304</v>
      </c>
      <c r="B190" s="3227" t="s">
        <v>3093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3094</v>
      </c>
      <c r="C199" s="3231">
        <v>8690</v>
      </c>
      <c r="D199" s="3231">
        <v>8630</v>
      </c>
      <c r="E199" s="3231">
        <v>11350</v>
      </c>
      <c r="F199" s="3231">
        <v>1600</v>
      </c>
      <c r="G199" s="3244">
        <v>5450</v>
      </c>
    </row>
    <row r="200" spans="1:7" s="3220" customFormat="1" ht="14.25" customHeight="1">
      <c r="A200" s="3231" t="s">
        <v>304</v>
      </c>
      <c r="B200" s="3231" t="s">
        <v>2905</v>
      </c>
      <c r="C200" s="3231"/>
      <c r="D200" s="3231"/>
      <c r="E200" s="3231"/>
      <c r="F200" s="3231">
        <v>1510</v>
      </c>
      <c r="G200" s="3244"/>
    </row>
    <row r="201" spans="1:7" s="3220" customFormat="1" ht="14.25" customHeight="1">
      <c r="A201" s="3231" t="s">
        <v>304</v>
      </c>
      <c r="B201" s="3231" t="s">
        <v>3095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3096</v>
      </c>
      <c r="C203" s="3231">
        <v>8130</v>
      </c>
      <c r="D203" s="3231">
        <v>8070</v>
      </c>
      <c r="E203" s="3231">
        <v>10820</v>
      </c>
      <c r="F203" s="3231">
        <v>1690</v>
      </c>
      <c r="G203" s="3244">
        <v>5100</v>
      </c>
    </row>
    <row r="204" spans="1:7" s="3220" customFormat="1" ht="14.25" customHeight="1">
      <c r="A204" s="3231" t="s">
        <v>304</v>
      </c>
      <c r="B204" s="3231" t="s">
        <v>2916</v>
      </c>
      <c r="C204" s="3231">
        <v>8350</v>
      </c>
      <c r="D204" s="3231">
        <v>8290</v>
      </c>
      <c r="E204" s="3231">
        <v>11080</v>
      </c>
      <c r="F204" s="3231">
        <v>1450</v>
      </c>
      <c r="G204" s="3244">
        <v>5240</v>
      </c>
    </row>
    <row r="205" spans="1:7" s="3220" customFormat="1" ht="14.25" customHeight="1">
      <c r="A205" s="3231" t="s">
        <v>304</v>
      </c>
      <c r="B205" s="3231" t="s">
        <v>2918</v>
      </c>
      <c r="C205" s="3231">
        <v>7190</v>
      </c>
      <c r="D205" s="3231">
        <v>7130</v>
      </c>
      <c r="E205" s="3231">
        <v>9490</v>
      </c>
      <c r="F205" s="3231">
        <v>1470</v>
      </c>
      <c r="G205" s="3244">
        <v>4510</v>
      </c>
    </row>
    <row r="206" spans="1:7" s="3220" customFormat="1" ht="14.25" customHeight="1">
      <c r="A206" s="3231" t="s">
        <v>304</v>
      </c>
      <c r="B206" s="3231" t="s">
        <v>2921</v>
      </c>
      <c r="C206" s="3231">
        <v>7000</v>
      </c>
      <c r="D206" s="3231">
        <v>6950</v>
      </c>
      <c r="E206" s="3231">
        <v>9170</v>
      </c>
      <c r="F206" s="3231">
        <v>1400</v>
      </c>
      <c r="G206" s="3244">
        <v>4380</v>
      </c>
    </row>
    <row r="207" spans="1:7" s="3220" customFormat="1" ht="14.25" customHeight="1">
      <c r="A207" s="3231" t="s">
        <v>304</v>
      </c>
      <c r="B207" s="3231" t="s">
        <v>2923</v>
      </c>
      <c r="C207" s="3231">
        <v>6950</v>
      </c>
      <c r="D207" s="3231">
        <v>6900</v>
      </c>
      <c r="E207" s="3231">
        <v>9110</v>
      </c>
      <c r="F207" s="3231">
        <v>1790</v>
      </c>
      <c r="G207" s="3244">
        <v>4360</v>
      </c>
    </row>
    <row r="208" spans="1:7" s="3220" customFormat="1" ht="14.25" customHeight="1">
      <c r="A208" s="3231" t="s">
        <v>304</v>
      </c>
      <c r="B208" s="3231" t="s">
        <v>3097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2933</v>
      </c>
      <c r="C210" s="3231">
        <v>8710</v>
      </c>
      <c r="D210" s="3231">
        <v>8660</v>
      </c>
      <c r="E210" s="3231">
        <v>11440</v>
      </c>
      <c r="F210" s="3231">
        <v>1740</v>
      </c>
      <c r="G210" s="3244">
        <v>5470</v>
      </c>
    </row>
    <row r="211" spans="1:7" s="3220" customFormat="1" ht="14.25" customHeight="1">
      <c r="A211" s="3231" t="s">
        <v>304</v>
      </c>
      <c r="B211" s="3231" t="s">
        <v>3098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3099</v>
      </c>
      <c r="C214" s="3231">
        <v>8090</v>
      </c>
      <c r="D214" s="3231">
        <v>8030</v>
      </c>
      <c r="E214" s="3231">
        <v>10780</v>
      </c>
      <c r="F214" s="3231">
        <v>1570</v>
      </c>
      <c r="G214" s="3244">
        <v>5070</v>
      </c>
    </row>
    <row r="215" spans="1:7" s="3220" customFormat="1" ht="14.25" customHeight="1">
      <c r="A215" s="3231" t="s">
        <v>304</v>
      </c>
      <c r="B215" s="3231" t="s">
        <v>3100</v>
      </c>
      <c r="C215" s="3231">
        <v>7950</v>
      </c>
      <c r="D215" s="3231">
        <v>7900</v>
      </c>
      <c r="E215" s="3231">
        <v>10560</v>
      </c>
      <c r="F215" s="3231">
        <v>1630</v>
      </c>
      <c r="G215" s="3244">
        <v>4990</v>
      </c>
    </row>
    <row r="216" spans="1:7" s="3220" customFormat="1" ht="14.25" customHeight="1">
      <c r="A216" s="3231" t="s">
        <v>304</v>
      </c>
      <c r="B216" s="3231" t="s">
        <v>3101</v>
      </c>
      <c r="C216" s="3231">
        <v>8490</v>
      </c>
      <c r="D216" s="3231">
        <v>8440</v>
      </c>
      <c r="E216" s="3231">
        <v>11260</v>
      </c>
      <c r="F216" s="3231">
        <v>1690</v>
      </c>
      <c r="G216" s="3244">
        <v>5330</v>
      </c>
    </row>
    <row r="217" spans="1:7" s="3220" customFormat="1" ht="14.25" customHeight="1">
      <c r="A217" s="3231" t="s">
        <v>304</v>
      </c>
      <c r="B217" s="3231" t="s">
        <v>2966</v>
      </c>
      <c r="C217" s="3231">
        <v>8200</v>
      </c>
      <c r="D217" s="3231">
        <v>8150</v>
      </c>
      <c r="E217" s="3231">
        <v>10910</v>
      </c>
      <c r="F217" s="3231">
        <v>1670</v>
      </c>
      <c r="G217" s="3244">
        <v>5150</v>
      </c>
    </row>
    <row r="218" spans="1:7" s="3220" customFormat="1" ht="14.25" customHeight="1">
      <c r="A218" s="3231" t="s">
        <v>304</v>
      </c>
      <c r="B218" s="3231" t="s">
        <v>3102</v>
      </c>
      <c r="C218" s="3231"/>
      <c r="D218" s="3231"/>
      <c r="E218" s="3231"/>
      <c r="F218" s="3231">
        <v>2040</v>
      </c>
      <c r="G218" s="3244"/>
    </row>
    <row r="219" spans="1:7" s="3220" customFormat="1" ht="14.25" customHeight="1">
      <c r="A219" s="3231" t="s">
        <v>304</v>
      </c>
      <c r="B219" s="3231" t="s">
        <v>3103</v>
      </c>
      <c r="C219" s="3231"/>
      <c r="D219" s="3231"/>
      <c r="E219" s="3231"/>
      <c r="F219" s="3231">
        <v>2040</v>
      </c>
      <c r="G219" s="3244"/>
    </row>
    <row r="220" spans="1:7" s="3220" customFormat="1" ht="14.25" customHeight="1">
      <c r="A220" s="3231" t="s">
        <v>304</v>
      </c>
      <c r="B220" s="3231" t="s">
        <v>3104</v>
      </c>
      <c r="C220" s="3231"/>
      <c r="D220" s="3231"/>
      <c r="E220" s="3231"/>
      <c r="F220" s="3231">
        <v>2040</v>
      </c>
      <c r="G220" s="3244"/>
    </row>
    <row r="221" spans="1:7" s="3220" customFormat="1" ht="14.25" customHeight="1">
      <c r="A221" s="3231" t="s">
        <v>304</v>
      </c>
      <c r="B221" s="3231" t="s">
        <v>3105</v>
      </c>
      <c r="C221" s="3231"/>
      <c r="D221" s="3231"/>
      <c r="E221" s="3231"/>
      <c r="F221" s="3231">
        <v>2040</v>
      </c>
      <c r="G221" s="3244"/>
    </row>
    <row r="222" spans="1:7" s="3220" customFormat="1" ht="14.25" customHeight="1">
      <c r="A222" s="3231" t="s">
        <v>304</v>
      </c>
      <c r="B222" s="3231" t="s">
        <v>3106</v>
      </c>
      <c r="C222" s="3231"/>
      <c r="D222" s="3231"/>
      <c r="E222" s="3231"/>
      <c r="F222" s="3231">
        <v>2040</v>
      </c>
      <c r="G222" s="3244"/>
    </row>
    <row r="223" spans="1:7" s="3220" customFormat="1" ht="14.25" customHeight="1">
      <c r="A223" s="3231" t="s">
        <v>304</v>
      </c>
      <c r="B223" s="3231" t="s">
        <v>3107</v>
      </c>
      <c r="C223" s="3231"/>
      <c r="D223" s="3231"/>
      <c r="E223" s="3231"/>
      <c r="F223" s="3231">
        <v>1930</v>
      </c>
      <c r="G223" s="3244"/>
    </row>
    <row r="224" spans="1:7" s="3220" customFormat="1" ht="14.25" customHeight="1">
      <c r="A224" s="3231" t="s">
        <v>304</v>
      </c>
      <c r="B224" s="3231" t="s">
        <v>3108</v>
      </c>
      <c r="C224" s="3231"/>
      <c r="D224" s="3231"/>
      <c r="E224" s="3231"/>
      <c r="F224" s="3231">
        <v>1930</v>
      </c>
      <c r="G224" s="3244"/>
    </row>
    <row r="225" spans="1:7" s="3220" customFormat="1" ht="14.25" customHeight="1">
      <c r="A225" s="3231" t="s">
        <v>304</v>
      </c>
      <c r="B225" s="3231" t="s">
        <v>3109</v>
      </c>
      <c r="C225" s="3231"/>
      <c r="D225" s="3231"/>
      <c r="E225" s="3231"/>
      <c r="F225" s="3231">
        <v>1930</v>
      </c>
      <c r="G225" s="3244"/>
    </row>
    <row r="226" spans="1:7" s="3220" customFormat="1" ht="14.25" customHeight="1">
      <c r="A226" s="3231" t="s">
        <v>304</v>
      </c>
      <c r="B226" s="3231" t="s">
        <v>3110</v>
      </c>
      <c r="C226" s="3231"/>
      <c r="D226" s="3231"/>
      <c r="E226" s="3231"/>
      <c r="F226" s="3231">
        <v>1700</v>
      </c>
      <c r="G226" s="3244"/>
    </row>
    <row r="227" spans="1:7" s="3220" customFormat="1" ht="14.25" customHeight="1">
      <c r="A227" s="3231" t="s">
        <v>304</v>
      </c>
      <c r="B227" s="3231" t="s">
        <v>3111</v>
      </c>
      <c r="C227" s="3231"/>
      <c r="D227" s="3231"/>
      <c r="E227" s="3231"/>
      <c r="F227" s="3231">
        <v>1520</v>
      </c>
      <c r="G227" s="3244"/>
    </row>
    <row r="228" spans="1:7" s="3220" customFormat="1" ht="14.25" customHeight="1">
      <c r="A228" s="3231" t="s">
        <v>304</v>
      </c>
      <c r="B228" s="3231" t="s">
        <v>3112</v>
      </c>
      <c r="C228" s="3231"/>
      <c r="D228" s="3231"/>
      <c r="E228" s="3231"/>
      <c r="F228" s="3231">
        <v>1520</v>
      </c>
      <c r="G228" s="3244"/>
    </row>
    <row r="229" spans="1:7" s="3220" customFormat="1" ht="14.25" customHeight="1">
      <c r="A229" s="3231" t="s">
        <v>304</v>
      </c>
      <c r="B229" s="3231" t="s">
        <v>3029</v>
      </c>
      <c r="C229" s="3231"/>
      <c r="D229" s="3231"/>
      <c r="E229" s="3231"/>
      <c r="F229" s="3231">
        <v>1520</v>
      </c>
      <c r="G229" s="3244"/>
    </row>
    <row r="230" spans="1:7" s="3220" customFormat="1" ht="14.25" customHeight="1">
      <c r="A230" s="3231" t="s">
        <v>304</v>
      </c>
      <c r="B230" s="3231" t="s">
        <v>3113</v>
      </c>
      <c r="C230" s="3231"/>
      <c r="D230" s="3231"/>
      <c r="E230" s="3231"/>
      <c r="F230" s="3231">
        <v>1820</v>
      </c>
      <c r="G230" s="3244"/>
    </row>
    <row r="231" spans="1:7" s="3220" customFormat="1" ht="14.25" customHeight="1">
      <c r="A231" s="3231" t="s">
        <v>304</v>
      </c>
      <c r="B231" s="3231" t="s">
        <v>3114</v>
      </c>
      <c r="C231" s="3231"/>
      <c r="D231" s="3231"/>
      <c r="E231" s="3231"/>
      <c r="F231" s="3231">
        <v>1760</v>
      </c>
      <c r="G231" s="3244"/>
    </row>
    <row r="232" spans="1:7" s="3220" customFormat="1" ht="14.25" customHeight="1">
      <c r="A232" s="3231" t="s">
        <v>304</v>
      </c>
      <c r="B232" s="3231" t="s">
        <v>3115</v>
      </c>
      <c r="C232" s="3231"/>
      <c r="D232" s="3231"/>
      <c r="E232" s="3231"/>
      <c r="F232" s="3231">
        <v>1840</v>
      </c>
      <c r="G232" s="3244"/>
    </row>
    <row r="233" spans="1:7" s="3220" customFormat="1" ht="14.25" customHeight="1" thickBot="1">
      <c r="A233" s="3245" t="s">
        <v>304</v>
      </c>
      <c r="B233" s="3238" t="s">
        <v>3046</v>
      </c>
      <c r="C233" s="3238"/>
      <c r="D233" s="3238"/>
      <c r="E233" s="3238"/>
      <c r="F233" s="3238">
        <v>1770</v>
      </c>
      <c r="G233" s="3246"/>
    </row>
    <row r="234" spans="1:7" s="3220" customFormat="1" ht="14.25" customHeight="1">
      <c r="A234" s="3236" t="s">
        <v>305</v>
      </c>
      <c r="B234" s="3227" t="s">
        <v>3116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2887</v>
      </c>
      <c r="C238" s="3231">
        <v>6920</v>
      </c>
      <c r="D238" s="3231">
        <v>6890</v>
      </c>
      <c r="E238" s="3231">
        <v>8640</v>
      </c>
      <c r="F238" s="3231">
        <v>1310</v>
      </c>
      <c r="G238" s="3231">
        <v>4230</v>
      </c>
    </row>
    <row r="239" spans="1:7" s="3220" customFormat="1" ht="14.25" customHeight="1">
      <c r="A239" s="3231" t="s">
        <v>305</v>
      </c>
      <c r="B239" s="3231" t="s">
        <v>3117</v>
      </c>
      <c r="C239" s="3231">
        <v>6780</v>
      </c>
      <c r="D239" s="3231">
        <v>6750</v>
      </c>
      <c r="E239" s="3231">
        <v>8440</v>
      </c>
      <c r="F239" s="3231">
        <v>1160</v>
      </c>
      <c r="G239" s="3231">
        <v>4140</v>
      </c>
    </row>
    <row r="240" spans="1:7" s="3220" customFormat="1" ht="14.25" customHeight="1">
      <c r="A240" s="3231" t="s">
        <v>305</v>
      </c>
      <c r="B240" s="3231" t="s">
        <v>3118</v>
      </c>
      <c r="C240" s="3231">
        <v>5420</v>
      </c>
      <c r="D240" s="3231">
        <v>5380</v>
      </c>
      <c r="E240" s="3231">
        <v>6640</v>
      </c>
      <c r="F240" s="3231">
        <v>1020</v>
      </c>
      <c r="G240" s="3231">
        <v>3300</v>
      </c>
    </row>
    <row r="241" spans="1:7" s="3220" customFormat="1" ht="14.25" customHeight="1">
      <c r="A241" s="3231" t="s">
        <v>305</v>
      </c>
      <c r="B241" s="3231" t="s">
        <v>3119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2949</v>
      </c>
      <c r="C258" s="3231">
        <v>6190</v>
      </c>
      <c r="D258" s="3231">
        <v>6160</v>
      </c>
      <c r="E258" s="3231">
        <v>7680</v>
      </c>
      <c r="F258" s="3231">
        <v>1170</v>
      </c>
      <c r="G258" s="3231">
        <v>3780</v>
      </c>
    </row>
    <row r="259" spans="1:7" s="3220" customFormat="1" ht="14.25" customHeight="1">
      <c r="A259" s="3231" t="s">
        <v>305</v>
      </c>
      <c r="B259" s="3231" t="s">
        <v>3125</v>
      </c>
      <c r="C259" s="3231">
        <v>7610</v>
      </c>
      <c r="D259" s="3231">
        <v>7570</v>
      </c>
      <c r="E259" s="3231">
        <v>9350</v>
      </c>
      <c r="F259" s="3231">
        <v>1350</v>
      </c>
      <c r="G259" s="3231">
        <v>4650</v>
      </c>
    </row>
    <row r="260" spans="1:7" s="3220" customFormat="1" ht="14.25" customHeight="1">
      <c r="A260" s="3231" t="s">
        <v>305</v>
      </c>
      <c r="B260" s="3231" t="s">
        <v>3126</v>
      </c>
      <c r="C260" s="3231">
        <v>6920</v>
      </c>
      <c r="D260" s="3231">
        <v>6880</v>
      </c>
      <c r="E260" s="3231">
        <v>8380</v>
      </c>
      <c r="F260" s="3231">
        <v>1160</v>
      </c>
      <c r="G260" s="3231">
        <v>4220</v>
      </c>
    </row>
    <row r="261" spans="1:7" s="3220" customFormat="1" ht="14.25" customHeight="1">
      <c r="A261" s="3231" t="s">
        <v>305</v>
      </c>
      <c r="B261" s="3231" t="s">
        <v>3127</v>
      </c>
      <c r="C261" s="3231">
        <v>6850</v>
      </c>
      <c r="D261" s="3231">
        <v>6810</v>
      </c>
      <c r="E261" s="3231">
        <v>8290</v>
      </c>
      <c r="F261" s="3231">
        <v>1130</v>
      </c>
      <c r="G261" s="3231">
        <v>4180</v>
      </c>
    </row>
    <row r="262" spans="1:7" s="3220" customFormat="1" ht="14.25" customHeight="1">
      <c r="A262" s="3231" t="s">
        <v>305</v>
      </c>
      <c r="B262" s="3231" t="s">
        <v>3128</v>
      </c>
      <c r="C262" s="3231">
        <v>5860</v>
      </c>
      <c r="D262" s="3231">
        <v>5820</v>
      </c>
      <c r="E262" s="3231">
        <v>7640</v>
      </c>
      <c r="F262" s="3231">
        <v>1070</v>
      </c>
      <c r="G262" s="3231">
        <v>3570</v>
      </c>
    </row>
    <row r="263" spans="1:7" s="3220" customFormat="1" ht="14.25" customHeight="1">
      <c r="A263" s="3231" t="s">
        <v>305</v>
      </c>
      <c r="B263" s="3231" t="s">
        <v>3129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3130</v>
      </c>
      <c r="C265" s="3231"/>
      <c r="D265" s="3231"/>
      <c r="E265" s="3231"/>
      <c r="F265" s="3231">
        <v>1500</v>
      </c>
      <c r="G265" s="3231"/>
    </row>
    <row r="266" spans="1:7" s="3220" customFormat="1" ht="14.25" customHeight="1">
      <c r="A266" s="3231" t="s">
        <v>305</v>
      </c>
      <c r="B266" s="3231" t="s">
        <v>3131</v>
      </c>
      <c r="C266" s="3231"/>
      <c r="D266" s="3231"/>
      <c r="E266" s="3231"/>
      <c r="F266" s="3231">
        <v>1500</v>
      </c>
      <c r="G266" s="3231"/>
    </row>
    <row r="267" spans="1:7" s="3220" customFormat="1" ht="14.25" customHeight="1">
      <c r="A267" s="3231" t="s">
        <v>305</v>
      </c>
      <c r="B267" s="3231" t="s">
        <v>3132</v>
      </c>
      <c r="C267" s="3231"/>
      <c r="D267" s="3231"/>
      <c r="E267" s="3231"/>
      <c r="F267" s="3231">
        <v>1500</v>
      </c>
      <c r="G267" s="3231"/>
    </row>
    <row r="268" spans="1:7" s="3220" customFormat="1" ht="14.25" customHeight="1">
      <c r="A268" s="3231" t="s">
        <v>305</v>
      </c>
      <c r="B268" s="3231" t="s">
        <v>3133</v>
      </c>
      <c r="C268" s="3231"/>
      <c r="D268" s="3231"/>
      <c r="E268" s="3231"/>
      <c r="F268" s="3231">
        <v>1290</v>
      </c>
      <c r="G268" s="3231"/>
    </row>
    <row r="269" spans="1:7" s="3220" customFormat="1" ht="14.25" customHeight="1">
      <c r="A269" s="3231" t="s">
        <v>305</v>
      </c>
      <c r="B269" s="3231" t="s">
        <v>3134</v>
      </c>
      <c r="C269" s="3231"/>
      <c r="D269" s="3231"/>
      <c r="E269" s="3231"/>
      <c r="F269" s="3231">
        <v>1150</v>
      </c>
      <c r="G269" s="3231"/>
    </row>
    <row r="270" spans="1:7" s="3220" customFormat="1" ht="14.25" customHeight="1">
      <c r="A270" s="3231" t="s">
        <v>305</v>
      </c>
      <c r="B270" s="3231" t="s">
        <v>3135</v>
      </c>
      <c r="C270" s="3231"/>
      <c r="D270" s="3231"/>
      <c r="E270" s="3231"/>
      <c r="F270" s="3231">
        <v>1380</v>
      </c>
      <c r="G270" s="3231"/>
    </row>
    <row r="271" spans="1:7" s="3220" customFormat="1" ht="14.25" customHeight="1">
      <c r="A271" s="3231" t="s">
        <v>305</v>
      </c>
      <c r="B271" s="3231" t="s">
        <v>3136</v>
      </c>
      <c r="C271" s="3231"/>
      <c r="D271" s="3231"/>
      <c r="E271" s="3231"/>
      <c r="F271" s="3231">
        <v>1460</v>
      </c>
      <c r="G271" s="3231"/>
    </row>
    <row r="272" spans="1:7" s="3220" customFormat="1" ht="14.25" customHeight="1">
      <c r="A272" s="3231" t="s">
        <v>305</v>
      </c>
      <c r="B272" s="3231" t="s">
        <v>3137</v>
      </c>
      <c r="C272" s="3231"/>
      <c r="D272" s="3231"/>
      <c r="E272" s="3231"/>
      <c r="F272" s="3231">
        <v>1460</v>
      </c>
      <c r="G272" s="3231"/>
    </row>
    <row r="273" spans="1:7" s="3220" customFormat="1" ht="14.25" customHeight="1">
      <c r="A273" s="3231" t="s">
        <v>305</v>
      </c>
      <c r="B273" s="3231" t="s">
        <v>3030</v>
      </c>
      <c r="C273" s="3231"/>
      <c r="D273" s="3231"/>
      <c r="E273" s="3231"/>
      <c r="F273" s="3231">
        <v>1490</v>
      </c>
      <c r="G273" s="3231"/>
    </row>
    <row r="274" spans="1:7" s="3220" customFormat="1" ht="14.25" customHeight="1">
      <c r="A274" s="3231" t="s">
        <v>305</v>
      </c>
      <c r="B274" s="3231" t="s">
        <v>3138</v>
      </c>
      <c r="C274" s="3231"/>
      <c r="D274" s="3231"/>
      <c r="E274" s="3231"/>
      <c r="F274" s="3231">
        <v>1490</v>
      </c>
      <c r="G274" s="3231"/>
    </row>
    <row r="275" spans="1:7" s="3220" customFormat="1" ht="14.25" customHeight="1">
      <c r="A275" s="3231" t="s">
        <v>305</v>
      </c>
      <c r="B275" s="3231" t="s">
        <v>3139</v>
      </c>
      <c r="C275" s="3231"/>
      <c r="D275" s="3231"/>
      <c r="E275" s="3231"/>
      <c r="F275" s="3231">
        <v>1220</v>
      </c>
      <c r="G275" s="3231"/>
    </row>
    <row r="276" spans="1:7" s="3220" customFormat="1" ht="14.25" customHeight="1" thickBot="1">
      <c r="A276" s="3239" t="s">
        <v>305</v>
      </c>
      <c r="B276" s="3241" t="s">
        <v>3140</v>
      </c>
      <c r="C276" s="3242"/>
      <c r="D276" s="3242"/>
      <c r="E276" s="3242"/>
      <c r="F276" s="3242">
        <v>1380</v>
      </c>
      <c r="G276" s="3242"/>
    </row>
    <row r="277" spans="1:7" s="3220" customFormat="1" ht="14.25" customHeight="1">
      <c r="A277" s="3236" t="s">
        <v>306</v>
      </c>
      <c r="B277" s="3227" t="s">
        <v>3141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3142</v>
      </c>
      <c r="C279" s="3231">
        <v>4760</v>
      </c>
      <c r="D279" s="3231">
        <v>4720</v>
      </c>
      <c r="E279" s="3231">
        <v>5540</v>
      </c>
      <c r="F279" s="3231">
        <v>810</v>
      </c>
      <c r="G279" s="3244">
        <v>2850</v>
      </c>
    </row>
    <row r="280" spans="1:7" s="3220" customFormat="1" ht="14.25" customHeight="1">
      <c r="A280" s="3231" t="s">
        <v>306</v>
      </c>
      <c r="B280" s="3231" t="s">
        <v>3143</v>
      </c>
      <c r="C280" s="3231">
        <v>4010</v>
      </c>
      <c r="D280" s="3231">
        <v>3950</v>
      </c>
      <c r="E280" s="3231">
        <v>4710</v>
      </c>
      <c r="F280" s="3231">
        <v>800</v>
      </c>
      <c r="G280" s="3244">
        <v>2390</v>
      </c>
    </row>
    <row r="281" spans="1:7" s="3220" customFormat="1" ht="14.25" customHeight="1">
      <c r="A281" s="3231" t="s">
        <v>306</v>
      </c>
      <c r="B281" s="3231" t="s">
        <v>3144</v>
      </c>
      <c r="C281" s="3231">
        <v>4480</v>
      </c>
      <c r="D281" s="3231">
        <v>4420</v>
      </c>
      <c r="E281" s="3231">
        <v>5230</v>
      </c>
      <c r="F281" s="3231">
        <v>870</v>
      </c>
      <c r="G281" s="3244">
        <v>2660</v>
      </c>
    </row>
    <row r="282" spans="1:7" s="3220" customFormat="1" ht="14.25" customHeight="1">
      <c r="A282" s="3231" t="s">
        <v>306</v>
      </c>
      <c r="B282" s="3231" t="s">
        <v>3145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2922</v>
      </c>
      <c r="C293" s="3231">
        <v>5320</v>
      </c>
      <c r="D293" s="3231">
        <v>5270</v>
      </c>
      <c r="E293" s="3231">
        <v>6160</v>
      </c>
      <c r="F293" s="3231">
        <v>990</v>
      </c>
      <c r="G293" s="3244">
        <v>3170</v>
      </c>
    </row>
    <row r="294" spans="1:7" s="3220" customFormat="1" ht="14.25" customHeight="1">
      <c r="A294" s="3231" t="s">
        <v>306</v>
      </c>
      <c r="B294" s="3231" t="s">
        <v>3148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3149</v>
      </c>
      <c r="C302" s="3231">
        <v>5520</v>
      </c>
      <c r="D302" s="3231">
        <v>5470</v>
      </c>
      <c r="E302" s="3231">
        <v>6410</v>
      </c>
      <c r="F302" s="3231">
        <v>950</v>
      </c>
      <c r="G302" s="3244">
        <v>3300</v>
      </c>
    </row>
    <row r="303" spans="1:7" s="3220" customFormat="1" ht="14.25" customHeight="1">
      <c r="A303" s="3231" t="s">
        <v>306</v>
      </c>
      <c r="B303" s="3231" t="s">
        <v>2961</v>
      </c>
      <c r="C303" s="3231">
        <v>5630</v>
      </c>
      <c r="D303" s="3231">
        <v>5590</v>
      </c>
      <c r="E303" s="3231">
        <v>6550</v>
      </c>
      <c r="F303" s="3231">
        <v>1010</v>
      </c>
      <c r="G303" s="3244">
        <v>3370</v>
      </c>
    </row>
    <row r="304" spans="1:7" s="3220" customFormat="1" ht="14.25" customHeight="1">
      <c r="A304" s="3231" t="s">
        <v>306</v>
      </c>
      <c r="B304" s="3231" t="s">
        <v>2968</v>
      </c>
      <c r="C304" s="3231">
        <v>5680</v>
      </c>
      <c r="D304" s="3231">
        <v>5620</v>
      </c>
      <c r="E304" s="3231">
        <v>6620</v>
      </c>
      <c r="F304" s="3231">
        <v>1050</v>
      </c>
      <c r="G304" s="3244">
        <v>3390</v>
      </c>
    </row>
    <row r="305" spans="1:7" s="3220" customFormat="1" ht="14.25" customHeight="1">
      <c r="A305" s="3231" t="s">
        <v>306</v>
      </c>
      <c r="B305" s="3231" t="s">
        <v>2974</v>
      </c>
      <c r="C305" s="3231">
        <v>5590</v>
      </c>
      <c r="D305" s="3231">
        <v>5530</v>
      </c>
      <c r="E305" s="3231">
        <v>6460</v>
      </c>
      <c r="F305" s="3231">
        <v>900</v>
      </c>
      <c r="G305" s="3244">
        <v>3340</v>
      </c>
    </row>
    <row r="306" spans="1:7" s="3220" customFormat="1" ht="14.25" customHeight="1">
      <c r="A306" s="3231" t="s">
        <v>306</v>
      </c>
      <c r="B306" s="3231" t="s">
        <v>3150</v>
      </c>
      <c r="C306" s="3231">
        <v>5560</v>
      </c>
      <c r="D306" s="3231">
        <v>5510</v>
      </c>
      <c r="E306" s="3231">
        <v>6440</v>
      </c>
      <c r="F306" s="3231">
        <v>900</v>
      </c>
      <c r="G306" s="3244">
        <v>3320</v>
      </c>
    </row>
    <row r="307" spans="1:7" s="3220" customFormat="1" ht="14.25" customHeight="1">
      <c r="A307" s="3231" t="s">
        <v>306</v>
      </c>
      <c r="B307" s="3231" t="s">
        <v>2986</v>
      </c>
      <c r="C307" s="3231">
        <v>5650</v>
      </c>
      <c r="D307" s="3231">
        <v>5600</v>
      </c>
      <c r="E307" s="3231">
        <v>6590</v>
      </c>
      <c r="F307" s="3231">
        <v>930</v>
      </c>
      <c r="G307" s="3244">
        <v>3380</v>
      </c>
    </row>
    <row r="308" spans="1:7" s="3220" customFormat="1" ht="14.25" customHeight="1">
      <c r="A308" s="3231" t="s">
        <v>306</v>
      </c>
      <c r="B308" s="3231" t="s">
        <v>3151</v>
      </c>
      <c r="C308" s="3231">
        <v>5620</v>
      </c>
      <c r="D308" s="3231">
        <v>5580</v>
      </c>
      <c r="E308" s="3231">
        <v>6540</v>
      </c>
      <c r="F308" s="3231">
        <v>910</v>
      </c>
      <c r="G308" s="3244">
        <v>3370</v>
      </c>
    </row>
    <row r="309" spans="1:7" s="3220" customFormat="1" ht="14.25" customHeight="1">
      <c r="A309" s="3231" t="s">
        <v>306</v>
      </c>
      <c r="B309" s="3231" t="s">
        <v>3152</v>
      </c>
      <c r="C309" s="3231">
        <v>5060</v>
      </c>
      <c r="D309" s="3231">
        <v>5020</v>
      </c>
      <c r="E309" s="3231">
        <v>6370</v>
      </c>
      <c r="F309" s="3231">
        <v>800</v>
      </c>
      <c r="G309" s="3244">
        <v>3020</v>
      </c>
    </row>
    <row r="310" spans="1:7" s="3220" customFormat="1" ht="14.25" customHeight="1">
      <c r="A310" s="3231" t="s">
        <v>306</v>
      </c>
      <c r="B310" s="3231" t="s">
        <v>3001</v>
      </c>
      <c r="C310" s="3231">
        <v>5150</v>
      </c>
      <c r="D310" s="3231">
        <v>5110</v>
      </c>
      <c r="E310" s="3231">
        <v>6500</v>
      </c>
      <c r="F310" s="3231">
        <v>880</v>
      </c>
      <c r="G310" s="3244">
        <v>3080</v>
      </c>
    </row>
    <row r="311" spans="1:7" s="3220" customFormat="1" ht="14.25" customHeight="1">
      <c r="A311" s="3231" t="s">
        <v>306</v>
      </c>
      <c r="B311" s="3231" t="s">
        <v>3153</v>
      </c>
      <c r="C311" s="3231">
        <v>4750</v>
      </c>
      <c r="D311" s="3231">
        <v>4710</v>
      </c>
      <c r="E311" s="3231">
        <v>5510</v>
      </c>
      <c r="F311" s="3231">
        <v>880</v>
      </c>
      <c r="G311" s="3244">
        <v>2840</v>
      </c>
    </row>
    <row r="312" spans="1:7" s="3220" customFormat="1" ht="14.25" customHeight="1">
      <c r="A312" s="3231" t="s">
        <v>306</v>
      </c>
      <c r="B312" s="3231" t="s">
        <v>3011</v>
      </c>
      <c r="C312" s="3231">
        <v>4690</v>
      </c>
      <c r="D312" s="3231">
        <v>4640</v>
      </c>
      <c r="E312" s="3231">
        <v>5420</v>
      </c>
      <c r="F312" s="3231">
        <v>800</v>
      </c>
      <c r="G312" s="3244">
        <v>2800</v>
      </c>
    </row>
    <row r="313" spans="1:7" s="3220" customFormat="1" ht="14.25" customHeight="1">
      <c r="A313" s="3231" t="s">
        <v>306</v>
      </c>
      <c r="B313" s="3231" t="s">
        <v>3016</v>
      </c>
      <c r="C313" s="3231">
        <v>4810</v>
      </c>
      <c r="D313" s="3231">
        <v>4760</v>
      </c>
      <c r="E313" s="3231">
        <v>5550</v>
      </c>
      <c r="F313" s="3231">
        <v>920</v>
      </c>
      <c r="G313" s="3244">
        <v>2870</v>
      </c>
    </row>
    <row r="314" spans="1:7" s="3220" customFormat="1" ht="14.25" customHeight="1">
      <c r="A314" s="3231" t="s">
        <v>306</v>
      </c>
      <c r="B314" s="3231" t="s">
        <v>3154</v>
      </c>
      <c r="C314" s="3231"/>
      <c r="D314" s="3231"/>
      <c r="E314" s="3231"/>
      <c r="F314" s="3231">
        <v>1020</v>
      </c>
      <c r="G314" s="3244"/>
    </row>
    <row r="315" spans="1:7" s="3220" customFormat="1" ht="14.25" customHeight="1">
      <c r="A315" s="3231" t="s">
        <v>306</v>
      </c>
      <c r="B315" s="3231" t="s">
        <v>3155</v>
      </c>
      <c r="C315" s="3231"/>
      <c r="D315" s="3231"/>
      <c r="E315" s="3231"/>
      <c r="F315" s="3231">
        <v>1050</v>
      </c>
      <c r="G315" s="3244"/>
    </row>
    <row r="316" spans="1:7" s="3220" customFormat="1" ht="14.25" customHeight="1">
      <c r="A316" s="3231" t="s">
        <v>306</v>
      </c>
      <c r="B316" s="3231" t="s">
        <v>3031</v>
      </c>
      <c r="C316" s="3231"/>
      <c r="D316" s="3231"/>
      <c r="E316" s="3231"/>
      <c r="F316" s="3231">
        <v>900</v>
      </c>
      <c r="G316" s="3244"/>
    </row>
    <row r="317" spans="1:7" s="3220" customFormat="1" ht="14.25" customHeight="1">
      <c r="A317" s="3231" t="s">
        <v>306</v>
      </c>
      <c r="B317" s="3231" t="s">
        <v>3156</v>
      </c>
      <c r="C317" s="3231"/>
      <c r="D317" s="3231"/>
      <c r="E317" s="3231"/>
      <c r="F317" s="3231">
        <v>920</v>
      </c>
      <c r="G317" s="3244"/>
    </row>
    <row r="318" spans="1:7" s="3220" customFormat="1" ht="14.25" customHeight="1">
      <c r="A318" s="3231" t="s">
        <v>306</v>
      </c>
      <c r="B318" s="3231" t="s">
        <v>3157</v>
      </c>
      <c r="C318" s="3231"/>
      <c r="D318" s="3231"/>
      <c r="E318" s="3231"/>
      <c r="F318" s="3231">
        <v>1080</v>
      </c>
      <c r="G318" s="3244"/>
    </row>
    <row r="319" spans="1:7" s="3220" customFormat="1" ht="14.25" customHeight="1">
      <c r="A319" s="3231" t="s">
        <v>306</v>
      </c>
      <c r="B319" s="3231" t="s">
        <v>3044</v>
      </c>
      <c r="C319" s="3231"/>
      <c r="D319" s="3231"/>
      <c r="E319" s="3231"/>
      <c r="F319" s="3231">
        <v>1020</v>
      </c>
      <c r="G319" s="3244"/>
    </row>
    <row r="320" spans="1:7" s="3220" customFormat="1" ht="14.25" customHeight="1">
      <c r="A320" s="3231" t="s">
        <v>306</v>
      </c>
      <c r="B320" s="3231" t="s">
        <v>3047</v>
      </c>
      <c r="C320" s="3231"/>
      <c r="D320" s="3231"/>
      <c r="E320" s="3231"/>
      <c r="F320" s="3231">
        <v>1050</v>
      </c>
      <c r="G320" s="3244"/>
    </row>
    <row r="321" spans="1:7" s="3220" customFormat="1" ht="14.25" customHeight="1">
      <c r="A321" s="3231" t="s">
        <v>306</v>
      </c>
      <c r="B321" s="3231" t="s">
        <v>3049</v>
      </c>
      <c r="C321" s="3231"/>
      <c r="D321" s="3231"/>
      <c r="E321" s="3231"/>
      <c r="F321" s="3231">
        <v>960</v>
      </c>
      <c r="G321" s="3244"/>
    </row>
    <row r="322" spans="1:7" s="3220" customFormat="1" ht="14.25" customHeight="1">
      <c r="A322" s="3231" t="s">
        <v>306</v>
      </c>
      <c r="B322" s="3231" t="s">
        <v>3051</v>
      </c>
      <c r="C322" s="3231"/>
      <c r="D322" s="3231"/>
      <c r="E322" s="3231"/>
      <c r="F322" s="3231">
        <v>960</v>
      </c>
      <c r="G322" s="3244"/>
    </row>
    <row r="323" spans="1:7" s="3220" customFormat="1" ht="14.25" customHeight="1">
      <c r="A323" s="3231" t="s">
        <v>306</v>
      </c>
      <c r="B323" s="3231" t="s">
        <v>3053</v>
      </c>
      <c r="C323" s="3231"/>
      <c r="D323" s="3231"/>
      <c r="E323" s="3231"/>
      <c r="F323" s="3231">
        <v>880</v>
      </c>
      <c r="G323" s="3244"/>
    </row>
    <row r="324" spans="1:7" s="3220" customFormat="1" ht="14.25" customHeight="1">
      <c r="A324" s="3231" t="s">
        <v>306</v>
      </c>
      <c r="B324" s="3231" t="s">
        <v>3055</v>
      </c>
      <c r="C324" s="3231"/>
      <c r="D324" s="3231"/>
      <c r="E324" s="3231"/>
      <c r="F324" s="3231">
        <v>930</v>
      </c>
      <c r="G324" s="3244"/>
    </row>
    <row r="325" spans="1:7" s="3220" customFormat="1" ht="14.25" customHeight="1">
      <c r="A325" s="3231" t="s">
        <v>306</v>
      </c>
      <c r="B325" s="3232" t="s">
        <v>3057</v>
      </c>
      <c r="C325" s="3231"/>
      <c r="D325" s="3231"/>
      <c r="E325" s="3231"/>
      <c r="F325" s="3231">
        <v>900</v>
      </c>
      <c r="G325" s="3244"/>
    </row>
    <row r="326" spans="1:7" s="3220" customFormat="1" ht="14.25" customHeight="1" thickBot="1">
      <c r="A326" s="3245" t="s">
        <v>306</v>
      </c>
      <c r="B326" s="3238" t="s">
        <v>3059</v>
      </c>
      <c r="C326" s="3238"/>
      <c r="D326" s="3238"/>
      <c r="E326" s="3238"/>
      <c r="F326" s="3238">
        <v>790</v>
      </c>
      <c r="G326" s="3246"/>
    </row>
    <row r="327" spans="1:7" s="3220" customFormat="1" ht="14.25" customHeight="1">
      <c r="A327" s="3236" t="s">
        <v>307</v>
      </c>
      <c r="B327" s="3227" t="s">
        <v>3158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3159</v>
      </c>
      <c r="C329" s="3231">
        <v>2730</v>
      </c>
      <c r="D329" s="3231">
        <v>2690</v>
      </c>
      <c r="E329" s="3231">
        <v>3100</v>
      </c>
      <c r="F329" s="3231">
        <v>660</v>
      </c>
      <c r="G329" s="3231">
        <v>1610</v>
      </c>
    </row>
    <row r="330" spans="1:7" s="3220" customFormat="1" ht="14.25" customHeight="1">
      <c r="A330" s="3231" t="s">
        <v>307</v>
      </c>
      <c r="B330" s="3231" t="s">
        <v>3160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2893</v>
      </c>
      <c r="C332" s="3231">
        <v>3520</v>
      </c>
      <c r="D332" s="3231">
        <v>3480</v>
      </c>
      <c r="E332" s="3231">
        <v>3830</v>
      </c>
      <c r="F332" s="3231">
        <v>720</v>
      </c>
      <c r="G332" s="3231">
        <v>2090</v>
      </c>
    </row>
    <row r="333" spans="1:7" s="3220" customFormat="1" ht="14.25" customHeight="1">
      <c r="A333" s="3231" t="s">
        <v>307</v>
      </c>
      <c r="B333" s="3231" t="s">
        <v>3161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2903</v>
      </c>
      <c r="C336" s="3231">
        <v>3570</v>
      </c>
      <c r="D336" s="3231">
        <v>3530</v>
      </c>
      <c r="E336" s="3231">
        <v>3880</v>
      </c>
      <c r="F336" s="3231">
        <v>770</v>
      </c>
      <c r="G336" s="3231">
        <v>2110</v>
      </c>
    </row>
    <row r="337" spans="1:10" s="3220" customFormat="1" ht="14.25" customHeight="1">
      <c r="A337" s="3231" t="s">
        <v>307</v>
      </c>
      <c r="B337" s="3231" t="s">
        <v>3162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2928</v>
      </c>
      <c r="C345" s="3231">
        <v>3190</v>
      </c>
      <c r="D345" s="3231">
        <v>3140</v>
      </c>
      <c r="E345" s="3231">
        <v>3450</v>
      </c>
      <c r="F345" s="3231">
        <v>720</v>
      </c>
      <c r="G345" s="3231">
        <v>1880</v>
      </c>
      <c r="J345" s="3220"/>
    </row>
    <row r="346" spans="1:10">
      <c r="A346" s="3231" t="s">
        <v>307</v>
      </c>
      <c r="B346" s="3231" t="s">
        <v>3165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2937</v>
      </c>
      <c r="C348" s="3231">
        <v>4000</v>
      </c>
      <c r="D348" s="3231">
        <v>3950</v>
      </c>
      <c r="E348" s="3231">
        <v>4430</v>
      </c>
      <c r="F348" s="3231">
        <v>760</v>
      </c>
      <c r="G348" s="3231">
        <v>2360</v>
      </c>
      <c r="J348" s="3220"/>
    </row>
    <row r="349" spans="1:10">
      <c r="A349" s="3231" t="s">
        <v>307</v>
      </c>
      <c r="B349" s="3231" t="s">
        <v>2942</v>
      </c>
      <c r="C349" s="3231">
        <v>3820</v>
      </c>
      <c r="D349" s="3231">
        <v>3780</v>
      </c>
      <c r="E349" s="3231">
        <v>4170</v>
      </c>
      <c r="F349" s="3231">
        <v>710</v>
      </c>
      <c r="G349" s="3231">
        <v>2260</v>
      </c>
      <c r="J349" s="3220"/>
    </row>
    <row r="350" spans="1:10">
      <c r="A350" s="3231" t="s">
        <v>307</v>
      </c>
      <c r="B350" s="3231" t="s">
        <v>3166</v>
      </c>
      <c r="C350" s="3231">
        <v>3760</v>
      </c>
      <c r="D350" s="3231">
        <v>3730</v>
      </c>
      <c r="E350" s="3231">
        <v>4100</v>
      </c>
      <c r="F350" s="3231">
        <v>800</v>
      </c>
      <c r="G350" s="3231">
        <v>2230</v>
      </c>
      <c r="J350" s="3220"/>
    </row>
    <row r="351" spans="1:10">
      <c r="A351" s="3231" t="s">
        <v>307</v>
      </c>
      <c r="B351" s="3231" t="s">
        <v>2950</v>
      </c>
      <c r="C351" s="3231">
        <v>3610</v>
      </c>
      <c r="D351" s="3231">
        <v>3580</v>
      </c>
      <c r="E351" s="3231">
        <v>3930</v>
      </c>
      <c r="F351" s="3231">
        <v>700</v>
      </c>
      <c r="G351" s="3231">
        <v>2140</v>
      </c>
      <c r="J351" s="3220"/>
    </row>
    <row r="352" spans="1:10">
      <c r="A352" s="3231" t="s">
        <v>307</v>
      </c>
      <c r="B352" s="3231" t="s">
        <v>2955</v>
      </c>
      <c r="C352" s="3231">
        <v>3670</v>
      </c>
      <c r="D352" s="3231">
        <v>3630</v>
      </c>
      <c r="E352" s="3231">
        <v>4000</v>
      </c>
      <c r="F352" s="3231">
        <v>750</v>
      </c>
      <c r="G352" s="3231">
        <v>2180</v>
      </c>
    </row>
    <row r="353" spans="1:7" s="3224" customFormat="1">
      <c r="A353" s="3231" t="s">
        <v>307</v>
      </c>
      <c r="B353" s="3231" t="s">
        <v>3167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2975</v>
      </c>
      <c r="C355" s="3231">
        <v>3650</v>
      </c>
      <c r="D355" s="3231">
        <v>3610</v>
      </c>
      <c r="E355" s="3231">
        <v>4200</v>
      </c>
      <c r="F355" s="3231">
        <v>640</v>
      </c>
      <c r="G355" s="3231">
        <v>2160</v>
      </c>
    </row>
    <row r="356" spans="1:7" s="3224" customFormat="1">
      <c r="A356" s="3231" t="s">
        <v>307</v>
      </c>
      <c r="B356" s="3231" t="s">
        <v>2982</v>
      </c>
      <c r="C356" s="3231">
        <v>3260</v>
      </c>
      <c r="D356" s="3231">
        <v>3230</v>
      </c>
      <c r="E356" s="3231">
        <v>3740</v>
      </c>
      <c r="F356" s="3231">
        <v>600</v>
      </c>
      <c r="G356" s="3231">
        <v>1930</v>
      </c>
    </row>
    <row r="357" spans="1:7" s="3224" customFormat="1" ht="12" thickBot="1">
      <c r="A357" s="3239" t="s">
        <v>307</v>
      </c>
      <c r="B357" s="3242" t="s">
        <v>3168</v>
      </c>
      <c r="C357" s="3242">
        <v>3690</v>
      </c>
      <c r="D357" s="3242">
        <v>3650</v>
      </c>
      <c r="E357" s="3242">
        <v>4020</v>
      </c>
      <c r="F357" s="3242">
        <v>700</v>
      </c>
      <c r="G357" s="3242">
        <v>2190</v>
      </c>
    </row>
    <row r="358" spans="1:7" s="3224" customFormat="1">
      <c r="A358" s="3236" t="s">
        <v>3169</v>
      </c>
      <c r="B358" s="3227" t="s">
        <v>3170</v>
      </c>
      <c r="C358" s="3227">
        <v>2080</v>
      </c>
      <c r="D358" s="3227">
        <v>2040</v>
      </c>
      <c r="E358" s="3227">
        <v>2010</v>
      </c>
      <c r="F358" s="3227">
        <v>530</v>
      </c>
      <c r="G358" s="3243">
        <v>1230</v>
      </c>
    </row>
    <row r="359" spans="1:7" s="3224" customFormat="1">
      <c r="A359" s="3231" t="s">
        <v>3169</v>
      </c>
      <c r="B359" s="3231" t="s">
        <v>3171</v>
      </c>
      <c r="C359" s="3231">
        <v>1850</v>
      </c>
      <c r="D359" s="3231">
        <v>1820</v>
      </c>
      <c r="E359" s="3231">
        <v>1780</v>
      </c>
      <c r="F359" s="3231">
        <v>520</v>
      </c>
      <c r="G359" s="3244">
        <v>1100</v>
      </c>
    </row>
    <row r="360" spans="1:7" s="3224" customFormat="1">
      <c r="A360" s="3231" t="s">
        <v>3169</v>
      </c>
      <c r="B360" s="3231" t="s">
        <v>3172</v>
      </c>
      <c r="C360" s="3231">
        <v>2020</v>
      </c>
      <c r="D360" s="3231">
        <v>1990</v>
      </c>
      <c r="E360" s="3231">
        <v>1950</v>
      </c>
      <c r="F360" s="3231">
        <v>500</v>
      </c>
      <c r="G360" s="3244">
        <v>1200</v>
      </c>
    </row>
    <row r="361" spans="1:7" s="3224" customFormat="1">
      <c r="A361" s="3231" t="s">
        <v>3169</v>
      </c>
      <c r="B361" s="3231" t="s">
        <v>153</v>
      </c>
      <c r="C361" s="3231">
        <v>2260</v>
      </c>
      <c r="D361" s="3231">
        <v>2220</v>
      </c>
      <c r="E361" s="3231">
        <v>2180</v>
      </c>
      <c r="F361" s="3231">
        <v>580</v>
      </c>
      <c r="G361" s="3244">
        <v>1340</v>
      </c>
    </row>
    <row r="362" spans="1:7" s="3224" customFormat="1">
      <c r="A362" s="3231" t="s">
        <v>3169</v>
      </c>
      <c r="B362" s="3231" t="s">
        <v>3173</v>
      </c>
      <c r="C362" s="3231">
        <v>2650</v>
      </c>
      <c r="D362" s="3231">
        <v>2610</v>
      </c>
      <c r="E362" s="3231">
        <v>2570</v>
      </c>
      <c r="F362" s="3231">
        <v>630</v>
      </c>
      <c r="G362" s="3244">
        <v>1570</v>
      </c>
    </row>
    <row r="363" spans="1:7" s="3224" customFormat="1">
      <c r="A363" s="3231" t="s">
        <v>3169</v>
      </c>
      <c r="B363" s="3231" t="s">
        <v>2894</v>
      </c>
      <c r="C363" s="3231">
        <v>2390</v>
      </c>
      <c r="D363" s="3231">
        <v>2360</v>
      </c>
      <c r="E363" s="3231">
        <v>2320</v>
      </c>
      <c r="F363" s="3231">
        <v>600</v>
      </c>
      <c r="G363" s="3244">
        <v>1420</v>
      </c>
    </row>
    <row r="364" spans="1:7" s="3224" customFormat="1">
      <c r="A364" s="3231" t="s">
        <v>3169</v>
      </c>
      <c r="B364" s="3231" t="s">
        <v>3174</v>
      </c>
      <c r="C364" s="3231">
        <v>2050</v>
      </c>
      <c r="D364" s="3231">
        <v>2030</v>
      </c>
      <c r="E364" s="3231">
        <v>1990</v>
      </c>
      <c r="F364" s="3231">
        <v>550</v>
      </c>
      <c r="G364" s="3244">
        <v>1220</v>
      </c>
    </row>
    <row r="365" spans="1:7" s="3224" customFormat="1">
      <c r="A365" s="3231" t="s">
        <v>3169</v>
      </c>
      <c r="B365" s="3231" t="s">
        <v>200</v>
      </c>
      <c r="C365" s="3231">
        <v>2140</v>
      </c>
      <c r="D365" s="3231">
        <v>2100</v>
      </c>
      <c r="E365" s="3231">
        <v>2060</v>
      </c>
      <c r="F365" s="3231">
        <v>540</v>
      </c>
      <c r="G365" s="3244">
        <v>1270</v>
      </c>
    </row>
    <row r="366" spans="1:7" s="3224" customFormat="1">
      <c r="A366" s="3231" t="s">
        <v>3169</v>
      </c>
      <c r="B366" s="3231" t="s">
        <v>2901</v>
      </c>
      <c r="C366" s="3231">
        <v>2410</v>
      </c>
      <c r="D366" s="3231">
        <v>2370</v>
      </c>
      <c r="E366" s="3231">
        <v>2330</v>
      </c>
      <c r="F366" s="3231">
        <v>570</v>
      </c>
      <c r="G366" s="3244">
        <v>1440</v>
      </c>
    </row>
    <row r="367" spans="1:7" s="3224" customFormat="1">
      <c r="A367" s="3231" t="s">
        <v>3169</v>
      </c>
      <c r="B367" s="3231" t="s">
        <v>3175</v>
      </c>
      <c r="C367" s="3231">
        <v>2300</v>
      </c>
      <c r="D367" s="3231">
        <v>2260</v>
      </c>
      <c r="E367" s="3231">
        <v>2220</v>
      </c>
      <c r="F367" s="3231">
        <v>560</v>
      </c>
      <c r="G367" s="3244">
        <v>1370</v>
      </c>
    </row>
    <row r="368" spans="1:7" s="3224" customFormat="1">
      <c r="A368" s="3231" t="s">
        <v>3169</v>
      </c>
      <c r="B368" s="3231" t="s">
        <v>3176</v>
      </c>
      <c r="C368" s="3231">
        <v>2430</v>
      </c>
      <c r="D368" s="3231">
        <v>2390</v>
      </c>
      <c r="E368" s="3231">
        <v>2350</v>
      </c>
      <c r="F368" s="3231">
        <v>570</v>
      </c>
      <c r="G368" s="3244">
        <v>1450</v>
      </c>
    </row>
    <row r="369" spans="1:7" s="3224" customFormat="1">
      <c r="A369" s="3231" t="s">
        <v>3169</v>
      </c>
      <c r="B369" s="3231" t="s">
        <v>214</v>
      </c>
      <c r="C369" s="3231">
        <v>2320</v>
      </c>
      <c r="D369" s="3231">
        <v>2290</v>
      </c>
      <c r="E369" s="3231">
        <v>2250</v>
      </c>
      <c r="F369" s="3231">
        <v>550</v>
      </c>
      <c r="G369" s="3244">
        <v>1380</v>
      </c>
    </row>
    <row r="370" spans="1:7" s="3224" customFormat="1">
      <c r="A370" s="3231" t="s">
        <v>3169</v>
      </c>
      <c r="B370" s="3231" t="s">
        <v>221</v>
      </c>
      <c r="C370" s="3231">
        <v>2190</v>
      </c>
      <c r="D370" s="3231">
        <v>2170</v>
      </c>
      <c r="E370" s="3231">
        <v>2130</v>
      </c>
      <c r="F370" s="3231">
        <v>530</v>
      </c>
      <c r="G370" s="3244">
        <v>1310</v>
      </c>
    </row>
    <row r="371" spans="1:7" s="3224" customFormat="1">
      <c r="A371" s="3231" t="s">
        <v>3169</v>
      </c>
      <c r="B371" s="3231" t="s">
        <v>229</v>
      </c>
      <c r="C371" s="3231">
        <v>2460</v>
      </c>
      <c r="D371" s="3231">
        <v>2420</v>
      </c>
      <c r="E371" s="3231">
        <v>2370</v>
      </c>
      <c r="F371" s="3231">
        <v>560</v>
      </c>
      <c r="G371" s="3244">
        <v>1470</v>
      </c>
    </row>
    <row r="372" spans="1:7" s="3224" customFormat="1">
      <c r="A372" s="3231" t="s">
        <v>3169</v>
      </c>
      <c r="B372" s="3231" t="s">
        <v>3177</v>
      </c>
      <c r="C372" s="3231">
        <v>2250</v>
      </c>
      <c r="D372" s="3231">
        <v>2210</v>
      </c>
      <c r="E372" s="3231">
        <v>2180</v>
      </c>
      <c r="F372" s="3231">
        <v>550</v>
      </c>
      <c r="G372" s="3244">
        <v>1340</v>
      </c>
    </row>
    <row r="373" spans="1:7" s="3224" customFormat="1">
      <c r="A373" s="3231" t="s">
        <v>3169</v>
      </c>
      <c r="B373" s="3231" t="s">
        <v>258</v>
      </c>
      <c r="C373" s="3231">
        <v>2210</v>
      </c>
      <c r="D373" s="3231">
        <v>2190</v>
      </c>
      <c r="E373" s="3231">
        <v>2150</v>
      </c>
      <c r="F373" s="3231">
        <v>530</v>
      </c>
      <c r="G373" s="3244">
        <v>1320</v>
      </c>
    </row>
    <row r="374" spans="1:7" s="3224" customFormat="1">
      <c r="A374" s="3231" t="s">
        <v>3169</v>
      </c>
      <c r="B374" s="3231" t="s">
        <v>266</v>
      </c>
      <c r="C374" s="3231">
        <v>2320</v>
      </c>
      <c r="D374" s="3231">
        <v>2280</v>
      </c>
      <c r="E374" s="3231">
        <v>2230</v>
      </c>
      <c r="F374" s="3231">
        <v>580</v>
      </c>
      <c r="G374" s="3244">
        <v>1380</v>
      </c>
    </row>
    <row r="375" spans="1:7" s="3224" customFormat="1">
      <c r="A375" s="3231" t="s">
        <v>3169</v>
      </c>
      <c r="B375" s="3231" t="s">
        <v>3178</v>
      </c>
      <c r="C375" s="3231">
        <v>2090</v>
      </c>
      <c r="D375" s="3231">
        <v>2050</v>
      </c>
      <c r="E375" s="3231">
        <v>2020</v>
      </c>
      <c r="F375" s="3231">
        <v>520</v>
      </c>
      <c r="G375" s="3244">
        <v>1240</v>
      </c>
    </row>
    <row r="376" spans="1:7" s="3224" customFormat="1">
      <c r="A376" s="3231" t="s">
        <v>3169</v>
      </c>
      <c r="B376" s="3231" t="s">
        <v>277</v>
      </c>
      <c r="C376" s="3231">
        <v>2010</v>
      </c>
      <c r="D376" s="3231">
        <v>1980</v>
      </c>
      <c r="E376" s="3231">
        <v>1940</v>
      </c>
      <c r="F376" s="3231">
        <v>540</v>
      </c>
      <c r="G376" s="3244">
        <v>1190</v>
      </c>
    </row>
    <row r="377" spans="1:7" s="3224" customFormat="1" ht="12" thickBot="1">
      <c r="A377" s="3239" t="s">
        <v>3169</v>
      </c>
      <c r="B377" s="3242" t="s">
        <v>2931</v>
      </c>
      <c r="C377" s="3242">
        <v>1930</v>
      </c>
      <c r="D377" s="3242">
        <v>1890</v>
      </c>
      <c r="E377" s="3242">
        <v>1860</v>
      </c>
      <c r="F377" s="3242">
        <v>530</v>
      </c>
      <c r="G377" s="3247">
        <v>1150</v>
      </c>
    </row>
    <row r="378" spans="1:7" s="3224" customFormat="1">
      <c r="A378" s="3248" t="s">
        <v>3179</v>
      </c>
      <c r="B378" s="3227" t="s">
        <v>3180</v>
      </c>
      <c r="C378" s="3227">
        <v>1520</v>
      </c>
      <c r="D378" s="3227">
        <v>1490</v>
      </c>
      <c r="E378" s="3227">
        <v>1460</v>
      </c>
      <c r="F378" s="3227">
        <v>460</v>
      </c>
      <c r="G378" s="3243">
        <v>940</v>
      </c>
    </row>
    <row r="379" spans="1:7" s="3224" customFormat="1">
      <c r="A379" s="3249" t="s">
        <v>3179</v>
      </c>
      <c r="B379" s="3231" t="s">
        <v>3181</v>
      </c>
      <c r="C379" s="3231">
        <v>1500</v>
      </c>
      <c r="D379" s="3231">
        <v>1470</v>
      </c>
      <c r="E379" s="3231">
        <v>1430</v>
      </c>
      <c r="F379" s="3231">
        <v>460</v>
      </c>
      <c r="G379" s="3244">
        <v>920</v>
      </c>
    </row>
    <row r="380" spans="1:7" s="3224" customFormat="1">
      <c r="A380" s="3249" t="s">
        <v>3179</v>
      </c>
      <c r="B380" s="3231" t="s">
        <v>3182</v>
      </c>
      <c r="C380" s="3231">
        <v>1620</v>
      </c>
      <c r="D380" s="3231">
        <v>1590</v>
      </c>
      <c r="E380" s="3231">
        <v>1560</v>
      </c>
      <c r="F380" s="3231">
        <v>480</v>
      </c>
      <c r="G380" s="3244">
        <v>1000</v>
      </c>
    </row>
    <row r="381" spans="1:7" s="3224" customFormat="1">
      <c r="A381" s="3249" t="s">
        <v>3179</v>
      </c>
      <c r="B381" s="3231" t="s">
        <v>3183</v>
      </c>
      <c r="C381" s="3231">
        <v>1460</v>
      </c>
      <c r="D381" s="3231">
        <v>1430</v>
      </c>
      <c r="E381" s="3231">
        <v>1390</v>
      </c>
      <c r="F381" s="3231">
        <v>450</v>
      </c>
      <c r="G381" s="3244">
        <v>900</v>
      </c>
    </row>
    <row r="382" spans="1:7" s="3224" customFormat="1">
      <c r="A382" s="3249" t="s">
        <v>3179</v>
      </c>
      <c r="B382" s="3231" t="s">
        <v>3184</v>
      </c>
      <c r="C382" s="3231">
        <v>1310</v>
      </c>
      <c r="D382" s="3231">
        <v>1280</v>
      </c>
      <c r="E382" s="3231">
        <v>1250</v>
      </c>
      <c r="F382" s="3231">
        <v>440</v>
      </c>
      <c r="G382" s="3244">
        <v>800</v>
      </c>
    </row>
    <row r="383" spans="1:7" s="3224" customFormat="1">
      <c r="A383" s="3249" t="s">
        <v>3179</v>
      </c>
      <c r="B383" s="3231" t="s">
        <v>3185</v>
      </c>
      <c r="C383" s="3231">
        <v>1260</v>
      </c>
      <c r="D383" s="3231">
        <v>1230</v>
      </c>
      <c r="E383" s="3231">
        <v>1200</v>
      </c>
      <c r="F383" s="3231">
        <v>420</v>
      </c>
      <c r="G383" s="3244">
        <v>770</v>
      </c>
    </row>
    <row r="384" spans="1:7" s="3224" customFormat="1" ht="12" thickBot="1">
      <c r="A384" s="3250" t="s">
        <v>3179</v>
      </c>
      <c r="B384" s="3238" t="s">
        <v>3186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8" t="s">
        <v>3187</v>
      </c>
      <c r="B1" s="3798"/>
    </row>
    <row r="2" spans="1:7" ht="14.25" thickBot="1">
      <c r="A2" s="3253"/>
      <c r="B2" s="3253"/>
    </row>
    <row r="3" spans="1:7" ht="14.25" thickBot="1">
      <c r="A3" s="3253"/>
      <c r="B3" s="3253"/>
      <c r="C3" s="3254" t="s">
        <v>2815</v>
      </c>
      <c r="D3" s="3254" t="s">
        <v>2873</v>
      </c>
      <c r="E3" s="3254" t="s">
        <v>2817</v>
      </c>
      <c r="F3" s="3254" t="s">
        <v>2874</v>
      </c>
      <c r="G3" s="3254" t="s">
        <v>2635</v>
      </c>
    </row>
    <row r="4" spans="1:7" ht="14.25" thickBot="1">
      <c r="A4" s="3255" t="s">
        <v>2872</v>
      </c>
      <c r="B4" s="3256" t="s">
        <v>2878</v>
      </c>
      <c r="C4" s="3254"/>
      <c r="D4" s="3254"/>
      <c r="E4" s="3254"/>
      <c r="F4" s="3254"/>
      <c r="G4" s="3254"/>
    </row>
    <row r="5" spans="1:7">
      <c r="A5" s="3257" t="s">
        <v>2846</v>
      </c>
      <c r="B5" s="3258" t="s">
        <v>2860</v>
      </c>
      <c r="C5" s="3259">
        <v>9.8000000000000004E-2</v>
      </c>
      <c r="D5" s="3259">
        <v>8.6999999999999994E-2</v>
      </c>
      <c r="E5" s="3259">
        <v>8.6999999999999994E-2</v>
      </c>
      <c r="F5" s="3259">
        <v>9.8000000000000004E-2</v>
      </c>
      <c r="G5" s="3260">
        <v>9.5000000000000001E-2</v>
      </c>
    </row>
    <row r="6" spans="1:7">
      <c r="A6" s="3261" t="s">
        <v>144</v>
      </c>
      <c r="B6" s="3262" t="s">
        <v>2875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2929</v>
      </c>
      <c r="C29" s="3271"/>
      <c r="D29" s="3267">
        <v>5.1999999999999998E-2</v>
      </c>
      <c r="E29" s="3267">
        <v>7.0000000000000007E-2</v>
      </c>
      <c r="F29" s="3271"/>
      <c r="G29" s="3269">
        <v>7.0999999999999994E-2</v>
      </c>
    </row>
    <row r="30" spans="1:7">
      <c r="A30" s="3272" t="s">
        <v>296</v>
      </c>
      <c r="B30" s="3258" t="s">
        <v>2862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2932</v>
      </c>
      <c r="C50" s="3263">
        <v>9.8000000000000004E-2</v>
      </c>
      <c r="D50" s="3263">
        <v>7.2999999999999995E-2</v>
      </c>
      <c r="E50" s="3263">
        <v>7.0999999999999994E-2</v>
      </c>
      <c r="F50" s="3274"/>
      <c r="G50" s="3264">
        <v>7.2999999999999995E-2</v>
      </c>
    </row>
    <row r="51" spans="1:7">
      <c r="A51" s="3273" t="s">
        <v>296</v>
      </c>
      <c r="B51" s="3262" t="s">
        <v>2934</v>
      </c>
      <c r="C51" s="3263">
        <v>9.9000000000000005E-2</v>
      </c>
      <c r="D51" s="3263">
        <v>8.5000000000000006E-2</v>
      </c>
      <c r="E51" s="3263">
        <v>6.3E-2</v>
      </c>
      <c r="F51" s="3274"/>
      <c r="G51" s="3264">
        <v>9.6000000000000002E-2</v>
      </c>
    </row>
    <row r="52" spans="1:7">
      <c r="A52" s="3273" t="s">
        <v>296</v>
      </c>
      <c r="B52" s="3262" t="s">
        <v>2938</v>
      </c>
      <c r="C52" s="3263">
        <v>7.3999999999999996E-2</v>
      </c>
      <c r="D52" s="3263">
        <v>9.6000000000000002E-2</v>
      </c>
      <c r="E52" s="3263">
        <v>0.05</v>
      </c>
      <c r="F52" s="3274"/>
      <c r="G52" s="3264">
        <v>9.8000000000000004E-2</v>
      </c>
    </row>
    <row r="53" spans="1:7">
      <c r="A53" s="3273" t="s">
        <v>296</v>
      </c>
      <c r="B53" s="3262" t="s">
        <v>2943</v>
      </c>
      <c r="C53" s="3263">
        <v>8.5999999999999993E-2</v>
      </c>
      <c r="D53" s="3274"/>
      <c r="E53" s="3263">
        <v>9.1999999999999998E-2</v>
      </c>
      <c r="F53" s="3274"/>
      <c r="G53" s="3275"/>
    </row>
    <row r="54" spans="1:7" ht="14.25" thickBot="1">
      <c r="A54" s="3276" t="s">
        <v>296</v>
      </c>
      <c r="B54" s="3266" t="s">
        <v>2946</v>
      </c>
      <c r="C54" s="3267">
        <v>9.6000000000000002E-2</v>
      </c>
      <c r="D54" s="3268"/>
      <c r="E54" s="3277"/>
      <c r="F54" s="3268"/>
      <c r="G54" s="3278"/>
    </row>
    <row r="55" spans="1:7">
      <c r="A55" s="3272" t="s">
        <v>110</v>
      </c>
      <c r="B55" s="3258" t="s">
        <v>2863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2944</v>
      </c>
      <c r="C78" s="3263">
        <v>0.1</v>
      </c>
      <c r="D78" s="3263">
        <v>8.5000000000000006E-2</v>
      </c>
      <c r="E78" s="3263">
        <v>9.6000000000000002E-2</v>
      </c>
      <c r="F78" s="3274"/>
      <c r="G78" s="3264">
        <v>9.6000000000000002E-2</v>
      </c>
    </row>
    <row r="79" spans="1:7">
      <c r="A79" s="3273" t="s">
        <v>110</v>
      </c>
      <c r="B79" s="3262" t="s">
        <v>2947</v>
      </c>
      <c r="C79" s="3263">
        <v>0.05</v>
      </c>
      <c r="D79" s="3263">
        <v>9.6000000000000002E-2</v>
      </c>
      <c r="E79" s="3263">
        <v>9.5000000000000001E-2</v>
      </c>
      <c r="F79" s="3274"/>
      <c r="G79" s="3264">
        <v>9.8000000000000004E-2</v>
      </c>
    </row>
    <row r="80" spans="1:7">
      <c r="A80" s="3273" t="s">
        <v>110</v>
      </c>
      <c r="B80" s="3262" t="s">
        <v>2951</v>
      </c>
      <c r="C80" s="3263">
        <v>8.5999999999999993E-2</v>
      </c>
      <c r="D80" s="3279"/>
      <c r="E80" s="3263">
        <v>0.1</v>
      </c>
      <c r="F80" s="3274"/>
      <c r="G80" s="3275"/>
    </row>
    <row r="81" spans="1:7">
      <c r="A81" s="3273" t="s">
        <v>110</v>
      </c>
      <c r="B81" s="3262" t="s">
        <v>2956</v>
      </c>
      <c r="C81" s="3263">
        <v>9.6000000000000002E-2</v>
      </c>
      <c r="D81" s="3274"/>
      <c r="E81" s="3263">
        <v>9.8000000000000004E-2</v>
      </c>
      <c r="F81" s="3274"/>
      <c r="G81" s="3275"/>
    </row>
    <row r="82" spans="1:7">
      <c r="A82" s="3273" t="s">
        <v>110</v>
      </c>
      <c r="B82" s="3262" t="s">
        <v>2963</v>
      </c>
      <c r="C82" s="3279"/>
      <c r="D82" s="3274"/>
      <c r="E82" s="3263">
        <v>7.6999999999999999E-2</v>
      </c>
      <c r="F82" s="3274"/>
      <c r="G82" s="3275"/>
    </row>
    <row r="83" spans="1:7">
      <c r="A83" s="3273" t="s">
        <v>110</v>
      </c>
      <c r="B83" s="3262" t="s">
        <v>2969</v>
      </c>
      <c r="C83" s="3274"/>
      <c r="D83" s="3274"/>
      <c r="E83" s="3274"/>
      <c r="F83" s="3263">
        <v>0.1</v>
      </c>
      <c r="G83" s="3280"/>
    </row>
    <row r="84" spans="1:7">
      <c r="A84" s="3273" t="s">
        <v>110</v>
      </c>
      <c r="B84" s="3262" t="s">
        <v>2976</v>
      </c>
      <c r="C84" s="3274"/>
      <c r="D84" s="3274"/>
      <c r="E84" s="3274"/>
      <c r="F84" s="3263">
        <v>0.1</v>
      </c>
      <c r="G84" s="3280"/>
    </row>
    <row r="85" spans="1:7">
      <c r="A85" s="3273" t="s">
        <v>110</v>
      </c>
      <c r="B85" s="3262" t="s">
        <v>2983</v>
      </c>
      <c r="C85" s="3274"/>
      <c r="D85" s="3274"/>
      <c r="E85" s="3274"/>
      <c r="F85" s="3263">
        <v>0.1</v>
      </c>
      <c r="G85" s="3280"/>
    </row>
    <row r="86" spans="1:7" ht="14.25" thickBot="1">
      <c r="A86" s="3276" t="s">
        <v>110</v>
      </c>
      <c r="B86" s="3266" t="s">
        <v>2988</v>
      </c>
      <c r="C86" s="3267">
        <v>9.8000000000000004E-2</v>
      </c>
      <c r="D86" s="3267">
        <v>9.8000000000000004E-2</v>
      </c>
      <c r="E86" s="3267">
        <v>9.6000000000000002E-2</v>
      </c>
      <c r="F86" s="3277"/>
      <c r="G86" s="3269">
        <v>0.1</v>
      </c>
    </row>
    <row r="87" spans="1:7">
      <c r="A87" s="3272" t="s">
        <v>303</v>
      </c>
      <c r="B87" s="3258" t="s">
        <v>2864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2957</v>
      </c>
      <c r="C113" s="3263">
        <v>0.1</v>
      </c>
      <c r="D113" s="3263">
        <v>0.1</v>
      </c>
      <c r="E113" s="3274"/>
      <c r="F113" s="3274"/>
      <c r="G113" s="3264">
        <v>0.1</v>
      </c>
    </row>
    <row r="114" spans="1:7">
      <c r="A114" s="3273" t="s">
        <v>303</v>
      </c>
      <c r="B114" s="3262" t="s">
        <v>2964</v>
      </c>
      <c r="C114" s="3263">
        <v>9.7000000000000003E-2</v>
      </c>
      <c r="D114" s="3263">
        <v>9.7000000000000003E-2</v>
      </c>
      <c r="E114" s="3274"/>
      <c r="F114" s="3274"/>
      <c r="G114" s="3264">
        <v>9.9000000000000005E-2</v>
      </c>
    </row>
    <row r="115" spans="1:7">
      <c r="A115" s="3273" t="s">
        <v>303</v>
      </c>
      <c r="B115" s="3262" t="s">
        <v>2970</v>
      </c>
      <c r="C115" s="3263">
        <v>0.1</v>
      </c>
      <c r="D115" s="3263">
        <v>0.1</v>
      </c>
      <c r="E115" s="3274"/>
      <c r="F115" s="3274"/>
      <c r="G115" s="3264">
        <v>0.1</v>
      </c>
    </row>
    <row r="116" spans="1:7">
      <c r="A116" s="3273" t="s">
        <v>303</v>
      </c>
      <c r="B116" s="3262" t="s">
        <v>2977</v>
      </c>
      <c r="C116" s="3263">
        <v>0.1</v>
      </c>
      <c r="D116" s="3263">
        <v>0.1</v>
      </c>
      <c r="E116" s="3274"/>
      <c r="F116" s="3274"/>
      <c r="G116" s="3264">
        <v>0.1</v>
      </c>
    </row>
    <row r="117" spans="1:7">
      <c r="A117" s="3273" t="s">
        <v>303</v>
      </c>
      <c r="B117" s="3262" t="s">
        <v>2984</v>
      </c>
      <c r="C117" s="3263">
        <v>9.7000000000000003E-2</v>
      </c>
      <c r="D117" s="3263">
        <v>9.7000000000000003E-2</v>
      </c>
      <c r="E117" s="3274"/>
      <c r="F117" s="3274"/>
      <c r="G117" s="3264">
        <v>9.7000000000000003E-2</v>
      </c>
    </row>
    <row r="118" spans="1:7">
      <c r="A118" s="3273" t="s">
        <v>303</v>
      </c>
      <c r="B118" s="3262" t="s">
        <v>2989</v>
      </c>
      <c r="C118" s="3263">
        <v>0.1</v>
      </c>
      <c r="D118" s="3263">
        <v>0.1</v>
      </c>
      <c r="E118" s="3274"/>
      <c r="F118" s="3274"/>
      <c r="G118" s="3264">
        <v>0.1</v>
      </c>
    </row>
    <row r="119" spans="1:7">
      <c r="A119" s="3273" t="s">
        <v>303</v>
      </c>
      <c r="B119" s="3262" t="s">
        <v>2993</v>
      </c>
      <c r="C119" s="3263">
        <v>5.0999999999999997E-2</v>
      </c>
      <c r="D119" s="3263">
        <v>5.1999999999999998E-2</v>
      </c>
      <c r="E119" s="3274"/>
      <c r="F119" s="3279"/>
      <c r="G119" s="3264">
        <v>0.06</v>
      </c>
    </row>
    <row r="120" spans="1:7">
      <c r="A120" s="3273" t="s">
        <v>303</v>
      </c>
      <c r="B120" s="3262" t="s">
        <v>2997</v>
      </c>
      <c r="C120" s="3274"/>
      <c r="D120" s="3274"/>
      <c r="E120" s="3274"/>
      <c r="F120" s="3263">
        <v>0.1</v>
      </c>
      <c r="G120" s="3280"/>
    </row>
    <row r="121" spans="1:7">
      <c r="A121" s="3273" t="s">
        <v>303</v>
      </c>
      <c r="B121" s="3262" t="s">
        <v>3002</v>
      </c>
      <c r="C121" s="3274"/>
      <c r="D121" s="3274"/>
      <c r="E121" s="3274"/>
      <c r="F121" s="3263">
        <v>0.1</v>
      </c>
      <c r="G121" s="3280"/>
    </row>
    <row r="122" spans="1:7">
      <c r="A122" s="3273" t="s">
        <v>303</v>
      </c>
      <c r="B122" s="3262" t="s">
        <v>3007</v>
      </c>
      <c r="C122" s="3263">
        <v>0.1</v>
      </c>
      <c r="D122" s="3263">
        <v>0.1</v>
      </c>
      <c r="E122" s="3263">
        <v>9.8000000000000004E-2</v>
      </c>
      <c r="F122" s="3263">
        <v>0.1</v>
      </c>
      <c r="G122" s="3264">
        <v>0.1</v>
      </c>
    </row>
    <row r="123" spans="1:7">
      <c r="A123" s="3273" t="s">
        <v>303</v>
      </c>
      <c r="B123" s="3262" t="s">
        <v>3012</v>
      </c>
      <c r="C123" s="3263">
        <v>0.1</v>
      </c>
      <c r="D123" s="3263">
        <v>0.1</v>
      </c>
      <c r="E123" s="3263">
        <v>9.8000000000000004E-2</v>
      </c>
      <c r="F123" s="3263">
        <v>0.1</v>
      </c>
      <c r="G123" s="3264">
        <v>0.1</v>
      </c>
    </row>
    <row r="124" spans="1:7">
      <c r="A124" s="3273" t="s">
        <v>303</v>
      </c>
      <c r="B124" s="3262" t="s">
        <v>3017</v>
      </c>
      <c r="C124" s="3263">
        <v>0.1</v>
      </c>
      <c r="D124" s="3263">
        <v>0.1</v>
      </c>
      <c r="E124" s="3263">
        <v>9.8000000000000004E-2</v>
      </c>
      <c r="F124" s="3279"/>
      <c r="G124" s="3264">
        <v>0.1</v>
      </c>
    </row>
    <row r="125" spans="1:7">
      <c r="A125" s="3273" t="s">
        <v>303</v>
      </c>
      <c r="B125" s="3262" t="s">
        <v>3022</v>
      </c>
      <c r="C125" s="3263">
        <v>9.8000000000000004E-2</v>
      </c>
      <c r="D125" s="3263">
        <v>9.8000000000000004E-2</v>
      </c>
      <c r="E125" s="3263">
        <v>9.6000000000000002E-2</v>
      </c>
      <c r="F125" s="3279"/>
      <c r="G125" s="3264">
        <v>0.1</v>
      </c>
    </row>
    <row r="126" spans="1:7" ht="14.25" thickBot="1">
      <c r="A126" s="3276" t="s">
        <v>303</v>
      </c>
      <c r="B126" s="3266" t="s">
        <v>3188</v>
      </c>
      <c r="C126" s="3267">
        <v>0.1</v>
      </c>
      <c r="D126" s="3267">
        <v>0.1</v>
      </c>
      <c r="E126" s="3267">
        <v>9.8000000000000004E-2</v>
      </c>
      <c r="F126" s="3267">
        <v>0.1</v>
      </c>
      <c r="G126" s="3269">
        <v>0.1</v>
      </c>
    </row>
    <row r="127" spans="1:7">
      <c r="A127" s="3272" t="s">
        <v>29</v>
      </c>
      <c r="B127" s="3258" t="s">
        <v>2865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2935</v>
      </c>
      <c r="C148" s="3263">
        <v>0.13</v>
      </c>
      <c r="D148" s="3263">
        <v>0.13</v>
      </c>
      <c r="E148" s="3263">
        <v>0.13</v>
      </c>
      <c r="F148" s="3274"/>
      <c r="G148" s="3264">
        <v>0.13</v>
      </c>
    </row>
    <row r="149" spans="1:7">
      <c r="A149" s="3273" t="s">
        <v>29</v>
      </c>
      <c r="B149" s="3262" t="s">
        <v>2939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2958</v>
      </c>
      <c r="C153" s="3263">
        <v>0.13</v>
      </c>
      <c r="D153" s="3263">
        <v>0.13</v>
      </c>
      <c r="E153" s="3263">
        <v>0.13</v>
      </c>
      <c r="F153" s="3263">
        <v>0.13</v>
      </c>
      <c r="G153" s="3264">
        <v>0.13</v>
      </c>
    </row>
    <row r="154" spans="1:7">
      <c r="A154" s="3273" t="s">
        <v>29</v>
      </c>
      <c r="B154" s="3262" t="s">
        <v>2965</v>
      </c>
      <c r="C154" s="3263">
        <v>0.121</v>
      </c>
      <c r="D154" s="3263">
        <v>0.121</v>
      </c>
      <c r="E154" s="3263">
        <v>0.105</v>
      </c>
      <c r="F154" s="3263">
        <v>0.121</v>
      </c>
      <c r="G154" s="3264">
        <v>0.123</v>
      </c>
    </row>
    <row r="155" spans="1:7">
      <c r="A155" s="3273" t="s">
        <v>29</v>
      </c>
      <c r="B155" s="3262" t="s">
        <v>2971</v>
      </c>
      <c r="C155" s="3263">
        <v>0.1</v>
      </c>
      <c r="D155" s="3263">
        <v>0.1</v>
      </c>
      <c r="E155" s="3263">
        <v>0.1</v>
      </c>
      <c r="F155" s="3263">
        <v>0.1</v>
      </c>
      <c r="G155" s="3264">
        <v>0.1</v>
      </c>
    </row>
    <row r="156" spans="1:7">
      <c r="A156" s="3273" t="s">
        <v>29</v>
      </c>
      <c r="B156" s="3262" t="s">
        <v>2978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2998</v>
      </c>
      <c r="C160" s="3263">
        <v>0.13</v>
      </c>
      <c r="D160" s="3263">
        <v>0.13</v>
      </c>
      <c r="E160" s="3263">
        <v>0.124</v>
      </c>
      <c r="F160" s="3263">
        <v>0.126</v>
      </c>
      <c r="G160" s="3264">
        <v>0.13</v>
      </c>
    </row>
    <row r="161" spans="1:7">
      <c r="A161" s="3273" t="s">
        <v>29</v>
      </c>
      <c r="B161" s="3262" t="s">
        <v>3003</v>
      </c>
      <c r="C161" s="3263">
        <v>0.13</v>
      </c>
      <c r="D161" s="3263">
        <v>0.13</v>
      </c>
      <c r="E161" s="3263">
        <v>0.124</v>
      </c>
      <c r="F161" s="3263">
        <v>0.127</v>
      </c>
      <c r="G161" s="3264">
        <v>0.13</v>
      </c>
    </row>
    <row r="162" spans="1:7">
      <c r="A162" s="3273" t="s">
        <v>29</v>
      </c>
      <c r="B162" s="3262" t="s">
        <v>3008</v>
      </c>
      <c r="C162" s="3263">
        <v>0.1</v>
      </c>
      <c r="D162" s="3263">
        <v>0.1</v>
      </c>
      <c r="E162" s="3263">
        <v>0.1</v>
      </c>
      <c r="F162" s="3263">
        <v>0.121</v>
      </c>
      <c r="G162" s="3264">
        <v>0.105</v>
      </c>
    </row>
    <row r="163" spans="1:7">
      <c r="A163" s="3273" t="s">
        <v>29</v>
      </c>
      <c r="B163" s="3262" t="s">
        <v>3013</v>
      </c>
      <c r="C163" s="3263">
        <v>0.1</v>
      </c>
      <c r="D163" s="3263">
        <v>0.1</v>
      </c>
      <c r="E163" s="3263">
        <v>0.1</v>
      </c>
      <c r="F163" s="3263">
        <v>0.1</v>
      </c>
      <c r="G163" s="3264">
        <v>0.1</v>
      </c>
    </row>
    <row r="164" spans="1:7">
      <c r="A164" s="3273" t="s">
        <v>29</v>
      </c>
      <c r="B164" s="3262" t="s">
        <v>3018</v>
      </c>
      <c r="C164" s="3279"/>
      <c r="D164" s="3279"/>
      <c r="E164" s="3279"/>
      <c r="F164" s="3263">
        <v>0.1</v>
      </c>
      <c r="G164" s="3275"/>
    </row>
    <row r="165" spans="1:7">
      <c r="A165" s="3273" t="s">
        <v>29</v>
      </c>
      <c r="B165" s="3262" t="s">
        <v>3189</v>
      </c>
      <c r="C165" s="3263">
        <v>0.126</v>
      </c>
      <c r="D165" s="3263">
        <v>0.126</v>
      </c>
      <c r="E165" s="3263">
        <v>0.11899999999999999</v>
      </c>
      <c r="F165" s="3263">
        <v>0.13</v>
      </c>
      <c r="G165" s="3264">
        <v>0.128</v>
      </c>
    </row>
    <row r="166" spans="1:7">
      <c r="A166" s="3273" t="s">
        <v>29</v>
      </c>
      <c r="B166" s="3262" t="s">
        <v>3028</v>
      </c>
      <c r="C166" s="3263">
        <v>0.129</v>
      </c>
      <c r="D166" s="3263">
        <v>0.129</v>
      </c>
      <c r="E166" s="3263">
        <v>0.123</v>
      </c>
      <c r="F166" s="3263">
        <v>0.128</v>
      </c>
      <c r="G166" s="3264">
        <v>0.13</v>
      </c>
    </row>
    <row r="167" spans="1:7">
      <c r="A167" s="3273" t="s">
        <v>29</v>
      </c>
      <c r="B167" s="3262" t="s">
        <v>3032</v>
      </c>
      <c r="C167" s="3263">
        <v>0.125</v>
      </c>
      <c r="D167" s="3263">
        <v>0.125</v>
      </c>
      <c r="E167" s="3263">
        <v>0.11700000000000001</v>
      </c>
      <c r="F167" s="3263">
        <v>0.13</v>
      </c>
      <c r="G167" s="3264">
        <v>0.126</v>
      </c>
    </row>
    <row r="168" spans="1:7">
      <c r="A168" s="3273" t="s">
        <v>29</v>
      </c>
      <c r="B168" s="3262" t="s">
        <v>3037</v>
      </c>
      <c r="C168" s="3263">
        <v>0.128</v>
      </c>
      <c r="D168" s="3263">
        <v>0.128</v>
      </c>
      <c r="E168" s="3263">
        <v>0.123</v>
      </c>
      <c r="F168" s="3274"/>
      <c r="G168" s="3264">
        <v>0.13</v>
      </c>
    </row>
    <row r="169" spans="1:7">
      <c r="A169" s="3273" t="s">
        <v>29</v>
      </c>
      <c r="B169" s="3262" t="s">
        <v>3190</v>
      </c>
      <c r="C169" s="3279"/>
      <c r="D169" s="3279"/>
      <c r="E169" s="3279"/>
      <c r="F169" s="3263">
        <v>0.05</v>
      </c>
      <c r="G169" s="3275"/>
    </row>
    <row r="170" spans="1:7">
      <c r="A170" s="3273" t="s">
        <v>29</v>
      </c>
      <c r="B170" s="3262" t="s">
        <v>3191</v>
      </c>
      <c r="C170" s="3279"/>
      <c r="D170" s="3279"/>
      <c r="E170" s="3279"/>
      <c r="F170" s="3263">
        <v>0.05</v>
      </c>
      <c r="G170" s="3275"/>
    </row>
    <row r="171" spans="1:7">
      <c r="A171" s="3273" t="s">
        <v>29</v>
      </c>
      <c r="B171" s="3262" t="s">
        <v>3192</v>
      </c>
      <c r="C171" s="3279"/>
      <c r="D171" s="3279"/>
      <c r="E171" s="3279"/>
      <c r="F171" s="3263">
        <v>0.05</v>
      </c>
      <c r="G171" s="3280"/>
    </row>
    <row r="172" spans="1:7">
      <c r="A172" s="3273" t="s">
        <v>29</v>
      </c>
      <c r="B172" s="3262" t="s">
        <v>3193</v>
      </c>
      <c r="C172" s="3279"/>
      <c r="D172" s="3279"/>
      <c r="E172" s="3279"/>
      <c r="F172" s="3263">
        <v>0.05</v>
      </c>
      <c r="G172" s="3280"/>
    </row>
    <row r="173" spans="1:7">
      <c r="A173" s="3273" t="s">
        <v>29</v>
      </c>
      <c r="B173" s="3262" t="s">
        <v>3194</v>
      </c>
      <c r="C173" s="3279"/>
      <c r="D173" s="3279"/>
      <c r="E173" s="3279"/>
      <c r="F173" s="3263">
        <v>0.05</v>
      </c>
      <c r="G173" s="3275"/>
    </row>
    <row r="174" spans="1:7">
      <c r="A174" s="3273" t="s">
        <v>29</v>
      </c>
      <c r="B174" s="3262" t="s">
        <v>3195</v>
      </c>
      <c r="C174" s="3279"/>
      <c r="D174" s="3279"/>
      <c r="E174" s="3279"/>
      <c r="F174" s="3263">
        <v>0.05</v>
      </c>
      <c r="G174" s="3275"/>
    </row>
    <row r="175" spans="1:7">
      <c r="A175" s="3273" t="s">
        <v>29</v>
      </c>
      <c r="B175" s="3262" t="s">
        <v>3196</v>
      </c>
      <c r="C175" s="3279"/>
      <c r="D175" s="3279"/>
      <c r="E175" s="3279"/>
      <c r="F175" s="3263">
        <v>0.05</v>
      </c>
      <c r="G175" s="3275"/>
    </row>
    <row r="176" spans="1:7">
      <c r="A176" s="3273" t="s">
        <v>29</v>
      </c>
      <c r="B176" s="3262" t="s">
        <v>3197</v>
      </c>
      <c r="C176" s="3279"/>
      <c r="D176" s="3279"/>
      <c r="E176" s="3279"/>
      <c r="F176" s="3263">
        <v>0.05</v>
      </c>
      <c r="G176" s="3275"/>
    </row>
    <row r="177" spans="1:7">
      <c r="A177" s="3273" t="s">
        <v>29</v>
      </c>
      <c r="B177" s="3262" t="s">
        <v>3198</v>
      </c>
      <c r="C177" s="3274"/>
      <c r="D177" s="3274"/>
      <c r="E177" s="3274"/>
      <c r="F177" s="3263">
        <v>0.05</v>
      </c>
      <c r="G177" s="3280"/>
    </row>
    <row r="178" spans="1:7">
      <c r="A178" s="3273" t="s">
        <v>29</v>
      </c>
      <c r="B178" s="3262" t="s">
        <v>3199</v>
      </c>
      <c r="C178" s="3274"/>
      <c r="D178" s="3274"/>
      <c r="E178" s="3274"/>
      <c r="F178" s="3263">
        <v>0.05</v>
      </c>
      <c r="G178" s="3280"/>
    </row>
    <row r="179" spans="1:7">
      <c r="A179" s="3273" t="s">
        <v>29</v>
      </c>
      <c r="B179" s="3262" t="s">
        <v>3200</v>
      </c>
      <c r="C179" s="3274"/>
      <c r="D179" s="3274"/>
      <c r="E179" s="3274"/>
      <c r="F179" s="3263">
        <v>0.05</v>
      </c>
      <c r="G179" s="3280"/>
    </row>
    <row r="180" spans="1:7">
      <c r="A180" s="3273" t="s">
        <v>29</v>
      </c>
      <c r="B180" s="3262" t="s">
        <v>3201</v>
      </c>
      <c r="C180" s="3274"/>
      <c r="D180" s="3274"/>
      <c r="E180" s="3274"/>
      <c r="F180" s="3263">
        <v>0.05</v>
      </c>
      <c r="G180" s="3280"/>
    </row>
    <row r="181" spans="1:7">
      <c r="A181" s="3273" t="s">
        <v>29</v>
      </c>
      <c r="B181" s="3262" t="s">
        <v>3202</v>
      </c>
      <c r="C181" s="3274"/>
      <c r="D181" s="3274"/>
      <c r="E181" s="3274"/>
      <c r="F181" s="3263">
        <v>0.05</v>
      </c>
      <c r="G181" s="3280"/>
    </row>
    <row r="182" spans="1:7">
      <c r="A182" s="3273" t="s">
        <v>29</v>
      </c>
      <c r="B182" s="3262" t="s">
        <v>3203</v>
      </c>
      <c r="C182" s="3274"/>
      <c r="D182" s="3274"/>
      <c r="E182" s="3274"/>
      <c r="F182" s="3263">
        <v>0.05</v>
      </c>
      <c r="G182" s="3280"/>
    </row>
    <row r="183" spans="1:7">
      <c r="A183" s="3273" t="s">
        <v>29</v>
      </c>
      <c r="B183" s="3262" t="s">
        <v>3204</v>
      </c>
      <c r="C183" s="3274"/>
      <c r="D183" s="3274"/>
      <c r="E183" s="3274"/>
      <c r="F183" s="3263">
        <v>0.05</v>
      </c>
      <c r="G183" s="3280"/>
    </row>
    <row r="184" spans="1:7">
      <c r="A184" s="3273" t="s">
        <v>29</v>
      </c>
      <c r="B184" s="3262" t="s">
        <v>3205</v>
      </c>
      <c r="C184" s="3274"/>
      <c r="D184" s="3274"/>
      <c r="E184" s="3274"/>
      <c r="F184" s="3263">
        <v>0.05</v>
      </c>
      <c r="G184" s="3280"/>
    </row>
    <row r="185" spans="1:7">
      <c r="A185" s="3273" t="s">
        <v>29</v>
      </c>
      <c r="B185" s="3262" t="s">
        <v>3206</v>
      </c>
      <c r="C185" s="3274"/>
      <c r="D185" s="3274"/>
      <c r="E185" s="3274"/>
      <c r="F185" s="3263">
        <v>0.05</v>
      </c>
      <c r="G185" s="3280"/>
    </row>
    <row r="186" spans="1:7">
      <c r="A186" s="3273" t="s">
        <v>29</v>
      </c>
      <c r="B186" s="3262" t="s">
        <v>3207</v>
      </c>
      <c r="C186" s="3274"/>
      <c r="D186" s="3274"/>
      <c r="E186" s="3274"/>
      <c r="F186" s="3263">
        <v>0.05</v>
      </c>
      <c r="G186" s="3280"/>
    </row>
    <row r="187" spans="1:7">
      <c r="A187" s="3273" t="s">
        <v>29</v>
      </c>
      <c r="B187" s="3262" t="s">
        <v>3208</v>
      </c>
      <c r="C187" s="3274"/>
      <c r="D187" s="3274"/>
      <c r="E187" s="3274"/>
      <c r="F187" s="3263">
        <v>0.05</v>
      </c>
      <c r="G187" s="3280"/>
    </row>
    <row r="188" spans="1:7">
      <c r="A188" s="3273" t="s">
        <v>29</v>
      </c>
      <c r="B188" s="3262" t="s">
        <v>3209</v>
      </c>
      <c r="C188" s="3274"/>
      <c r="D188" s="3274"/>
      <c r="E188" s="3274"/>
      <c r="F188" s="3263">
        <v>0.05</v>
      </c>
      <c r="G188" s="3280"/>
    </row>
    <row r="189" spans="1:7" ht="14.25" thickBot="1">
      <c r="A189" s="3276" t="s">
        <v>29</v>
      </c>
      <c r="B189" s="3266" t="s">
        <v>3210</v>
      </c>
      <c r="C189" s="3268"/>
      <c r="D189" s="3268"/>
      <c r="E189" s="3268"/>
      <c r="F189" s="3267">
        <v>0.05</v>
      </c>
      <c r="G189" s="3281"/>
    </row>
    <row r="190" spans="1:7">
      <c r="A190" s="3272" t="s">
        <v>304</v>
      </c>
      <c r="B190" s="3258" t="s">
        <v>2866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2902</v>
      </c>
      <c r="C199" s="3263">
        <v>0.13</v>
      </c>
      <c r="D199" s="3263">
        <v>0.13</v>
      </c>
      <c r="E199" s="3263">
        <v>0.13</v>
      </c>
      <c r="F199" s="3263">
        <v>0.13</v>
      </c>
      <c r="G199" s="3264">
        <v>0.13</v>
      </c>
    </row>
    <row r="200" spans="1:7">
      <c r="A200" s="3273" t="s">
        <v>304</v>
      </c>
      <c r="B200" s="3262" t="s">
        <v>2905</v>
      </c>
      <c r="C200" s="3279"/>
      <c r="D200" s="3279"/>
      <c r="E200" s="3279"/>
      <c r="F200" s="3263">
        <v>0.13</v>
      </c>
      <c r="G200" s="3275"/>
    </row>
    <row r="201" spans="1:7">
      <c r="A201" s="3273" t="s">
        <v>304</v>
      </c>
      <c r="B201" s="3262" t="s">
        <v>2910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2913</v>
      </c>
      <c r="C203" s="3263">
        <v>0.129</v>
      </c>
      <c r="D203" s="3263">
        <v>0.129</v>
      </c>
      <c r="E203" s="3263">
        <v>0.13</v>
      </c>
      <c r="F203" s="3263">
        <v>0.13</v>
      </c>
      <c r="G203" s="3264">
        <v>0.13</v>
      </c>
    </row>
    <row r="204" spans="1:7">
      <c r="A204" s="3273" t="s">
        <v>304</v>
      </c>
      <c r="B204" s="3262" t="s">
        <v>2916</v>
      </c>
      <c r="C204" s="3263">
        <v>0.129</v>
      </c>
      <c r="D204" s="3263">
        <v>0.129</v>
      </c>
      <c r="E204" s="3263">
        <v>0.123</v>
      </c>
      <c r="F204" s="3263">
        <v>0.13</v>
      </c>
      <c r="G204" s="3264">
        <v>0.13</v>
      </c>
    </row>
    <row r="205" spans="1:7">
      <c r="A205" s="3273" t="s">
        <v>304</v>
      </c>
      <c r="B205" s="3262" t="s">
        <v>2918</v>
      </c>
      <c r="C205" s="3263">
        <v>0.13</v>
      </c>
      <c r="D205" s="3263">
        <v>0.13</v>
      </c>
      <c r="E205" s="3263">
        <v>0.13</v>
      </c>
      <c r="F205" s="3263">
        <v>0.13</v>
      </c>
      <c r="G205" s="3264">
        <v>0.13</v>
      </c>
    </row>
    <row r="206" spans="1:7">
      <c r="A206" s="3273" t="s">
        <v>304</v>
      </c>
      <c r="B206" s="3262" t="s">
        <v>2921</v>
      </c>
      <c r="C206" s="3263">
        <v>0.13</v>
      </c>
      <c r="D206" s="3263">
        <v>0.13</v>
      </c>
      <c r="E206" s="3263">
        <v>0.13</v>
      </c>
      <c r="F206" s="3263">
        <v>0.128</v>
      </c>
      <c r="G206" s="3264">
        <v>0.13</v>
      </c>
    </row>
    <row r="207" spans="1:7">
      <c r="A207" s="3273" t="s">
        <v>304</v>
      </c>
      <c r="B207" s="3262" t="s">
        <v>2923</v>
      </c>
      <c r="C207" s="3263">
        <v>0.13</v>
      </c>
      <c r="D207" s="3263">
        <v>0.13</v>
      </c>
      <c r="E207" s="3263">
        <v>0.13</v>
      </c>
      <c r="F207" s="3263">
        <v>0.13</v>
      </c>
      <c r="G207" s="3264">
        <v>0.13</v>
      </c>
    </row>
    <row r="208" spans="1:7">
      <c r="A208" s="3273" t="s">
        <v>304</v>
      </c>
      <c r="B208" s="3262" t="s">
        <v>2926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2933</v>
      </c>
      <c r="C210" s="3263">
        <v>0.121</v>
      </c>
      <c r="D210" s="3263">
        <v>0.121</v>
      </c>
      <c r="E210" s="3263">
        <v>0.125</v>
      </c>
      <c r="F210" s="3263">
        <v>0.13</v>
      </c>
      <c r="G210" s="3264">
        <v>0.123</v>
      </c>
    </row>
    <row r="211" spans="1:7">
      <c r="A211" s="3273" t="s">
        <v>304</v>
      </c>
      <c r="B211" s="3262" t="s">
        <v>2936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2948</v>
      </c>
      <c r="C214" s="3263">
        <v>0.128</v>
      </c>
      <c r="D214" s="3263">
        <v>0.128</v>
      </c>
      <c r="E214" s="3263">
        <v>0.13</v>
      </c>
      <c r="F214" s="3263">
        <v>0.13</v>
      </c>
      <c r="G214" s="3264">
        <v>0.13</v>
      </c>
    </row>
    <row r="215" spans="1:7">
      <c r="A215" s="3273" t="s">
        <v>304</v>
      </c>
      <c r="B215" s="3262" t="s">
        <v>2952</v>
      </c>
      <c r="C215" s="3263">
        <v>0.13</v>
      </c>
      <c r="D215" s="3263">
        <v>0.13</v>
      </c>
      <c r="E215" s="3263">
        <v>0.13</v>
      </c>
      <c r="F215" s="3263">
        <v>0.129</v>
      </c>
      <c r="G215" s="3264">
        <v>0.13</v>
      </c>
    </row>
    <row r="216" spans="1:7">
      <c r="A216" s="3273" t="s">
        <v>304</v>
      </c>
      <c r="B216" s="3262" t="s">
        <v>2959</v>
      </c>
      <c r="C216" s="3263">
        <v>0.13</v>
      </c>
      <c r="D216" s="3263">
        <v>0.13</v>
      </c>
      <c r="E216" s="3263">
        <v>0.13</v>
      </c>
      <c r="F216" s="3263">
        <v>0.13</v>
      </c>
      <c r="G216" s="3264">
        <v>0.13</v>
      </c>
    </row>
    <row r="217" spans="1:7">
      <c r="A217" s="3273" t="s">
        <v>304</v>
      </c>
      <c r="B217" s="3262" t="s">
        <v>2966</v>
      </c>
      <c r="C217" s="3263">
        <v>0.129</v>
      </c>
      <c r="D217" s="3263">
        <v>0.129</v>
      </c>
      <c r="E217" s="3263">
        <v>0.13</v>
      </c>
      <c r="F217" s="3263">
        <v>0.13</v>
      </c>
      <c r="G217" s="3264">
        <v>0.13</v>
      </c>
    </row>
    <row r="218" spans="1:7">
      <c r="A218" s="3273" t="s">
        <v>304</v>
      </c>
      <c r="B218" s="3262" t="s">
        <v>2972</v>
      </c>
      <c r="C218" s="3274"/>
      <c r="D218" s="3274"/>
      <c r="E218" s="3274"/>
      <c r="F218" s="3263">
        <v>0.05</v>
      </c>
      <c r="G218" s="3280"/>
    </row>
    <row r="219" spans="1:7">
      <c r="A219" s="3273" t="s">
        <v>304</v>
      </c>
      <c r="B219" s="3262" t="s">
        <v>2979</v>
      </c>
      <c r="C219" s="3274"/>
      <c r="D219" s="3274"/>
      <c r="E219" s="3274"/>
      <c r="F219" s="3263">
        <v>0.05</v>
      </c>
      <c r="G219" s="3280"/>
    </row>
    <row r="220" spans="1:7">
      <c r="A220" s="3273" t="s">
        <v>304</v>
      </c>
      <c r="B220" s="3262" t="s">
        <v>2985</v>
      </c>
      <c r="C220" s="3274"/>
      <c r="D220" s="3274"/>
      <c r="E220" s="3274"/>
      <c r="F220" s="3263">
        <v>0.05</v>
      </c>
      <c r="G220" s="3280"/>
    </row>
    <row r="221" spans="1:7">
      <c r="A221" s="3273" t="s">
        <v>304</v>
      </c>
      <c r="B221" s="3262" t="s">
        <v>2990</v>
      </c>
      <c r="C221" s="3274"/>
      <c r="D221" s="3274"/>
      <c r="E221" s="3274"/>
      <c r="F221" s="3263">
        <v>0.05</v>
      </c>
      <c r="G221" s="3280"/>
    </row>
    <row r="222" spans="1:7">
      <c r="A222" s="3273" t="s">
        <v>304</v>
      </c>
      <c r="B222" s="3262" t="s">
        <v>2994</v>
      </c>
      <c r="C222" s="3274"/>
      <c r="D222" s="3274"/>
      <c r="E222" s="3274"/>
      <c r="F222" s="3263">
        <v>0.05</v>
      </c>
      <c r="G222" s="3280"/>
    </row>
    <row r="223" spans="1:7">
      <c r="A223" s="3273" t="s">
        <v>304</v>
      </c>
      <c r="B223" s="3262" t="s">
        <v>2999</v>
      </c>
      <c r="C223" s="3274"/>
      <c r="D223" s="3274"/>
      <c r="E223" s="3274"/>
      <c r="F223" s="3263">
        <v>0.05</v>
      </c>
      <c r="G223" s="3280"/>
    </row>
    <row r="224" spans="1:7">
      <c r="A224" s="3273" t="s">
        <v>304</v>
      </c>
      <c r="B224" s="3262" t="s">
        <v>3004</v>
      </c>
      <c r="C224" s="3274"/>
      <c r="D224" s="3274"/>
      <c r="E224" s="3274"/>
      <c r="F224" s="3263">
        <v>0.05</v>
      </c>
      <c r="G224" s="3280"/>
    </row>
    <row r="225" spans="1:7">
      <c r="A225" s="3273" t="s">
        <v>304</v>
      </c>
      <c r="B225" s="3262" t="s">
        <v>3009</v>
      </c>
      <c r="C225" s="3274"/>
      <c r="D225" s="3274"/>
      <c r="E225" s="3274"/>
      <c r="F225" s="3263">
        <v>0.05</v>
      </c>
      <c r="G225" s="3280"/>
    </row>
    <row r="226" spans="1:7">
      <c r="A226" s="3273" t="s">
        <v>304</v>
      </c>
      <c r="B226" s="3262" t="s">
        <v>3211</v>
      </c>
      <c r="C226" s="3274"/>
      <c r="D226" s="3274"/>
      <c r="E226" s="3274"/>
      <c r="F226" s="3263">
        <v>0.05</v>
      </c>
      <c r="G226" s="3280"/>
    </row>
    <row r="227" spans="1:7">
      <c r="A227" s="3273" t="s">
        <v>304</v>
      </c>
      <c r="B227" s="3262" t="s">
        <v>3212</v>
      </c>
      <c r="C227" s="3274"/>
      <c r="D227" s="3274"/>
      <c r="E227" s="3274"/>
      <c r="F227" s="3263">
        <v>0.05</v>
      </c>
      <c r="G227" s="3280"/>
    </row>
    <row r="228" spans="1:7">
      <c r="A228" s="3273" t="s">
        <v>304</v>
      </c>
      <c r="B228" s="3262" t="s">
        <v>3213</v>
      </c>
      <c r="C228" s="3274"/>
      <c r="D228" s="3274"/>
      <c r="E228" s="3274"/>
      <c r="F228" s="3263">
        <v>0.05</v>
      </c>
      <c r="G228" s="3280"/>
    </row>
    <row r="229" spans="1:7">
      <c r="A229" s="3273" t="s">
        <v>304</v>
      </c>
      <c r="B229" s="3262" t="s">
        <v>3214</v>
      </c>
      <c r="C229" s="3274"/>
      <c r="D229" s="3274"/>
      <c r="E229" s="3274"/>
      <c r="F229" s="3263">
        <v>0.05</v>
      </c>
      <c r="G229" s="3280"/>
    </row>
    <row r="230" spans="1:7">
      <c r="A230" s="3273" t="s">
        <v>304</v>
      </c>
      <c r="B230" s="3262" t="s">
        <v>3215</v>
      </c>
      <c r="C230" s="3274"/>
      <c r="D230" s="3274"/>
      <c r="E230" s="3274"/>
      <c r="F230" s="3263">
        <v>0.05</v>
      </c>
      <c r="G230" s="3280"/>
    </row>
    <row r="231" spans="1:7">
      <c r="A231" s="3273" t="s">
        <v>304</v>
      </c>
      <c r="B231" s="3262" t="s">
        <v>3216</v>
      </c>
      <c r="C231" s="3274"/>
      <c r="D231" s="3274"/>
      <c r="E231" s="3274"/>
      <c r="F231" s="3263">
        <v>0.05</v>
      </c>
      <c r="G231" s="3280"/>
    </row>
    <row r="232" spans="1:7">
      <c r="A232" s="3273" t="s">
        <v>304</v>
      </c>
      <c r="B232" s="3262" t="s">
        <v>3217</v>
      </c>
      <c r="C232" s="3274"/>
      <c r="D232" s="3274"/>
      <c r="E232" s="3274"/>
      <c r="F232" s="3263">
        <v>0.05</v>
      </c>
      <c r="G232" s="3280"/>
    </row>
    <row r="233" spans="1:7" ht="14.25" thickBot="1">
      <c r="A233" s="3276" t="s">
        <v>304</v>
      </c>
      <c r="B233" s="3266" t="s">
        <v>3218</v>
      </c>
      <c r="C233" s="3268"/>
      <c r="D233" s="3268"/>
      <c r="E233" s="3268"/>
      <c r="F233" s="3267">
        <v>0.05</v>
      </c>
      <c r="G233" s="3281"/>
    </row>
    <row r="234" spans="1:7">
      <c r="A234" s="3272" t="s">
        <v>305</v>
      </c>
      <c r="B234" s="3258" t="s">
        <v>2867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2887</v>
      </c>
      <c r="C238" s="3263">
        <v>0.14899999999999999</v>
      </c>
      <c r="D238" s="3263">
        <v>0.14899999999999999</v>
      </c>
      <c r="E238" s="3263">
        <v>0.15</v>
      </c>
      <c r="F238" s="3263">
        <v>0.15</v>
      </c>
      <c r="G238" s="3264">
        <v>0.15</v>
      </c>
    </row>
    <row r="239" spans="1:7">
      <c r="A239" s="3273" t="s">
        <v>305</v>
      </c>
      <c r="B239" s="3262" t="s">
        <v>2891</v>
      </c>
      <c r="C239" s="3263">
        <v>0.15</v>
      </c>
      <c r="D239" s="3263">
        <v>0.15</v>
      </c>
      <c r="E239" s="3263">
        <v>0.15</v>
      </c>
      <c r="F239" s="3263">
        <v>0.15</v>
      </c>
      <c r="G239" s="3264">
        <v>0.15</v>
      </c>
    </row>
    <row r="240" spans="1:7">
      <c r="A240" s="3273" t="s">
        <v>305</v>
      </c>
      <c r="B240" s="3262" t="s">
        <v>2896</v>
      </c>
      <c r="C240" s="3263">
        <v>0.15</v>
      </c>
      <c r="D240" s="3263">
        <v>0.15</v>
      </c>
      <c r="E240" s="3263">
        <v>0.15</v>
      </c>
      <c r="F240" s="3263">
        <v>0.15</v>
      </c>
      <c r="G240" s="3264">
        <v>0.15</v>
      </c>
    </row>
    <row r="241" spans="1:7">
      <c r="A241" s="3273" t="s">
        <v>305</v>
      </c>
      <c r="B241" s="3262" t="s">
        <v>2900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2949</v>
      </c>
      <c r="C258" s="3263">
        <v>0.14299999999999999</v>
      </c>
      <c r="D258" s="3263">
        <v>0.14299999999999999</v>
      </c>
      <c r="E258" s="3263">
        <v>0.15</v>
      </c>
      <c r="F258" s="3263">
        <v>0.14799999999999999</v>
      </c>
      <c r="G258" s="3264">
        <v>0.14599999999999999</v>
      </c>
    </row>
    <row r="259" spans="1:7">
      <c r="A259" s="3273" t="s">
        <v>305</v>
      </c>
      <c r="B259" s="3262" t="s">
        <v>2953</v>
      </c>
      <c r="C259" s="3263">
        <v>0.14399999999999999</v>
      </c>
      <c r="D259" s="3263">
        <v>0.14399999999999999</v>
      </c>
      <c r="E259" s="3263">
        <v>0.14899999999999999</v>
      </c>
      <c r="F259" s="3263">
        <v>0.14699999999999999</v>
      </c>
      <c r="G259" s="3264">
        <v>0.14599999999999999</v>
      </c>
    </row>
    <row r="260" spans="1:7">
      <c r="A260" s="3273" t="s">
        <v>305</v>
      </c>
      <c r="B260" s="3262" t="s">
        <v>2960</v>
      </c>
      <c r="C260" s="3263">
        <v>0.109</v>
      </c>
      <c r="D260" s="3263">
        <v>0.111</v>
      </c>
      <c r="E260" s="3263">
        <v>0.13100000000000001</v>
      </c>
      <c r="F260" s="3263">
        <v>0.126</v>
      </c>
      <c r="G260" s="3264">
        <v>0.11899999999999999</v>
      </c>
    </row>
    <row r="261" spans="1:7">
      <c r="A261" s="3273" t="s">
        <v>305</v>
      </c>
      <c r="B261" s="3262" t="s">
        <v>2967</v>
      </c>
      <c r="C261" s="3263">
        <v>0.1</v>
      </c>
      <c r="D261" s="3263">
        <v>0.1</v>
      </c>
      <c r="E261" s="3263">
        <v>0.11799999999999999</v>
      </c>
      <c r="F261" s="3263">
        <v>0.108</v>
      </c>
      <c r="G261" s="3264">
        <v>0.107</v>
      </c>
    </row>
    <row r="262" spans="1:7">
      <c r="A262" s="3273" t="s">
        <v>305</v>
      </c>
      <c r="B262" s="3262" t="s">
        <v>2973</v>
      </c>
      <c r="C262" s="3263">
        <v>0.1</v>
      </c>
      <c r="D262" s="3263">
        <v>0.1</v>
      </c>
      <c r="E262" s="3263">
        <v>0.1</v>
      </c>
      <c r="F262" s="3263">
        <v>0.14099999999999999</v>
      </c>
      <c r="G262" s="3264">
        <v>0.1</v>
      </c>
    </row>
    <row r="263" spans="1:7">
      <c r="A263" s="3273" t="s">
        <v>305</v>
      </c>
      <c r="B263" s="3262" t="s">
        <v>2980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2991</v>
      </c>
      <c r="C265" s="3274"/>
      <c r="D265" s="3274"/>
      <c r="E265" s="3274"/>
      <c r="F265" s="3263">
        <v>0.05</v>
      </c>
      <c r="G265" s="3280"/>
    </row>
    <row r="266" spans="1:7">
      <c r="A266" s="3273" t="s">
        <v>305</v>
      </c>
      <c r="B266" s="3262" t="s">
        <v>2995</v>
      </c>
      <c r="C266" s="3274"/>
      <c r="D266" s="3274"/>
      <c r="E266" s="3274"/>
      <c r="F266" s="3263">
        <v>0.05</v>
      </c>
      <c r="G266" s="3280"/>
    </row>
    <row r="267" spans="1:7">
      <c r="A267" s="3273" t="s">
        <v>305</v>
      </c>
      <c r="B267" s="3262" t="s">
        <v>3000</v>
      </c>
      <c r="C267" s="3274"/>
      <c r="D267" s="3274"/>
      <c r="E267" s="3274"/>
      <c r="F267" s="3263">
        <v>0.05</v>
      </c>
      <c r="G267" s="3280"/>
    </row>
    <row r="268" spans="1:7">
      <c r="A268" s="3273" t="s">
        <v>305</v>
      </c>
      <c r="B268" s="3262" t="s">
        <v>3005</v>
      </c>
      <c r="C268" s="3274"/>
      <c r="D268" s="3274"/>
      <c r="E268" s="3274"/>
      <c r="F268" s="3263">
        <v>0.05</v>
      </c>
      <c r="G268" s="3280"/>
    </row>
    <row r="269" spans="1:7">
      <c r="A269" s="3273" t="s">
        <v>305</v>
      </c>
      <c r="B269" s="3262" t="s">
        <v>3010</v>
      </c>
      <c r="C269" s="3274"/>
      <c r="D269" s="3274"/>
      <c r="E269" s="3274"/>
      <c r="F269" s="3263">
        <v>0.05</v>
      </c>
      <c r="G269" s="3280"/>
    </row>
    <row r="270" spans="1:7">
      <c r="A270" s="3273" t="s">
        <v>305</v>
      </c>
      <c r="B270" s="3262" t="s">
        <v>3015</v>
      </c>
      <c r="C270" s="3274"/>
      <c r="D270" s="3274"/>
      <c r="E270" s="3274"/>
      <c r="F270" s="3263">
        <v>0.05</v>
      </c>
      <c r="G270" s="3280"/>
    </row>
    <row r="271" spans="1:7">
      <c r="A271" s="3273" t="s">
        <v>305</v>
      </c>
      <c r="B271" s="3262" t="s">
        <v>3219</v>
      </c>
      <c r="C271" s="3274"/>
      <c r="D271" s="3274"/>
      <c r="E271" s="3274"/>
      <c r="F271" s="3263">
        <v>0.05</v>
      </c>
      <c r="G271" s="3280"/>
    </row>
    <row r="272" spans="1:7">
      <c r="A272" s="3273" t="s">
        <v>305</v>
      </c>
      <c r="B272" s="3262" t="s">
        <v>3220</v>
      </c>
      <c r="C272" s="3274"/>
      <c r="D272" s="3274"/>
      <c r="E272" s="3274"/>
      <c r="F272" s="3263">
        <v>0.05</v>
      </c>
      <c r="G272" s="3280"/>
    </row>
    <row r="273" spans="1:7">
      <c r="A273" s="3273" t="s">
        <v>305</v>
      </c>
      <c r="B273" s="3262" t="s">
        <v>3221</v>
      </c>
      <c r="C273" s="3274"/>
      <c r="D273" s="3274"/>
      <c r="E273" s="3274"/>
      <c r="F273" s="3263">
        <v>0.05</v>
      </c>
      <c r="G273" s="3280"/>
    </row>
    <row r="274" spans="1:7">
      <c r="A274" s="3273" t="s">
        <v>305</v>
      </c>
      <c r="B274" s="3262" t="s">
        <v>3222</v>
      </c>
      <c r="C274" s="3274"/>
      <c r="D274" s="3274"/>
      <c r="E274" s="3274"/>
      <c r="F274" s="3263">
        <v>0.05</v>
      </c>
      <c r="G274" s="3280"/>
    </row>
    <row r="275" spans="1:7">
      <c r="A275" s="3273" t="s">
        <v>305</v>
      </c>
      <c r="B275" s="3262" t="s">
        <v>3223</v>
      </c>
      <c r="C275" s="3274"/>
      <c r="D275" s="3274"/>
      <c r="E275" s="3274"/>
      <c r="F275" s="3263">
        <v>0.05</v>
      </c>
      <c r="G275" s="3280"/>
    </row>
    <row r="276" spans="1:7" ht="14.25" thickBot="1">
      <c r="A276" s="3276" t="s">
        <v>305</v>
      </c>
      <c r="B276" s="3266" t="s">
        <v>3224</v>
      </c>
      <c r="C276" s="3268"/>
      <c r="D276" s="3268"/>
      <c r="E276" s="3268"/>
      <c r="F276" s="3267">
        <v>0.05</v>
      </c>
      <c r="G276" s="3281"/>
    </row>
    <row r="277" spans="1:7">
      <c r="A277" s="3272" t="s">
        <v>306</v>
      </c>
      <c r="B277" s="3258" t="s">
        <v>2868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2880</v>
      </c>
      <c r="C279" s="3263">
        <v>0.15</v>
      </c>
      <c r="D279" s="3263">
        <v>0.15</v>
      </c>
      <c r="E279" s="3263">
        <v>0.15</v>
      </c>
      <c r="F279" s="3263">
        <v>0.15</v>
      </c>
      <c r="G279" s="3264">
        <v>0.15</v>
      </c>
    </row>
    <row r="280" spans="1:7">
      <c r="A280" s="3273" t="s">
        <v>306</v>
      </c>
      <c r="B280" s="3262" t="s">
        <v>2884</v>
      </c>
      <c r="C280" s="3263">
        <v>0.15</v>
      </c>
      <c r="D280" s="3263">
        <v>0.15</v>
      </c>
      <c r="E280" s="3263">
        <v>0.15</v>
      </c>
      <c r="F280" s="3263">
        <v>0.15</v>
      </c>
      <c r="G280" s="3264">
        <v>0.15</v>
      </c>
    </row>
    <row r="281" spans="1:7">
      <c r="A281" s="3273" t="s">
        <v>306</v>
      </c>
      <c r="B281" s="3262" t="s">
        <v>2888</v>
      </c>
      <c r="C281" s="3263">
        <v>0.15</v>
      </c>
      <c r="D281" s="3263">
        <v>0.15</v>
      </c>
      <c r="E281" s="3263">
        <v>0.15</v>
      </c>
      <c r="F281" s="3263">
        <v>0.15</v>
      </c>
      <c r="G281" s="3264">
        <v>0.15</v>
      </c>
    </row>
    <row r="282" spans="1:7">
      <c r="A282" s="3273" t="s">
        <v>306</v>
      </c>
      <c r="B282" s="3262" t="s">
        <v>2892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2922</v>
      </c>
      <c r="C293" s="3263">
        <v>0.15</v>
      </c>
      <c r="D293" s="3263">
        <v>0.15</v>
      </c>
      <c r="E293" s="3263">
        <v>0.15</v>
      </c>
      <c r="F293" s="3263">
        <v>0.14499999999999999</v>
      </c>
      <c r="G293" s="3264">
        <v>0.15</v>
      </c>
    </row>
    <row r="294" spans="1:7">
      <c r="A294" s="3273" t="s">
        <v>306</v>
      </c>
      <c r="B294" s="3262" t="s">
        <v>2924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2954</v>
      </c>
      <c r="C302" s="3263">
        <v>0.15</v>
      </c>
      <c r="D302" s="3263">
        <v>0.15</v>
      </c>
      <c r="E302" s="3263">
        <v>0.15</v>
      </c>
      <c r="F302" s="3263">
        <v>0.14699999999999999</v>
      </c>
      <c r="G302" s="3264">
        <v>0.15</v>
      </c>
    </row>
    <row r="303" spans="1:7">
      <c r="A303" s="3273" t="s">
        <v>306</v>
      </c>
      <c r="B303" s="3262" t="s">
        <v>2961</v>
      </c>
      <c r="C303" s="3263">
        <v>0.15</v>
      </c>
      <c r="D303" s="3263">
        <v>0.15</v>
      </c>
      <c r="E303" s="3263">
        <v>0.15</v>
      </c>
      <c r="F303" s="3263">
        <v>0.14199999999999999</v>
      </c>
      <c r="G303" s="3264">
        <v>0.15</v>
      </c>
    </row>
    <row r="304" spans="1:7">
      <c r="A304" s="3273" t="s">
        <v>306</v>
      </c>
      <c r="B304" s="3262" t="s">
        <v>2968</v>
      </c>
      <c r="C304" s="3263">
        <v>0.15</v>
      </c>
      <c r="D304" s="3263">
        <v>0.15</v>
      </c>
      <c r="E304" s="3263">
        <v>0.15</v>
      </c>
      <c r="F304" s="3263">
        <v>0.14499999999999999</v>
      </c>
      <c r="G304" s="3264">
        <v>0.15</v>
      </c>
    </row>
    <row r="305" spans="1:7">
      <c r="A305" s="3273" t="s">
        <v>306</v>
      </c>
      <c r="B305" s="3262" t="s">
        <v>2974</v>
      </c>
      <c r="C305" s="3263">
        <v>0.15</v>
      </c>
      <c r="D305" s="3263">
        <v>0.15</v>
      </c>
      <c r="E305" s="3263">
        <v>0.15</v>
      </c>
      <c r="F305" s="3263">
        <v>0.111</v>
      </c>
      <c r="G305" s="3264">
        <v>0.15</v>
      </c>
    </row>
    <row r="306" spans="1:7">
      <c r="A306" s="3273" t="s">
        <v>306</v>
      </c>
      <c r="B306" s="3262" t="s">
        <v>2981</v>
      </c>
      <c r="C306" s="3263">
        <v>0.15</v>
      </c>
      <c r="D306" s="3263">
        <v>0.15</v>
      </c>
      <c r="E306" s="3263">
        <v>0.15</v>
      </c>
      <c r="F306" s="3263">
        <v>0.126</v>
      </c>
      <c r="G306" s="3264">
        <v>0.15</v>
      </c>
    </row>
    <row r="307" spans="1:7">
      <c r="A307" s="3273" t="s">
        <v>306</v>
      </c>
      <c r="B307" s="3262" t="s">
        <v>2986</v>
      </c>
      <c r="C307" s="3263">
        <v>0.15</v>
      </c>
      <c r="D307" s="3263">
        <v>0.15</v>
      </c>
      <c r="E307" s="3263">
        <v>0.15</v>
      </c>
      <c r="F307" s="3263">
        <v>0.12</v>
      </c>
      <c r="G307" s="3264">
        <v>0.15</v>
      </c>
    </row>
    <row r="308" spans="1:7">
      <c r="A308" s="3273" t="s">
        <v>306</v>
      </c>
      <c r="B308" s="3262" t="s">
        <v>2992</v>
      </c>
      <c r="C308" s="3263">
        <v>0.15</v>
      </c>
      <c r="D308" s="3263">
        <v>0.15</v>
      </c>
      <c r="E308" s="3263">
        <v>0.15</v>
      </c>
      <c r="F308" s="3263">
        <v>0.13</v>
      </c>
      <c r="G308" s="3264">
        <v>0.15</v>
      </c>
    </row>
    <row r="309" spans="1:7">
      <c r="A309" s="3273" t="s">
        <v>306</v>
      </c>
      <c r="B309" s="3262" t="s">
        <v>2996</v>
      </c>
      <c r="C309" s="3263">
        <v>0.15</v>
      </c>
      <c r="D309" s="3263">
        <v>0.15</v>
      </c>
      <c r="E309" s="3263">
        <v>0.15</v>
      </c>
      <c r="F309" s="3263">
        <v>0.14099999999999999</v>
      </c>
      <c r="G309" s="3264">
        <v>0.15</v>
      </c>
    </row>
    <row r="310" spans="1:7">
      <c r="A310" s="3273" t="s">
        <v>306</v>
      </c>
      <c r="B310" s="3262" t="s">
        <v>3001</v>
      </c>
      <c r="C310" s="3263">
        <v>0.15</v>
      </c>
      <c r="D310" s="3263">
        <v>0.15</v>
      </c>
      <c r="E310" s="3263">
        <v>0.15</v>
      </c>
      <c r="F310" s="3263">
        <v>0.15</v>
      </c>
      <c r="G310" s="3264">
        <v>0.15</v>
      </c>
    </row>
    <row r="311" spans="1:7">
      <c r="A311" s="3273" t="s">
        <v>306</v>
      </c>
      <c r="B311" s="3262" t="s">
        <v>3006</v>
      </c>
      <c r="C311" s="3263">
        <v>0.13200000000000001</v>
      </c>
      <c r="D311" s="3263">
        <v>0.13300000000000001</v>
      </c>
      <c r="E311" s="3263">
        <v>0.14499999999999999</v>
      </c>
      <c r="F311" s="3263">
        <v>0.14199999999999999</v>
      </c>
      <c r="G311" s="3264">
        <v>0.14000000000000001</v>
      </c>
    </row>
    <row r="312" spans="1:7">
      <c r="A312" s="3273" t="s">
        <v>306</v>
      </c>
      <c r="B312" s="3262" t="s">
        <v>3011</v>
      </c>
      <c r="C312" s="3263">
        <v>0.13800000000000001</v>
      </c>
      <c r="D312" s="3263">
        <v>0.14000000000000001</v>
      </c>
      <c r="E312" s="3263">
        <v>0.14599999999999999</v>
      </c>
      <c r="F312" s="3263">
        <v>0.14899999999999999</v>
      </c>
      <c r="G312" s="3264">
        <v>0.14199999999999999</v>
      </c>
    </row>
    <row r="313" spans="1:7">
      <c r="A313" s="3273" t="s">
        <v>306</v>
      </c>
      <c r="B313" s="3262" t="s">
        <v>3016</v>
      </c>
      <c r="C313" s="3263">
        <v>0.125</v>
      </c>
      <c r="D313" s="3263">
        <v>0.127</v>
      </c>
      <c r="E313" s="3263">
        <v>0.14399999999999999</v>
      </c>
      <c r="F313" s="3263">
        <v>0.115</v>
      </c>
      <c r="G313" s="3264">
        <v>0.13600000000000001</v>
      </c>
    </row>
    <row r="314" spans="1:7">
      <c r="A314" s="3273" t="s">
        <v>306</v>
      </c>
      <c r="B314" s="3262" t="s">
        <v>3225</v>
      </c>
      <c r="C314" s="3279"/>
      <c r="D314" s="3279"/>
      <c r="E314" s="3279"/>
      <c r="F314" s="3263">
        <v>0.05</v>
      </c>
      <c r="G314" s="3280"/>
    </row>
    <row r="315" spans="1:7">
      <c r="A315" s="3273" t="s">
        <v>306</v>
      </c>
      <c r="B315" s="3262" t="s">
        <v>3226</v>
      </c>
      <c r="C315" s="3279"/>
      <c r="D315" s="3279"/>
      <c r="E315" s="3279"/>
      <c r="F315" s="3263">
        <v>0.05</v>
      </c>
      <c r="G315" s="3280"/>
    </row>
    <row r="316" spans="1:7">
      <c r="A316" s="3273" t="s">
        <v>306</v>
      </c>
      <c r="B316" s="3262" t="s">
        <v>3227</v>
      </c>
      <c r="C316" s="3274"/>
      <c r="D316" s="3274"/>
      <c r="E316" s="3274"/>
      <c r="F316" s="3263">
        <v>0.05</v>
      </c>
      <c r="G316" s="3280"/>
    </row>
    <row r="317" spans="1:7">
      <c r="A317" s="3273" t="s">
        <v>306</v>
      </c>
      <c r="B317" s="3262" t="s">
        <v>3228</v>
      </c>
      <c r="C317" s="3274"/>
      <c r="D317" s="3274"/>
      <c r="E317" s="3274"/>
      <c r="F317" s="3263">
        <v>0.05</v>
      </c>
      <c r="G317" s="3280"/>
    </row>
    <row r="318" spans="1:7">
      <c r="A318" s="3273" t="s">
        <v>306</v>
      </c>
      <c r="B318" s="3262" t="s">
        <v>3229</v>
      </c>
      <c r="C318" s="3274"/>
      <c r="D318" s="3274"/>
      <c r="E318" s="3274"/>
      <c r="F318" s="3263">
        <v>0.05</v>
      </c>
      <c r="G318" s="3280"/>
    </row>
    <row r="319" spans="1:7">
      <c r="A319" s="3273" t="s">
        <v>306</v>
      </c>
      <c r="B319" s="3262" t="s">
        <v>3230</v>
      </c>
      <c r="C319" s="3274"/>
      <c r="D319" s="3274"/>
      <c r="E319" s="3274"/>
      <c r="F319" s="3263">
        <v>0.05</v>
      </c>
      <c r="G319" s="3280"/>
    </row>
    <row r="320" spans="1:7">
      <c r="A320" s="3273" t="s">
        <v>306</v>
      </c>
      <c r="B320" s="3262" t="s">
        <v>3231</v>
      </c>
      <c r="C320" s="3274"/>
      <c r="D320" s="3274"/>
      <c r="E320" s="3274"/>
      <c r="F320" s="3263">
        <v>0.05</v>
      </c>
      <c r="G320" s="3280"/>
    </row>
    <row r="321" spans="1:7">
      <c r="A321" s="3273" t="s">
        <v>306</v>
      </c>
      <c r="B321" s="3262" t="s">
        <v>3232</v>
      </c>
      <c r="C321" s="3274"/>
      <c r="D321" s="3274"/>
      <c r="E321" s="3274"/>
      <c r="F321" s="3263">
        <v>0.05</v>
      </c>
      <c r="G321" s="3280"/>
    </row>
    <row r="322" spans="1:7">
      <c r="A322" s="3273" t="s">
        <v>306</v>
      </c>
      <c r="B322" s="3262" t="s">
        <v>3233</v>
      </c>
      <c r="C322" s="3274"/>
      <c r="D322" s="3274"/>
      <c r="E322" s="3274"/>
      <c r="F322" s="3263">
        <v>0.05</v>
      </c>
      <c r="G322" s="3280"/>
    </row>
    <row r="323" spans="1:7">
      <c r="A323" s="3273" t="s">
        <v>306</v>
      </c>
      <c r="B323" s="3262" t="s">
        <v>3234</v>
      </c>
      <c r="C323" s="3274"/>
      <c r="D323" s="3274"/>
      <c r="E323" s="3274"/>
      <c r="F323" s="3263">
        <v>0.05</v>
      </c>
      <c r="G323" s="3280"/>
    </row>
    <row r="324" spans="1:7">
      <c r="A324" s="3273" t="s">
        <v>306</v>
      </c>
      <c r="B324" s="3262" t="s">
        <v>3235</v>
      </c>
      <c r="C324" s="3274"/>
      <c r="D324" s="3274"/>
      <c r="E324" s="3274"/>
      <c r="F324" s="3263">
        <v>0.05</v>
      </c>
      <c r="G324" s="3280"/>
    </row>
    <row r="325" spans="1:7">
      <c r="A325" s="3273" t="s">
        <v>306</v>
      </c>
      <c r="B325" s="3262" t="s">
        <v>3236</v>
      </c>
      <c r="C325" s="3274"/>
      <c r="D325" s="3274"/>
      <c r="E325" s="3274"/>
      <c r="F325" s="3263">
        <v>0.05</v>
      </c>
      <c r="G325" s="3280"/>
    </row>
    <row r="326" spans="1:7" ht="14.25" thickBot="1">
      <c r="A326" s="3276" t="s">
        <v>306</v>
      </c>
      <c r="B326" s="3266" t="s">
        <v>3237</v>
      </c>
      <c r="C326" s="3268"/>
      <c r="D326" s="3268"/>
      <c r="E326" s="3268"/>
      <c r="F326" s="3267">
        <v>0.05</v>
      </c>
      <c r="G326" s="3281"/>
    </row>
    <row r="327" spans="1:7">
      <c r="A327" s="3272" t="s">
        <v>307</v>
      </c>
      <c r="B327" s="3258" t="s">
        <v>2869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2881</v>
      </c>
      <c r="C329" s="3263">
        <v>0.15</v>
      </c>
      <c r="D329" s="3263">
        <v>0.15</v>
      </c>
      <c r="E329" s="3263">
        <v>0.15</v>
      </c>
      <c r="F329" s="3263">
        <v>0.15</v>
      </c>
      <c r="G329" s="3264">
        <v>0.15</v>
      </c>
    </row>
    <row r="330" spans="1:7">
      <c r="A330" s="3273" t="s">
        <v>307</v>
      </c>
      <c r="B330" s="3262" t="s">
        <v>2885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2893</v>
      </c>
      <c r="C332" s="3263">
        <v>0.15</v>
      </c>
      <c r="D332" s="3263">
        <v>0.15</v>
      </c>
      <c r="E332" s="3263">
        <v>0.15</v>
      </c>
      <c r="F332" s="3263">
        <v>0.15</v>
      </c>
      <c r="G332" s="3264">
        <v>0.15</v>
      </c>
    </row>
    <row r="333" spans="1:7">
      <c r="A333" s="3273" t="s">
        <v>307</v>
      </c>
      <c r="B333" s="3262" t="s">
        <v>2897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2903</v>
      </c>
      <c r="C336" s="3263">
        <v>0.15</v>
      </c>
      <c r="D336" s="3263">
        <v>0.15</v>
      </c>
      <c r="E336" s="3263">
        <v>0.15</v>
      </c>
      <c r="F336" s="3263">
        <v>0.14199999999999999</v>
      </c>
      <c r="G336" s="3264">
        <v>0.15</v>
      </c>
    </row>
    <row r="337" spans="1:7">
      <c r="A337" s="3273" t="s">
        <v>307</v>
      </c>
      <c r="B337" s="3262" t="s">
        <v>2908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2928</v>
      </c>
      <c r="C345" s="3263">
        <v>0.15</v>
      </c>
      <c r="D345" s="3263">
        <v>0.15</v>
      </c>
      <c r="E345" s="3263">
        <v>0.15</v>
      </c>
      <c r="F345" s="3263">
        <v>0.13800000000000001</v>
      </c>
      <c r="G345" s="3264">
        <v>0.15</v>
      </c>
    </row>
    <row r="346" spans="1:7">
      <c r="A346" s="3273" t="s">
        <v>307</v>
      </c>
      <c r="B346" s="3262" t="s">
        <v>2930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2937</v>
      </c>
      <c r="C348" s="3263">
        <v>0.15</v>
      </c>
      <c r="D348" s="3263">
        <v>0.15</v>
      </c>
      <c r="E348" s="3263">
        <v>0.15</v>
      </c>
      <c r="F348" s="3263">
        <v>0.14399999999999999</v>
      </c>
      <c r="G348" s="3264">
        <v>0.15</v>
      </c>
    </row>
    <row r="349" spans="1:7">
      <c r="A349" s="3273" t="s">
        <v>307</v>
      </c>
      <c r="B349" s="3262" t="s">
        <v>2942</v>
      </c>
      <c r="C349" s="3263">
        <v>0.15</v>
      </c>
      <c r="D349" s="3263">
        <v>0.15</v>
      </c>
      <c r="E349" s="3263">
        <v>0.15</v>
      </c>
      <c r="F349" s="3263">
        <v>0.15</v>
      </c>
      <c r="G349" s="3264">
        <v>0.15</v>
      </c>
    </row>
    <row r="350" spans="1:7">
      <c r="A350" s="3273" t="s">
        <v>307</v>
      </c>
      <c r="B350" s="3262" t="s">
        <v>2945</v>
      </c>
      <c r="C350" s="3263">
        <v>0.15</v>
      </c>
      <c r="D350" s="3263">
        <v>0.15</v>
      </c>
      <c r="E350" s="3263">
        <v>0.15</v>
      </c>
      <c r="F350" s="3263">
        <v>0.14699999999999999</v>
      </c>
      <c r="G350" s="3264">
        <v>0.15</v>
      </c>
    </row>
    <row r="351" spans="1:7">
      <c r="A351" s="3273" t="s">
        <v>307</v>
      </c>
      <c r="B351" s="3262" t="s">
        <v>2950</v>
      </c>
      <c r="C351" s="3263">
        <v>0.15</v>
      </c>
      <c r="D351" s="3263">
        <v>0.15</v>
      </c>
      <c r="E351" s="3263">
        <v>0.15</v>
      </c>
      <c r="F351" s="3263">
        <v>0.13</v>
      </c>
      <c r="G351" s="3264">
        <v>0.15</v>
      </c>
    </row>
    <row r="352" spans="1:7">
      <c r="A352" s="3273" t="s">
        <v>307</v>
      </c>
      <c r="B352" s="3262" t="s">
        <v>2955</v>
      </c>
      <c r="C352" s="3263">
        <v>0.15</v>
      </c>
      <c r="D352" s="3263">
        <v>0.15</v>
      </c>
      <c r="E352" s="3263">
        <v>0.15</v>
      </c>
      <c r="F352" s="3263">
        <v>0.14599999999999999</v>
      </c>
      <c r="G352" s="3264">
        <v>0.15</v>
      </c>
    </row>
    <row r="353" spans="1:7">
      <c r="A353" s="3273" t="s">
        <v>307</v>
      </c>
      <c r="B353" s="3262" t="s">
        <v>2962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2975</v>
      </c>
      <c r="C355" s="3263">
        <v>0.15</v>
      </c>
      <c r="D355" s="3263">
        <v>0.15</v>
      </c>
      <c r="E355" s="3263">
        <v>0.15</v>
      </c>
      <c r="F355" s="3263">
        <v>0.15</v>
      </c>
      <c r="G355" s="3264">
        <v>0.15</v>
      </c>
    </row>
    <row r="356" spans="1:7">
      <c r="A356" s="3273" t="s">
        <v>307</v>
      </c>
      <c r="B356" s="3262" t="s">
        <v>2982</v>
      </c>
      <c r="C356" s="3263">
        <v>0.15</v>
      </c>
      <c r="D356" s="3263">
        <v>0.15</v>
      </c>
      <c r="E356" s="3263">
        <v>0.15</v>
      </c>
      <c r="F356" s="3263">
        <v>0.15</v>
      </c>
      <c r="G356" s="3264">
        <v>0.15</v>
      </c>
    </row>
    <row r="357" spans="1:7" ht="14.25" thickBot="1">
      <c r="A357" s="3276" t="s">
        <v>307</v>
      </c>
      <c r="B357" s="3266" t="s">
        <v>2987</v>
      </c>
      <c r="C357" s="3267">
        <v>0.126</v>
      </c>
      <c r="D357" s="3267">
        <v>0.127</v>
      </c>
      <c r="E357" s="3267">
        <v>0.14299999999999999</v>
      </c>
      <c r="F357" s="3267">
        <v>0.125</v>
      </c>
      <c r="G357" s="3269">
        <v>0.129</v>
      </c>
    </row>
    <row r="358" spans="1:7">
      <c r="A358" s="3272" t="s">
        <v>2856</v>
      </c>
      <c r="B358" s="3258" t="s">
        <v>2870</v>
      </c>
      <c r="C358" s="3259">
        <v>0.15</v>
      </c>
      <c r="D358" s="3259">
        <v>0.15</v>
      </c>
      <c r="E358" s="3259">
        <v>0.15</v>
      </c>
      <c r="F358" s="3259">
        <v>0.15</v>
      </c>
      <c r="G358" s="3260">
        <v>0.15</v>
      </c>
    </row>
    <row r="359" spans="1:7">
      <c r="A359" s="3273" t="s">
        <v>2856</v>
      </c>
      <c r="B359" s="3262" t="s">
        <v>2876</v>
      </c>
      <c r="C359" s="3263">
        <v>0.1</v>
      </c>
      <c r="D359" s="3263">
        <v>0.1</v>
      </c>
      <c r="E359" s="3263">
        <v>0.1</v>
      </c>
      <c r="F359" s="3263">
        <v>0.1</v>
      </c>
      <c r="G359" s="3264">
        <v>0.1</v>
      </c>
    </row>
    <row r="360" spans="1:7">
      <c r="A360" s="3273" t="s">
        <v>2856</v>
      </c>
      <c r="B360" s="3262" t="s">
        <v>2882</v>
      </c>
      <c r="C360" s="3263">
        <v>0.15</v>
      </c>
      <c r="D360" s="3263">
        <v>0.15</v>
      </c>
      <c r="E360" s="3263">
        <v>0.15</v>
      </c>
      <c r="F360" s="3263">
        <v>0.14899999999999999</v>
      </c>
      <c r="G360" s="3264">
        <v>0.15</v>
      </c>
    </row>
    <row r="361" spans="1:7">
      <c r="A361" s="3273" t="s">
        <v>2856</v>
      </c>
      <c r="B361" s="3262" t="s">
        <v>153</v>
      </c>
      <c r="C361" s="3263">
        <v>0.15</v>
      </c>
      <c r="D361" s="3263">
        <v>0.15</v>
      </c>
      <c r="E361" s="3263">
        <v>0.15</v>
      </c>
      <c r="F361" s="3263">
        <v>0.115</v>
      </c>
      <c r="G361" s="3264">
        <v>0.15</v>
      </c>
    </row>
    <row r="362" spans="1:7">
      <c r="A362" s="3273" t="s">
        <v>2856</v>
      </c>
      <c r="B362" s="3262" t="s">
        <v>2889</v>
      </c>
      <c r="C362" s="3263">
        <v>0.15</v>
      </c>
      <c r="D362" s="3263">
        <v>0.15</v>
      </c>
      <c r="E362" s="3263">
        <v>0.15</v>
      </c>
      <c r="F362" s="3263">
        <v>0.106</v>
      </c>
      <c r="G362" s="3264">
        <v>0.15</v>
      </c>
    </row>
    <row r="363" spans="1:7">
      <c r="A363" s="3273" t="s">
        <v>2856</v>
      </c>
      <c r="B363" s="3262" t="s">
        <v>2894</v>
      </c>
      <c r="C363" s="3263">
        <v>0.15</v>
      </c>
      <c r="D363" s="3263">
        <v>0.15</v>
      </c>
      <c r="E363" s="3263">
        <v>0.15</v>
      </c>
      <c r="F363" s="3263">
        <v>0.14699999999999999</v>
      </c>
      <c r="G363" s="3264">
        <v>0.15</v>
      </c>
    </row>
    <row r="364" spans="1:7">
      <c r="A364" s="3273" t="s">
        <v>2856</v>
      </c>
      <c r="B364" s="3262" t="s">
        <v>2898</v>
      </c>
      <c r="C364" s="3263">
        <v>0.15</v>
      </c>
      <c r="D364" s="3263">
        <v>0.15</v>
      </c>
      <c r="E364" s="3263">
        <v>0.15</v>
      </c>
      <c r="F364" s="3263">
        <v>0.14799999999999999</v>
      </c>
      <c r="G364" s="3264">
        <v>0.15</v>
      </c>
    </row>
    <row r="365" spans="1:7">
      <c r="A365" s="3273" t="s">
        <v>2856</v>
      </c>
      <c r="B365" s="3262" t="s">
        <v>200</v>
      </c>
      <c r="C365" s="3263">
        <v>0.15</v>
      </c>
      <c r="D365" s="3263">
        <v>0.15</v>
      </c>
      <c r="E365" s="3263">
        <v>0.15</v>
      </c>
      <c r="F365" s="3263">
        <v>0.15</v>
      </c>
      <c r="G365" s="3264">
        <v>0.15</v>
      </c>
    </row>
    <row r="366" spans="1:7">
      <c r="A366" s="3273" t="s">
        <v>2856</v>
      </c>
      <c r="B366" s="3262" t="s">
        <v>2901</v>
      </c>
      <c r="C366" s="3263">
        <v>0.15</v>
      </c>
      <c r="D366" s="3263">
        <v>0.15</v>
      </c>
      <c r="E366" s="3263">
        <v>0.15</v>
      </c>
      <c r="F366" s="3263">
        <v>0.15</v>
      </c>
      <c r="G366" s="3264">
        <v>0.15</v>
      </c>
    </row>
    <row r="367" spans="1:7">
      <c r="A367" s="3273" t="s">
        <v>2856</v>
      </c>
      <c r="B367" s="3262" t="s">
        <v>2904</v>
      </c>
      <c r="C367" s="3263">
        <v>0.15</v>
      </c>
      <c r="D367" s="3263">
        <v>0.15</v>
      </c>
      <c r="E367" s="3263">
        <v>0.15</v>
      </c>
      <c r="F367" s="3263">
        <v>0.14699999999999999</v>
      </c>
      <c r="G367" s="3264">
        <v>0.15</v>
      </c>
    </row>
    <row r="368" spans="1:7">
      <c r="A368" s="3273" t="s">
        <v>2856</v>
      </c>
      <c r="B368" s="3262" t="s">
        <v>2909</v>
      </c>
      <c r="C368" s="3263">
        <v>0.15</v>
      </c>
      <c r="D368" s="3263">
        <v>0.15</v>
      </c>
      <c r="E368" s="3263">
        <v>0.15</v>
      </c>
      <c r="F368" s="3263">
        <v>0.13600000000000001</v>
      </c>
      <c r="G368" s="3264">
        <v>0.15</v>
      </c>
    </row>
    <row r="369" spans="1:7">
      <c r="A369" s="3273" t="s">
        <v>2856</v>
      </c>
      <c r="B369" s="3262" t="s">
        <v>214</v>
      </c>
      <c r="C369" s="3263">
        <v>0.15</v>
      </c>
      <c r="D369" s="3263">
        <v>0.15</v>
      </c>
      <c r="E369" s="3263">
        <v>0.15</v>
      </c>
      <c r="F369" s="3263">
        <v>0.14399999999999999</v>
      </c>
      <c r="G369" s="3264">
        <v>0.15</v>
      </c>
    </row>
    <row r="370" spans="1:7">
      <c r="A370" s="3273" t="s">
        <v>2856</v>
      </c>
      <c r="B370" s="3262" t="s">
        <v>221</v>
      </c>
      <c r="C370" s="3263">
        <v>0.15</v>
      </c>
      <c r="D370" s="3263">
        <v>0.15</v>
      </c>
      <c r="E370" s="3263">
        <v>0.15</v>
      </c>
      <c r="F370" s="3263">
        <v>0.14599999999999999</v>
      </c>
      <c r="G370" s="3264">
        <v>0.15</v>
      </c>
    </row>
    <row r="371" spans="1:7">
      <c r="A371" s="3273" t="s">
        <v>2856</v>
      </c>
      <c r="B371" s="3262" t="s">
        <v>229</v>
      </c>
      <c r="C371" s="3263">
        <v>0.15</v>
      </c>
      <c r="D371" s="3263">
        <v>0.15</v>
      </c>
      <c r="E371" s="3263">
        <v>0.15</v>
      </c>
      <c r="F371" s="3263">
        <v>0.12</v>
      </c>
      <c r="G371" s="3264">
        <v>0.15</v>
      </c>
    </row>
    <row r="372" spans="1:7">
      <c r="A372" s="3273" t="s">
        <v>2856</v>
      </c>
      <c r="B372" s="3262" t="s">
        <v>2917</v>
      </c>
      <c r="C372" s="3263">
        <v>0.15</v>
      </c>
      <c r="D372" s="3263">
        <v>0.15</v>
      </c>
      <c r="E372" s="3263">
        <v>0.15</v>
      </c>
      <c r="F372" s="3263">
        <v>0.14299999999999999</v>
      </c>
      <c r="G372" s="3264">
        <v>0.15</v>
      </c>
    </row>
    <row r="373" spans="1:7">
      <c r="A373" s="3273" t="s">
        <v>2856</v>
      </c>
      <c r="B373" s="3262" t="s">
        <v>258</v>
      </c>
      <c r="C373" s="3263">
        <v>0.15</v>
      </c>
      <c r="D373" s="3263">
        <v>0.15</v>
      </c>
      <c r="E373" s="3263">
        <v>0.15</v>
      </c>
      <c r="F373" s="3263">
        <v>0.14599999999999999</v>
      </c>
      <c r="G373" s="3264">
        <v>0.15</v>
      </c>
    </row>
    <row r="374" spans="1:7">
      <c r="A374" s="3273" t="s">
        <v>2856</v>
      </c>
      <c r="B374" s="3262" t="s">
        <v>266</v>
      </c>
      <c r="C374" s="3263">
        <v>0.15</v>
      </c>
      <c r="D374" s="3263">
        <v>0.15</v>
      </c>
      <c r="E374" s="3263">
        <v>0.15</v>
      </c>
      <c r="F374" s="3263">
        <v>0.14399999999999999</v>
      </c>
      <c r="G374" s="3264">
        <v>0.15</v>
      </c>
    </row>
    <row r="375" spans="1:7">
      <c r="A375" s="3273" t="s">
        <v>2856</v>
      </c>
      <c r="B375" s="3262" t="s">
        <v>2925</v>
      </c>
      <c r="C375" s="3263">
        <v>0.15</v>
      </c>
      <c r="D375" s="3263">
        <v>0.15</v>
      </c>
      <c r="E375" s="3263">
        <v>0.15</v>
      </c>
      <c r="F375" s="3263">
        <v>0.13</v>
      </c>
      <c r="G375" s="3264">
        <v>0.15</v>
      </c>
    </row>
    <row r="376" spans="1:7">
      <c r="A376" s="3273" t="s">
        <v>2856</v>
      </c>
      <c r="B376" s="3262" t="s">
        <v>277</v>
      </c>
      <c r="C376" s="3263">
        <v>0.15</v>
      </c>
      <c r="D376" s="3263">
        <v>0.15</v>
      </c>
      <c r="E376" s="3263">
        <v>0.15</v>
      </c>
      <c r="F376" s="3263">
        <v>0.14199999999999999</v>
      </c>
      <c r="G376" s="3264">
        <v>0.15</v>
      </c>
    </row>
    <row r="377" spans="1:7" ht="14.25" thickBot="1">
      <c r="A377" s="3276" t="s">
        <v>2856</v>
      </c>
      <c r="B377" s="3266" t="s">
        <v>2931</v>
      </c>
      <c r="C377" s="3267">
        <v>0.15</v>
      </c>
      <c r="D377" s="3267">
        <v>0.15</v>
      </c>
      <c r="E377" s="3267">
        <v>0.15</v>
      </c>
      <c r="F377" s="3267">
        <v>0.14000000000000001</v>
      </c>
      <c r="G377" s="3269">
        <v>0.15</v>
      </c>
    </row>
    <row r="378" spans="1:7">
      <c r="A378" s="3272" t="s">
        <v>2857</v>
      </c>
      <c r="B378" s="3258" t="s">
        <v>2871</v>
      </c>
      <c r="C378" s="3259">
        <v>0.15</v>
      </c>
      <c r="D378" s="3259">
        <v>0.15</v>
      </c>
      <c r="E378" s="3259">
        <v>0.15</v>
      </c>
      <c r="F378" s="3259">
        <v>0.107</v>
      </c>
      <c r="G378" s="3260">
        <v>0.15</v>
      </c>
    </row>
    <row r="379" spans="1:7">
      <c r="A379" s="3273" t="s">
        <v>2857</v>
      </c>
      <c r="B379" s="3262" t="s">
        <v>2877</v>
      </c>
      <c r="C379" s="3263">
        <v>0.15</v>
      </c>
      <c r="D379" s="3263">
        <v>0.15</v>
      </c>
      <c r="E379" s="3263">
        <v>0.15</v>
      </c>
      <c r="F379" s="3263">
        <v>0.115</v>
      </c>
      <c r="G379" s="3264">
        <v>0.14899999999999999</v>
      </c>
    </row>
    <row r="380" spans="1:7">
      <c r="A380" s="3273" t="s">
        <v>2857</v>
      </c>
      <c r="B380" s="3262" t="s">
        <v>2883</v>
      </c>
      <c r="C380" s="3263">
        <v>0.15</v>
      </c>
      <c r="D380" s="3263">
        <v>0.15</v>
      </c>
      <c r="E380" s="3263">
        <v>0.15</v>
      </c>
      <c r="F380" s="3263">
        <v>0.1</v>
      </c>
      <c r="G380" s="3264">
        <v>0.14799999999999999</v>
      </c>
    </row>
    <row r="381" spans="1:7">
      <c r="A381" s="3273" t="s">
        <v>2857</v>
      </c>
      <c r="B381" s="3262" t="s">
        <v>2886</v>
      </c>
      <c r="C381" s="3263">
        <v>0.15</v>
      </c>
      <c r="D381" s="3263">
        <v>0.15</v>
      </c>
      <c r="E381" s="3263">
        <v>0.15</v>
      </c>
      <c r="F381" s="3263">
        <v>0.126</v>
      </c>
      <c r="G381" s="3264">
        <v>0.15</v>
      </c>
    </row>
    <row r="382" spans="1:7">
      <c r="A382" s="3273" t="s">
        <v>2857</v>
      </c>
      <c r="B382" s="3262" t="s">
        <v>2890</v>
      </c>
      <c r="C382" s="3263">
        <v>0.15</v>
      </c>
      <c r="D382" s="3263">
        <v>0.15</v>
      </c>
      <c r="E382" s="3263">
        <v>0.15</v>
      </c>
      <c r="F382" s="3263">
        <v>0.15</v>
      </c>
      <c r="G382" s="3264">
        <v>0.15</v>
      </c>
    </row>
    <row r="383" spans="1:7">
      <c r="A383" s="3273" t="s">
        <v>2857</v>
      </c>
      <c r="B383" s="3262" t="s">
        <v>2895</v>
      </c>
      <c r="C383" s="3263">
        <v>0.15</v>
      </c>
      <c r="D383" s="3263">
        <v>0.15</v>
      </c>
      <c r="E383" s="3263">
        <v>0.15</v>
      </c>
      <c r="F383" s="3263">
        <v>0.14699999999999999</v>
      </c>
      <c r="G383" s="3264">
        <v>0.15</v>
      </c>
    </row>
    <row r="384" spans="1:7" ht="14.25" thickBot="1">
      <c r="A384" s="3283" t="s">
        <v>2857</v>
      </c>
      <c r="B384" s="3284" t="s">
        <v>2899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ht="15">
      <c r="A1" s="3799" t="s">
        <v>3238</v>
      </c>
      <c r="B1" s="3799"/>
      <c r="C1" s="3799"/>
      <c r="D1" s="3799"/>
      <c r="E1" s="3799"/>
      <c r="F1" s="3800"/>
    </row>
    <row r="2" spans="1:6" ht="15">
      <c r="A2" s="3289" t="s">
        <v>3239</v>
      </c>
      <c r="B2" s="3290"/>
      <c r="C2" s="3290"/>
      <c r="D2" s="3290"/>
      <c r="E2" s="3290"/>
      <c r="F2" s="3290"/>
    </row>
    <row r="3" spans="1:6" ht="15">
      <c r="A3" s="3289" t="s">
        <v>3240</v>
      </c>
      <c r="B3" s="3290"/>
      <c r="C3" s="3290"/>
      <c r="D3" s="3290"/>
      <c r="E3" s="3290"/>
      <c r="F3" s="3291" t="s">
        <v>3241</v>
      </c>
    </row>
    <row r="4" spans="1:6">
      <c r="A4" s="3292" t="s">
        <v>672</v>
      </c>
      <c r="B4" s="3292" t="s">
        <v>673</v>
      </c>
      <c r="C4" s="3292" t="s">
        <v>21</v>
      </c>
      <c r="D4" s="3292" t="s">
        <v>674</v>
      </c>
      <c r="E4" s="3292" t="s">
        <v>3</v>
      </c>
      <c r="F4" s="3292" t="s">
        <v>3242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J44" sqref="J44"/>
    </sheetView>
  </sheetViews>
  <sheetFormatPr defaultRowHeight="13.5"/>
  <cols>
    <col min="1" max="1" width="13.875" customWidth="1"/>
    <col min="11" max="17" width="0" hidden="1" customWidth="1"/>
    <col min="25" max="30" width="0" hidden="1" customWidth="1"/>
  </cols>
  <sheetData>
    <row r="1" spans="1:30">
      <c r="A1" s="3219">
        <f>基准地价修正!G23</f>
        <v>45127</v>
      </c>
      <c r="B1" s="3208" t="s">
        <v>2844</v>
      </c>
      <c r="C1" s="3209"/>
      <c r="D1" s="3209"/>
      <c r="E1" s="3209"/>
      <c r="F1" s="3209"/>
      <c r="G1" s="3209"/>
      <c r="H1" s="3209"/>
      <c r="I1" s="3209"/>
      <c r="J1" s="3163"/>
      <c r="K1" s="3209" t="s">
        <v>454</v>
      </c>
      <c r="L1" s="3209"/>
      <c r="M1" s="3209"/>
      <c r="N1" s="3209"/>
      <c r="O1" s="3209"/>
      <c r="P1" s="3209"/>
      <c r="Q1" s="3163"/>
      <c r="R1" s="3801" t="s">
        <v>456</v>
      </c>
      <c r="S1" s="3802"/>
      <c r="T1" s="3802"/>
      <c r="U1" s="3802"/>
      <c r="V1" s="3802"/>
      <c r="W1" s="3802"/>
      <c r="X1" s="3163"/>
      <c r="Y1" s="3801" t="s">
        <v>457</v>
      </c>
      <c r="Z1" s="3802"/>
      <c r="AA1" s="3802"/>
      <c r="AB1" s="3802"/>
      <c r="AC1" s="3802"/>
      <c r="AD1" s="3802"/>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3378</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3377</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2829</v>
      </c>
    </row>
    <row r="20" spans="1:30" s="3007" customFormat="1"/>
    <row r="21" spans="1:30" s="3207" customFormat="1" ht="12.75">
      <c r="B21" s="3208" t="s">
        <v>2830</v>
      </c>
      <c r="C21" s="3209"/>
      <c r="D21" s="3209"/>
      <c r="E21" s="3209"/>
      <c r="F21" s="3209"/>
      <c r="G21" s="3209"/>
      <c r="H21" s="3209"/>
      <c r="I21" s="3209"/>
      <c r="J21" s="3163"/>
      <c r="K21" s="3209" t="s">
        <v>2831</v>
      </c>
      <c r="L21" s="3209"/>
      <c r="M21" s="3209"/>
      <c r="N21" s="3209"/>
      <c r="O21" s="3209"/>
      <c r="P21" s="3209"/>
      <c r="Q21" s="3163"/>
      <c r="R21" s="3801" t="s">
        <v>2832</v>
      </c>
      <c r="S21" s="3802"/>
      <c r="T21" s="3802"/>
      <c r="U21" s="3802"/>
      <c r="V21" s="3802"/>
      <c r="W21" s="3802"/>
      <c r="X21" s="3163"/>
      <c r="Y21" s="3801" t="s">
        <v>2833</v>
      </c>
      <c r="Z21" s="3802"/>
      <c r="AA21" s="3802"/>
      <c r="AB21" s="3802"/>
      <c r="AC21" s="3802"/>
      <c r="AD21" s="3802"/>
    </row>
    <row r="22" spans="1:30" s="3141" customFormat="1" ht="14.25" thickBot="1">
      <c r="B22" s="3142"/>
      <c r="C22" s="3143"/>
      <c r="D22" s="3144" t="s">
        <v>2834</v>
      </c>
      <c r="E22" s="3145" t="s">
        <v>2835</v>
      </c>
      <c r="F22" s="3145" t="s">
        <v>2836</v>
      </c>
      <c r="G22" s="3145" t="s">
        <v>2837</v>
      </c>
      <c r="H22" s="3145"/>
      <c r="I22" s="3145" t="s">
        <v>2838</v>
      </c>
      <c r="J22" s="3146"/>
      <c r="K22" s="3144" t="s">
        <v>2834</v>
      </c>
      <c r="L22" s="3145" t="s">
        <v>2835</v>
      </c>
      <c r="M22" s="3145" t="s">
        <v>2836</v>
      </c>
      <c r="N22" s="3145" t="s">
        <v>2837</v>
      </c>
      <c r="O22" s="3145"/>
      <c r="P22" s="3145" t="s">
        <v>2838</v>
      </c>
      <c r="Q22" s="3146"/>
      <c r="R22" s="3144" t="s">
        <v>2834</v>
      </c>
      <c r="S22" s="3145" t="s">
        <v>2835</v>
      </c>
      <c r="T22" s="3145" t="s">
        <v>2836</v>
      </c>
      <c r="U22" s="3145" t="s">
        <v>2837</v>
      </c>
      <c r="V22" s="3145"/>
      <c r="W22" s="3145" t="s">
        <v>2838</v>
      </c>
      <c r="X22" s="3146"/>
      <c r="Y22" s="3144" t="s">
        <v>2834</v>
      </c>
      <c r="Z22" s="3145" t="s">
        <v>2835</v>
      </c>
      <c r="AA22" s="3145" t="s">
        <v>2836</v>
      </c>
      <c r="AB22" s="3145" t="s">
        <v>2837</v>
      </c>
      <c r="AC22" s="3145"/>
      <c r="AD22" s="3145" t="s">
        <v>2838</v>
      </c>
    </row>
    <row r="23" spans="1:30" s="3159" customFormat="1" ht="12.75">
      <c r="A23" s="3147" t="s">
        <v>2839</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3376</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3377</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45127</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45097</v>
      </c>
      <c r="D13" s="2820">
        <v>3.55</v>
      </c>
      <c r="E13" s="2820">
        <f>D13</f>
        <v>3.55</v>
      </c>
      <c r="F13" s="2820">
        <f>D13</f>
        <v>3.55</v>
      </c>
      <c r="G13" s="2820">
        <f>D13</f>
        <v>3.55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44795</v>
      </c>
      <c r="D14" s="2815">
        <v>3.65</v>
      </c>
      <c r="E14" s="2815">
        <v>3.65</v>
      </c>
      <c r="F14" s="2815">
        <v>3.65</v>
      </c>
      <c r="G14" s="2815">
        <v>3.65</v>
      </c>
      <c r="H14" s="2815">
        <v>4.3</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44701</v>
      </c>
      <c r="D15" s="2815">
        <v>3.7</v>
      </c>
      <c r="E15" s="2815">
        <f>D15</f>
        <v>3.7</v>
      </c>
      <c r="F15" s="2815">
        <f>D15</f>
        <v>3.7</v>
      </c>
      <c r="G15" s="2815">
        <f>D15</f>
        <v>3.7</v>
      </c>
      <c r="H15" s="2815">
        <v>4.45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44581</v>
      </c>
      <c r="D16" s="2815">
        <v>3.7</v>
      </c>
      <c r="E16" s="2815">
        <f>D16</f>
        <v>3.7</v>
      </c>
      <c r="F16" s="2815">
        <f>D16</f>
        <v>3.7</v>
      </c>
      <c r="G16" s="2815">
        <f>D16</f>
        <v>3.7</v>
      </c>
      <c r="H16" s="2815">
        <v>4.5999999999999996</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44550</v>
      </c>
      <c r="D17" s="2815">
        <v>3.8</v>
      </c>
      <c r="E17" s="2815">
        <f>D17</f>
        <v>3.8</v>
      </c>
      <c r="F17" s="2815">
        <f>D17</f>
        <v>3.8</v>
      </c>
      <c r="G17" s="2815">
        <f>D17</f>
        <v>3.8</v>
      </c>
      <c r="H17" s="2815">
        <v>4.6500000000000004</v>
      </c>
      <c r="I17" s="2815"/>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43941</v>
      </c>
      <c r="D18" s="2815">
        <v>3.85</v>
      </c>
      <c r="E18" s="2815">
        <v>3.85</v>
      </c>
      <c r="F18" s="2815">
        <v>3.85</v>
      </c>
      <c r="G18" s="2815">
        <v>3.85</v>
      </c>
      <c r="H18" s="2815">
        <v>4.6500000000000004</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43881</v>
      </c>
      <c r="D19" s="2815">
        <v>4.05</v>
      </c>
      <c r="E19" s="2815">
        <v>4.05</v>
      </c>
      <c r="F19" s="2815">
        <v>4.05</v>
      </c>
      <c r="G19" s="2815">
        <v>4.05</v>
      </c>
      <c r="H19" s="2815">
        <v>4.75</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43789</v>
      </c>
      <c r="D20" s="2815">
        <v>4.1500000000000004</v>
      </c>
      <c r="E20" s="2815">
        <v>4.1500000000000004</v>
      </c>
      <c r="F20" s="2815">
        <v>4.1500000000000004</v>
      </c>
      <c r="G20" s="2815">
        <v>4.1500000000000004</v>
      </c>
      <c r="H20" s="2815">
        <v>4.8</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43728</v>
      </c>
      <c r="D21" s="2815">
        <v>4.2</v>
      </c>
      <c r="E21" s="2815">
        <v>4.2</v>
      </c>
      <c r="F21" s="2815">
        <v>4.2</v>
      </c>
      <c r="G21" s="2815">
        <v>4.2</v>
      </c>
      <c r="H21" s="2815">
        <v>4.8499999999999996</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t="s">
        <v>2313</v>
      </c>
      <c r="C22" s="2817">
        <v>43697</v>
      </c>
      <c r="D22" s="2818">
        <v>4.25</v>
      </c>
      <c r="E22" s="2818">
        <v>4.25</v>
      </c>
      <c r="F22" s="2818">
        <v>4.25</v>
      </c>
      <c r="G22" s="2818">
        <v>4.25</v>
      </c>
      <c r="H22" s="2818">
        <v>4.8499999999999996</v>
      </c>
      <c r="I22" s="2818"/>
      <c r="J22" s="2818"/>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22"/>
      <c r="C23" s="2823">
        <v>42301</v>
      </c>
      <c r="D23" s="2824">
        <v>4.3499999999999996</v>
      </c>
      <c r="E23" s="2824">
        <v>4.3499999999999996</v>
      </c>
      <c r="F23" s="2824">
        <v>4.75</v>
      </c>
      <c r="G23" s="2824">
        <v>4.75</v>
      </c>
      <c r="H23" s="2824">
        <v>4.9000000000000004</v>
      </c>
      <c r="I23" s="2824"/>
      <c r="J23" s="282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2:E23"/>
  <sheetViews>
    <sheetView workbookViewId="0">
      <selection activeCell="B58" sqref="B58"/>
    </sheetView>
  </sheetViews>
  <sheetFormatPr defaultRowHeight="13.5"/>
  <sheetData>
    <row r="22" spans="3:5">
      <c r="C22" s="3464" t="s">
        <v>3600</v>
      </c>
      <c r="D22" s="3464" t="s">
        <v>3601</v>
      </c>
      <c r="E22" s="3464" t="s">
        <v>3602</v>
      </c>
    </row>
    <row r="23" spans="3:5">
      <c r="C23" s="3464" t="s">
        <v>3603</v>
      </c>
      <c r="D23" s="3464" t="s">
        <v>3604</v>
      </c>
      <c r="E23" s="3464" t="s">
        <v>3605</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42"/>
  <sheetViews>
    <sheetView topLeftCell="B1" workbookViewId="0">
      <selection activeCell="Q51" sqref="Q51"/>
    </sheetView>
  </sheetViews>
  <sheetFormatPr defaultRowHeight="13.5"/>
  <cols>
    <col min="1" max="1" width="22.875" customWidth="1"/>
    <col min="8" max="8" width="13.125" customWidth="1"/>
    <col min="9" max="10" width="0" hidden="1" customWidth="1"/>
    <col min="16" max="16" width="12.625" customWidth="1"/>
  </cols>
  <sheetData>
    <row r="1" spans="1:19">
      <c r="A1" s="3448" t="s">
        <v>3412</v>
      </c>
      <c r="B1" s="3448" t="s">
        <v>3413</v>
      </c>
      <c r="C1" s="3448" t="s">
        <v>3414</v>
      </c>
      <c r="D1" s="3448" t="s">
        <v>3415</v>
      </c>
      <c r="E1" s="3448" t="s">
        <v>3416</v>
      </c>
      <c r="F1" s="3448" t="s">
        <v>3417</v>
      </c>
      <c r="G1" s="3448" t="s">
        <v>3418</v>
      </c>
      <c r="H1" s="3448" t="s">
        <v>3419</v>
      </c>
      <c r="I1" s="3448" t="s">
        <v>3420</v>
      </c>
      <c r="J1" s="3448" t="s">
        <v>3421</v>
      </c>
      <c r="K1" s="3448" t="s">
        <v>3422</v>
      </c>
      <c r="L1" s="3448" t="s">
        <v>3423</v>
      </c>
      <c r="M1" s="3448" t="s">
        <v>3424</v>
      </c>
      <c r="N1" s="3448" t="s">
        <v>3425</v>
      </c>
      <c r="O1" s="3448" t="s">
        <v>3426</v>
      </c>
      <c r="P1" s="3448" t="s">
        <v>3427</v>
      </c>
      <c r="Q1" s="3448" t="s">
        <v>3428</v>
      </c>
    </row>
    <row r="2" spans="1:19" s="3452" customFormat="1">
      <c r="A2" s="3451" t="s">
        <v>3429</v>
      </c>
      <c r="B2" s="3451" t="s">
        <v>3381</v>
      </c>
      <c r="C2" s="3451" t="s">
        <v>3430</v>
      </c>
      <c r="D2" s="3451">
        <v>15459.22</v>
      </c>
      <c r="E2" s="3451">
        <v>52599.12</v>
      </c>
      <c r="F2" s="3451">
        <f>E2/D2</f>
        <v>3.4024433315523037</v>
      </c>
      <c r="G2" s="3451" t="s">
        <v>3431</v>
      </c>
      <c r="H2" s="3451" t="s">
        <v>3432</v>
      </c>
      <c r="I2" s="3448">
        <v>0</v>
      </c>
      <c r="J2" s="3448" t="s">
        <v>3433</v>
      </c>
      <c r="K2" s="3451" t="s">
        <v>3433</v>
      </c>
      <c r="L2" s="3451">
        <v>53100</v>
      </c>
      <c r="M2" s="3451">
        <v>53100</v>
      </c>
      <c r="N2" s="3451">
        <v>10095.23</v>
      </c>
      <c r="O2" s="3451">
        <v>0</v>
      </c>
      <c r="P2" s="3451" t="s">
        <v>3434</v>
      </c>
      <c r="Q2" s="3451" t="s">
        <v>3435</v>
      </c>
      <c r="R2" s="3453" t="s">
        <v>3583</v>
      </c>
      <c r="S2" s="3453" t="s">
        <v>3584</v>
      </c>
    </row>
    <row r="3" spans="1:19">
      <c r="A3" s="3448" t="s">
        <v>3436</v>
      </c>
      <c r="B3" s="3448" t="s">
        <v>3381</v>
      </c>
      <c r="C3" s="3448" t="s">
        <v>3430</v>
      </c>
      <c r="D3" s="3448">
        <v>10610.35</v>
      </c>
      <c r="E3" s="3448">
        <v>47747</v>
      </c>
      <c r="F3" s="3448">
        <v>4.5</v>
      </c>
      <c r="G3" s="3448" t="s">
        <v>3431</v>
      </c>
      <c r="H3" s="3448" t="s">
        <v>3437</v>
      </c>
      <c r="I3" s="3448">
        <v>0</v>
      </c>
      <c r="J3" s="3448" t="s">
        <v>3433</v>
      </c>
      <c r="K3" s="3448" t="s">
        <v>3433</v>
      </c>
      <c r="L3" s="3448">
        <v>134000</v>
      </c>
      <c r="M3" s="3448">
        <v>134000</v>
      </c>
      <c r="N3" s="3448">
        <v>28064.59</v>
      </c>
      <c r="O3" s="3448">
        <v>0</v>
      </c>
      <c r="P3" s="3448" t="s">
        <v>3438</v>
      </c>
      <c r="Q3" s="3448" t="s">
        <v>3435</v>
      </c>
    </row>
    <row r="4" spans="1:19" hidden="1">
      <c r="A4" s="3448" t="s">
        <v>3439</v>
      </c>
      <c r="B4" s="3448" t="s">
        <v>3381</v>
      </c>
      <c r="C4" s="3448" t="s">
        <v>3430</v>
      </c>
      <c r="D4" s="3448">
        <v>67829.210000000006</v>
      </c>
      <c r="E4" s="3448">
        <v>298100</v>
      </c>
      <c r="F4" s="3448">
        <v>4.4000000000000004</v>
      </c>
      <c r="G4" s="3448" t="s">
        <v>3431</v>
      </c>
      <c r="H4" s="3448" t="s">
        <v>3440</v>
      </c>
      <c r="I4" s="3448">
        <v>0</v>
      </c>
      <c r="J4" s="3448" t="s">
        <v>3441</v>
      </c>
      <c r="K4" s="3448" t="s">
        <v>3441</v>
      </c>
      <c r="L4" s="3448">
        <v>680000</v>
      </c>
      <c r="M4" s="3448">
        <v>680000</v>
      </c>
      <c r="N4" s="3448">
        <v>22811.14</v>
      </c>
      <c r="O4" s="3448">
        <v>0</v>
      </c>
      <c r="P4" s="3448" t="s">
        <v>3442</v>
      </c>
      <c r="Q4" s="3448" t="s">
        <v>3435</v>
      </c>
    </row>
    <row r="5" spans="1:19" hidden="1">
      <c r="A5" s="3448" t="s">
        <v>3443</v>
      </c>
      <c r="B5" s="3448" t="s">
        <v>3381</v>
      </c>
      <c r="C5" s="3448" t="s">
        <v>3430</v>
      </c>
      <c r="D5" s="3448">
        <v>101190.07</v>
      </c>
      <c r="E5" s="3448">
        <v>198291</v>
      </c>
      <c r="F5" s="3448" t="s">
        <v>3444</v>
      </c>
      <c r="G5" s="3448" t="s">
        <v>3431</v>
      </c>
      <c r="H5" s="3448" t="s">
        <v>3445</v>
      </c>
      <c r="I5" s="3448">
        <v>0</v>
      </c>
      <c r="J5" s="3448" t="s">
        <v>3446</v>
      </c>
      <c r="K5" s="3448" t="s">
        <v>3446</v>
      </c>
      <c r="L5" s="3448">
        <v>100000</v>
      </c>
      <c r="M5" s="3448">
        <v>100000</v>
      </c>
      <c r="N5" s="3448">
        <v>5043.09</v>
      </c>
      <c r="O5" s="3448">
        <v>0</v>
      </c>
      <c r="P5" s="3448" t="s">
        <v>3447</v>
      </c>
      <c r="Q5" s="3448" t="s">
        <v>3448</v>
      </c>
    </row>
    <row r="6" spans="1:19" s="3452" customFormat="1">
      <c r="A6" s="3451" t="s">
        <v>3449</v>
      </c>
      <c r="B6" s="3451" t="s">
        <v>3381</v>
      </c>
      <c r="C6" s="3451" t="s">
        <v>3430</v>
      </c>
      <c r="D6" s="3451">
        <v>5500.65</v>
      </c>
      <c r="E6" s="3451">
        <v>15401.81</v>
      </c>
      <c r="F6" s="3451" t="s">
        <v>3450</v>
      </c>
      <c r="G6" s="3451" t="s">
        <v>3431</v>
      </c>
      <c r="H6" s="3451" t="s">
        <v>3437</v>
      </c>
      <c r="I6" s="3451">
        <v>0</v>
      </c>
      <c r="J6" s="3451" t="s">
        <v>3451</v>
      </c>
      <c r="K6" s="3451" t="s">
        <v>3451</v>
      </c>
      <c r="L6" s="3451">
        <v>17000</v>
      </c>
      <c r="M6" s="3451">
        <v>17000</v>
      </c>
      <c r="N6" s="3451">
        <v>11037.66</v>
      </c>
      <c r="O6" s="3451">
        <v>0</v>
      </c>
      <c r="P6" s="3451" t="s">
        <v>3452</v>
      </c>
      <c r="Q6" s="3451" t="s">
        <v>3435</v>
      </c>
      <c r="R6" s="3453" t="s">
        <v>3579</v>
      </c>
      <c r="S6" s="3453" t="s">
        <v>3580</v>
      </c>
    </row>
    <row r="7" spans="1:19" hidden="1">
      <c r="A7" s="3448" t="s">
        <v>3453</v>
      </c>
      <c r="B7" s="3448" t="s">
        <v>3381</v>
      </c>
      <c r="C7" s="3448" t="s">
        <v>3430</v>
      </c>
      <c r="D7" s="3448">
        <v>82500</v>
      </c>
      <c r="E7" s="3448">
        <v>165000</v>
      </c>
      <c r="F7" s="3448">
        <v>2</v>
      </c>
      <c r="G7" s="3448" t="s">
        <v>3431</v>
      </c>
      <c r="H7" s="3448" t="s">
        <v>3454</v>
      </c>
      <c r="I7" s="3448">
        <v>0</v>
      </c>
      <c r="J7" s="3448" t="s">
        <v>3455</v>
      </c>
      <c r="K7" s="3448" t="s">
        <v>3455</v>
      </c>
      <c r="L7" s="3448">
        <v>260700</v>
      </c>
      <c r="M7" s="3448">
        <v>260700</v>
      </c>
      <c r="N7" s="3448">
        <v>15800</v>
      </c>
      <c r="O7" s="3448">
        <v>0</v>
      </c>
      <c r="P7" s="3448" t="s">
        <v>3456</v>
      </c>
      <c r="Q7" s="3448" t="s">
        <v>3457</v>
      </c>
    </row>
    <row r="8" spans="1:19">
      <c r="A8" s="3448" t="s">
        <v>3458</v>
      </c>
      <c r="B8" s="3448" t="s">
        <v>3381</v>
      </c>
      <c r="C8" s="3448" t="s">
        <v>3430</v>
      </c>
      <c r="D8" s="3448">
        <v>62796.800000000003</v>
      </c>
      <c r="E8" s="3448">
        <v>275500</v>
      </c>
      <c r="F8" s="3448">
        <v>4.3899999999999997</v>
      </c>
      <c r="G8" s="3448" t="s">
        <v>3431</v>
      </c>
      <c r="H8" s="3448" t="s">
        <v>3437</v>
      </c>
      <c r="I8" s="3448">
        <v>0</v>
      </c>
      <c r="J8" s="3448" t="s">
        <v>3459</v>
      </c>
      <c r="K8" s="3448" t="s">
        <v>3459</v>
      </c>
      <c r="L8" s="3448">
        <v>635800</v>
      </c>
      <c r="M8" s="3448">
        <v>635800</v>
      </c>
      <c r="N8" s="3448">
        <v>23078.04</v>
      </c>
      <c r="O8" s="3448">
        <v>0</v>
      </c>
      <c r="P8" s="3448" t="s">
        <v>3460</v>
      </c>
      <c r="Q8" s="3448" t="s">
        <v>3457</v>
      </c>
    </row>
    <row r="9" spans="1:19" s="3450" customFormat="1" hidden="1">
      <c r="A9" s="3449" t="s">
        <v>3461</v>
      </c>
      <c r="B9" s="3449" t="s">
        <v>3381</v>
      </c>
      <c r="C9" s="3449" t="s">
        <v>3430</v>
      </c>
      <c r="D9" s="3449">
        <v>4800</v>
      </c>
      <c r="E9" s="3449">
        <v>1920</v>
      </c>
      <c r="F9" s="3449" t="s">
        <v>3462</v>
      </c>
      <c r="G9" s="3449" t="s">
        <v>3431</v>
      </c>
      <c r="H9" s="3449" t="s">
        <v>3463</v>
      </c>
      <c r="I9" s="3449">
        <v>0</v>
      </c>
      <c r="J9" s="3449" t="s">
        <v>3464</v>
      </c>
      <c r="K9" s="3449" t="s">
        <v>3464</v>
      </c>
      <c r="L9" s="3449">
        <v>5800</v>
      </c>
      <c r="M9" s="3449">
        <v>5800</v>
      </c>
      <c r="N9" s="3449">
        <v>30208.33</v>
      </c>
      <c r="O9" s="3449">
        <v>0</v>
      </c>
      <c r="P9" s="3449" t="s">
        <v>3465</v>
      </c>
      <c r="Q9" s="3449" t="s">
        <v>3448</v>
      </c>
    </row>
    <row r="10" spans="1:19">
      <c r="A10" s="3448" t="s">
        <v>3466</v>
      </c>
      <c r="B10" s="3448" t="s">
        <v>3381</v>
      </c>
      <c r="C10" s="3448" t="s">
        <v>3430</v>
      </c>
      <c r="D10" s="3448">
        <v>46654.62</v>
      </c>
      <c r="E10" s="3448">
        <v>88643.78</v>
      </c>
      <c r="F10" s="3448">
        <v>1.9</v>
      </c>
      <c r="G10" s="3448" t="s">
        <v>3431</v>
      </c>
      <c r="H10" s="3448" t="s">
        <v>3467</v>
      </c>
      <c r="I10" s="3448">
        <v>0</v>
      </c>
      <c r="J10" s="3448" t="s">
        <v>3468</v>
      </c>
      <c r="K10" s="3448" t="s">
        <v>3468</v>
      </c>
      <c r="L10" s="3448">
        <v>28000</v>
      </c>
      <c r="M10" s="3448">
        <v>28000</v>
      </c>
      <c r="N10" s="3448">
        <v>3158.71</v>
      </c>
      <c r="O10" s="3448">
        <v>0</v>
      </c>
      <c r="P10" s="3448" t="s">
        <v>3469</v>
      </c>
      <c r="Q10" s="3448" t="s">
        <v>3470</v>
      </c>
    </row>
    <row r="11" spans="1:19" hidden="1">
      <c r="A11" s="3448" t="s">
        <v>3471</v>
      </c>
      <c r="B11" s="3448" t="s">
        <v>3381</v>
      </c>
      <c r="C11" s="3448" t="s">
        <v>3430</v>
      </c>
      <c r="D11" s="3448">
        <v>64012.4</v>
      </c>
      <c r="E11" s="3448">
        <v>192037.19</v>
      </c>
      <c r="F11" s="3448">
        <v>3</v>
      </c>
      <c r="G11" s="3448" t="s">
        <v>3431</v>
      </c>
      <c r="H11" s="3448" t="s">
        <v>3472</v>
      </c>
      <c r="I11" s="3448">
        <v>0</v>
      </c>
      <c r="J11" s="3448" t="s">
        <v>3473</v>
      </c>
      <c r="K11" s="3448" t="s">
        <v>3473</v>
      </c>
      <c r="L11" s="3448">
        <v>177000</v>
      </c>
      <c r="M11" s="3448">
        <v>177000</v>
      </c>
      <c r="N11" s="3448">
        <v>9216.9599999999991</v>
      </c>
      <c r="O11" s="3448">
        <v>0</v>
      </c>
      <c r="P11" s="3448" t="s">
        <v>3474</v>
      </c>
      <c r="Q11" s="3448" t="s">
        <v>3457</v>
      </c>
    </row>
    <row r="12" spans="1:19" hidden="1">
      <c r="A12" s="3448" t="s">
        <v>3475</v>
      </c>
      <c r="B12" s="3448" t="s">
        <v>3381</v>
      </c>
      <c r="C12" s="3448" t="s">
        <v>3430</v>
      </c>
      <c r="D12" s="3448">
        <v>32733.22</v>
      </c>
      <c r="E12" s="3448">
        <v>72013.08</v>
      </c>
      <c r="F12" s="3448">
        <v>2.2000000000000002</v>
      </c>
      <c r="G12" s="3448" t="s">
        <v>3431</v>
      </c>
      <c r="H12" s="3448" t="s">
        <v>3445</v>
      </c>
      <c r="I12" s="3448">
        <v>0</v>
      </c>
      <c r="J12" s="3448" t="s">
        <v>3476</v>
      </c>
      <c r="K12" s="3448" t="s">
        <v>3476</v>
      </c>
      <c r="L12" s="3448">
        <v>149000</v>
      </c>
      <c r="M12" s="3448">
        <v>149000</v>
      </c>
      <c r="N12" s="3448">
        <v>20690.689999999999</v>
      </c>
      <c r="O12" s="3448">
        <v>0</v>
      </c>
      <c r="P12" s="3448" t="s">
        <v>3477</v>
      </c>
      <c r="Q12" s="3448" t="s">
        <v>3470</v>
      </c>
    </row>
    <row r="13" spans="1:19" hidden="1">
      <c r="A13" s="3448" t="s">
        <v>3478</v>
      </c>
      <c r="B13" s="3448" t="s">
        <v>3381</v>
      </c>
      <c r="C13" s="3448" t="s">
        <v>3430</v>
      </c>
      <c r="D13" s="3448">
        <v>29506.55</v>
      </c>
      <c r="E13" s="3448">
        <v>64914.41</v>
      </c>
      <c r="F13" s="3448">
        <v>2.2000000000000002</v>
      </c>
      <c r="G13" s="3448" t="s">
        <v>3431</v>
      </c>
      <c r="H13" s="3448" t="s">
        <v>3445</v>
      </c>
      <c r="I13" s="3448">
        <v>0</v>
      </c>
      <c r="J13" s="3448" t="s">
        <v>3476</v>
      </c>
      <c r="K13" s="3448" t="s">
        <v>3476</v>
      </c>
      <c r="L13" s="3448">
        <v>135000</v>
      </c>
      <c r="M13" s="3448">
        <v>135000</v>
      </c>
      <c r="N13" s="3448">
        <v>20796.62</v>
      </c>
      <c r="O13" s="3448">
        <v>0</v>
      </c>
      <c r="P13" s="3448" t="s">
        <v>3479</v>
      </c>
      <c r="Q13" s="3448" t="s">
        <v>3470</v>
      </c>
    </row>
    <row r="14" spans="1:19">
      <c r="A14" s="3448" t="s">
        <v>3480</v>
      </c>
      <c r="B14" s="3448" t="s">
        <v>3381</v>
      </c>
      <c r="C14" s="3448" t="s">
        <v>3430</v>
      </c>
      <c r="D14" s="3448">
        <v>12629.88</v>
      </c>
      <c r="E14" s="3448">
        <v>80000</v>
      </c>
      <c r="F14" s="3448" t="s">
        <v>3481</v>
      </c>
      <c r="G14" s="3448" t="s">
        <v>3431</v>
      </c>
      <c r="H14" s="3448" t="s">
        <v>3437</v>
      </c>
      <c r="I14" s="3448">
        <v>0</v>
      </c>
      <c r="J14" s="3448" t="s">
        <v>3482</v>
      </c>
      <c r="K14" s="3448" t="s">
        <v>3482</v>
      </c>
      <c r="L14" s="3448">
        <v>166000</v>
      </c>
      <c r="M14" s="3448">
        <v>166000</v>
      </c>
      <c r="N14" s="3448">
        <v>20750</v>
      </c>
      <c r="O14" s="3448">
        <v>0</v>
      </c>
      <c r="P14" s="3448" t="s">
        <v>3483</v>
      </c>
      <c r="Q14" s="3448" t="s">
        <v>3435</v>
      </c>
    </row>
    <row r="15" spans="1:19" hidden="1">
      <c r="A15" s="3448" t="s">
        <v>3484</v>
      </c>
      <c r="B15" s="3448" t="s">
        <v>3381</v>
      </c>
      <c r="C15" s="3448" t="s">
        <v>3430</v>
      </c>
      <c r="D15" s="3448">
        <v>5500</v>
      </c>
      <c r="E15" s="3448">
        <v>12100</v>
      </c>
      <c r="F15" s="3448" t="s">
        <v>3485</v>
      </c>
      <c r="G15" s="3448" t="s">
        <v>3431</v>
      </c>
      <c r="H15" s="3448" t="s">
        <v>3445</v>
      </c>
      <c r="I15" s="3448">
        <v>0</v>
      </c>
      <c r="J15" s="3448" t="s">
        <v>3486</v>
      </c>
      <c r="K15" s="3448" t="s">
        <v>3486</v>
      </c>
      <c r="L15" s="3448">
        <v>20000</v>
      </c>
      <c r="M15" s="3448">
        <v>20000</v>
      </c>
      <c r="N15" s="3448">
        <v>16528.93</v>
      </c>
      <c r="O15" s="3448">
        <v>0</v>
      </c>
      <c r="P15" s="3448" t="s">
        <v>3487</v>
      </c>
      <c r="Q15" s="3448" t="s">
        <v>3448</v>
      </c>
    </row>
    <row r="16" spans="1:19" hidden="1">
      <c r="A16" s="3448" t="s">
        <v>3488</v>
      </c>
      <c r="B16" s="3448" t="s">
        <v>3381</v>
      </c>
      <c r="C16" s="3448" t="s">
        <v>3430</v>
      </c>
      <c r="D16" s="3448">
        <v>10000</v>
      </c>
      <c r="E16" s="3448">
        <v>22000</v>
      </c>
      <c r="F16" s="3448" t="s">
        <v>3485</v>
      </c>
      <c r="G16" s="3448" t="s">
        <v>3431</v>
      </c>
      <c r="H16" s="3448" t="s">
        <v>3445</v>
      </c>
      <c r="I16" s="3448">
        <v>0</v>
      </c>
      <c r="J16" s="3448" t="s">
        <v>3489</v>
      </c>
      <c r="K16" s="3448" t="s">
        <v>3489</v>
      </c>
      <c r="L16" s="3448">
        <v>36400</v>
      </c>
      <c r="M16" s="3448">
        <v>36400</v>
      </c>
      <c r="N16" s="3448">
        <v>16545.45</v>
      </c>
      <c r="O16" s="3448">
        <v>0</v>
      </c>
      <c r="P16" s="3448" t="s">
        <v>3490</v>
      </c>
      <c r="Q16" s="3448" t="s">
        <v>3448</v>
      </c>
    </row>
    <row r="17" spans="1:19" hidden="1">
      <c r="A17" s="3448" t="s">
        <v>3491</v>
      </c>
      <c r="B17" s="3448" t="s">
        <v>3381</v>
      </c>
      <c r="C17" s="3448" t="s">
        <v>3430</v>
      </c>
      <c r="D17" s="3448">
        <v>16122.82</v>
      </c>
      <c r="E17" s="3448">
        <v>45143.91</v>
      </c>
      <c r="F17" s="3448" t="s">
        <v>3450</v>
      </c>
      <c r="G17" s="3448" t="s">
        <v>3431</v>
      </c>
      <c r="H17" s="3448" t="s">
        <v>3445</v>
      </c>
      <c r="I17" s="3448">
        <v>0</v>
      </c>
      <c r="J17" s="3448" t="s">
        <v>3492</v>
      </c>
      <c r="K17" s="3448" t="s">
        <v>3492</v>
      </c>
      <c r="L17" s="3448">
        <v>76000</v>
      </c>
      <c r="M17" s="3448">
        <v>76000</v>
      </c>
      <c r="N17" s="3448">
        <v>16835.05</v>
      </c>
      <c r="O17" s="3448">
        <v>0</v>
      </c>
      <c r="P17" s="3448" t="s">
        <v>3493</v>
      </c>
      <c r="Q17" s="3448" t="s">
        <v>3435</v>
      </c>
    </row>
    <row r="18" spans="1:19" hidden="1">
      <c r="A18" s="3448" t="s">
        <v>3494</v>
      </c>
      <c r="B18" s="3448" t="s">
        <v>3381</v>
      </c>
      <c r="C18" s="3448" t="s">
        <v>3430</v>
      </c>
      <c r="D18" s="3448">
        <v>17308.8</v>
      </c>
      <c r="E18" s="3448">
        <v>86544</v>
      </c>
      <c r="F18" s="3448" t="s">
        <v>3495</v>
      </c>
      <c r="G18" s="3448" t="s">
        <v>3431</v>
      </c>
      <c r="H18" s="3448" t="s">
        <v>3445</v>
      </c>
      <c r="I18" s="3448">
        <v>0</v>
      </c>
      <c r="J18" s="3448" t="s">
        <v>3496</v>
      </c>
      <c r="K18" s="3448" t="s">
        <v>3496</v>
      </c>
      <c r="L18" s="3448">
        <v>91400</v>
      </c>
      <c r="M18" s="3448">
        <v>91400</v>
      </c>
      <c r="N18" s="3448">
        <v>10561.1</v>
      </c>
      <c r="O18" s="3448">
        <v>0</v>
      </c>
      <c r="P18" s="3448" t="s">
        <v>3497</v>
      </c>
      <c r="Q18" s="3448" t="s">
        <v>3470</v>
      </c>
    </row>
    <row r="19" spans="1:19" hidden="1">
      <c r="A19" s="3448" t="s">
        <v>3498</v>
      </c>
      <c r="B19" s="3448" t="s">
        <v>3381</v>
      </c>
      <c r="C19" s="3448" t="s">
        <v>3430</v>
      </c>
      <c r="D19" s="3448">
        <v>59169.74</v>
      </c>
      <c r="E19" s="3448">
        <v>130173.43</v>
      </c>
      <c r="F19" s="3448" t="s">
        <v>3485</v>
      </c>
      <c r="G19" s="3448" t="s">
        <v>3431</v>
      </c>
      <c r="H19" s="3448" t="s">
        <v>3445</v>
      </c>
      <c r="I19" s="3448">
        <v>0</v>
      </c>
      <c r="J19" s="3448" t="s">
        <v>3499</v>
      </c>
      <c r="K19" s="3448" t="s">
        <v>3499</v>
      </c>
      <c r="L19" s="3448">
        <v>131600</v>
      </c>
      <c r="M19" s="3448">
        <v>131600</v>
      </c>
      <c r="N19" s="3448">
        <v>10109.59</v>
      </c>
      <c r="O19" s="3448">
        <v>0</v>
      </c>
      <c r="P19" s="3448" t="s">
        <v>3500</v>
      </c>
      <c r="Q19" s="3448" t="s">
        <v>3448</v>
      </c>
    </row>
    <row r="20" spans="1:19">
      <c r="A20" s="3448" t="s">
        <v>3501</v>
      </c>
      <c r="B20" s="3448" t="s">
        <v>3381</v>
      </c>
      <c r="C20" s="3448" t="s">
        <v>3430</v>
      </c>
      <c r="D20" s="3448">
        <v>12066.9</v>
      </c>
      <c r="E20" s="3448">
        <v>18100.349999999999</v>
      </c>
      <c r="F20" s="3448">
        <v>1.5</v>
      </c>
      <c r="G20" s="3448" t="s">
        <v>3431</v>
      </c>
      <c r="H20" s="3448" t="s">
        <v>3437</v>
      </c>
      <c r="I20" s="3448">
        <v>0</v>
      </c>
      <c r="J20" s="3448" t="s">
        <v>3502</v>
      </c>
      <c r="K20" s="3448" t="s">
        <v>3502</v>
      </c>
      <c r="L20" s="3448">
        <v>9400</v>
      </c>
      <c r="M20" s="3448">
        <v>9400</v>
      </c>
      <c r="N20" s="3448">
        <v>5193.2700000000004</v>
      </c>
      <c r="O20" s="3448">
        <v>0</v>
      </c>
      <c r="P20" s="3448" t="s">
        <v>3500</v>
      </c>
      <c r="Q20" s="3448" t="s">
        <v>3448</v>
      </c>
    </row>
    <row r="21" spans="1:19" hidden="1">
      <c r="A21" s="3448" t="s">
        <v>3503</v>
      </c>
      <c r="B21" s="3448" t="s">
        <v>3381</v>
      </c>
      <c r="C21" s="3448" t="s">
        <v>3430</v>
      </c>
      <c r="D21" s="3448">
        <v>15178.6</v>
      </c>
      <c r="E21" s="3448">
        <v>45535.8</v>
      </c>
      <c r="F21" s="3448">
        <v>3</v>
      </c>
      <c r="G21" s="3448" t="s">
        <v>3431</v>
      </c>
      <c r="H21" s="3448" t="s">
        <v>3445</v>
      </c>
      <c r="I21" s="3448">
        <v>0</v>
      </c>
      <c r="J21" s="3448" t="s">
        <v>3504</v>
      </c>
      <c r="K21" s="3448" t="s">
        <v>3504</v>
      </c>
      <c r="L21" s="3448">
        <v>58400</v>
      </c>
      <c r="M21" s="3448">
        <v>58400</v>
      </c>
      <c r="N21" s="3448">
        <v>12825.07</v>
      </c>
      <c r="O21" s="3448">
        <v>0</v>
      </c>
      <c r="P21" s="3448" t="s">
        <v>3505</v>
      </c>
      <c r="Q21" s="3448" t="s">
        <v>3457</v>
      </c>
    </row>
    <row r="22" spans="1:19" hidden="1">
      <c r="A22" s="3448" t="s">
        <v>3506</v>
      </c>
      <c r="B22" s="3448" t="s">
        <v>3381</v>
      </c>
      <c r="C22" s="3448" t="s">
        <v>3430</v>
      </c>
      <c r="D22" s="3448">
        <v>19258.580000000002</v>
      </c>
      <c r="E22" s="3448">
        <v>38517.17</v>
      </c>
      <c r="F22" s="3448">
        <v>2</v>
      </c>
      <c r="G22" s="3448" t="s">
        <v>3431</v>
      </c>
      <c r="H22" s="3448" t="s">
        <v>3445</v>
      </c>
      <c r="I22" s="3448">
        <v>0</v>
      </c>
      <c r="J22" s="3448" t="s">
        <v>3507</v>
      </c>
      <c r="K22" s="3448" t="s">
        <v>3507</v>
      </c>
      <c r="L22" s="3448">
        <v>28400</v>
      </c>
      <c r="M22" s="3448">
        <v>28400</v>
      </c>
      <c r="N22" s="3448">
        <v>7373.34</v>
      </c>
      <c r="O22" s="3448">
        <v>0</v>
      </c>
      <c r="P22" s="3448" t="s">
        <v>3508</v>
      </c>
      <c r="Q22" s="3448" t="s">
        <v>3448</v>
      </c>
    </row>
    <row r="23" spans="1:19" hidden="1">
      <c r="A23" s="3448" t="s">
        <v>3509</v>
      </c>
      <c r="B23" s="3448" t="s">
        <v>3381</v>
      </c>
      <c r="C23" s="3448" t="s">
        <v>3430</v>
      </c>
      <c r="D23" s="3448">
        <v>28547.88</v>
      </c>
      <c r="E23" s="3448">
        <v>51828.53</v>
      </c>
      <c r="F23" s="3448">
        <v>1.82</v>
      </c>
      <c r="G23" s="3448" t="s">
        <v>3431</v>
      </c>
      <c r="H23" s="3448" t="s">
        <v>3445</v>
      </c>
      <c r="I23" s="3448">
        <v>0</v>
      </c>
      <c r="J23" s="3448" t="s">
        <v>3507</v>
      </c>
      <c r="K23" s="3448" t="s">
        <v>3507</v>
      </c>
      <c r="L23" s="3448">
        <v>37700</v>
      </c>
      <c r="M23" s="3448">
        <v>37700</v>
      </c>
      <c r="N23" s="3448">
        <v>7273.99</v>
      </c>
      <c r="O23" s="3448">
        <v>0</v>
      </c>
      <c r="P23" s="3448" t="s">
        <v>3510</v>
      </c>
      <c r="Q23" s="3448" t="s">
        <v>3448</v>
      </c>
    </row>
    <row r="24" spans="1:19" hidden="1">
      <c r="A24" s="3448" t="s">
        <v>3511</v>
      </c>
      <c r="B24" s="3448" t="s">
        <v>3381</v>
      </c>
      <c r="C24" s="3448" t="s">
        <v>3430</v>
      </c>
      <c r="D24" s="3448">
        <v>29991.73</v>
      </c>
      <c r="E24" s="3448">
        <v>119966.93</v>
      </c>
      <c r="F24" s="3448">
        <v>4</v>
      </c>
      <c r="G24" s="3448" t="s">
        <v>3431</v>
      </c>
      <c r="H24" s="3448" t="s">
        <v>3445</v>
      </c>
      <c r="I24" s="3448">
        <v>0</v>
      </c>
      <c r="J24" s="3448" t="s">
        <v>3512</v>
      </c>
      <c r="K24" s="3448" t="s">
        <v>3512</v>
      </c>
      <c r="L24" s="3448">
        <v>165300</v>
      </c>
      <c r="M24" s="3448">
        <v>165300</v>
      </c>
      <c r="N24" s="3448">
        <v>13778.8</v>
      </c>
      <c r="O24" s="3448">
        <v>0</v>
      </c>
      <c r="P24" s="3448" t="s">
        <v>3513</v>
      </c>
      <c r="Q24" s="3448" t="s">
        <v>3435</v>
      </c>
    </row>
    <row r="25" spans="1:19" s="3450" customFormat="1" hidden="1">
      <c r="A25" s="3449" t="s">
        <v>3514</v>
      </c>
      <c r="B25" s="3449" t="s">
        <v>3381</v>
      </c>
      <c r="C25" s="3449" t="s">
        <v>3430</v>
      </c>
      <c r="D25" s="3449">
        <v>15197.52</v>
      </c>
      <c r="E25" s="3449">
        <v>30395.05</v>
      </c>
      <c r="F25" s="3449">
        <v>2</v>
      </c>
      <c r="G25" s="3449" t="s">
        <v>3431</v>
      </c>
      <c r="H25" s="3449" t="s">
        <v>3515</v>
      </c>
      <c r="I25" s="3449" t="s">
        <v>3516</v>
      </c>
      <c r="J25" s="3449" t="s">
        <v>3517</v>
      </c>
      <c r="K25" s="3449" t="s">
        <v>3517</v>
      </c>
      <c r="L25" s="3449">
        <v>42600</v>
      </c>
      <c r="M25" s="3449">
        <v>42600</v>
      </c>
      <c r="N25" s="3449">
        <v>14015.44</v>
      </c>
      <c r="O25" s="3449">
        <v>0</v>
      </c>
      <c r="P25" s="3449" t="s">
        <v>3518</v>
      </c>
      <c r="Q25" s="3449" t="s">
        <v>3457</v>
      </c>
    </row>
    <row r="26" spans="1:19" hidden="1">
      <c r="A26" s="3448" t="s">
        <v>3519</v>
      </c>
      <c r="B26" s="3448" t="s">
        <v>3381</v>
      </c>
      <c r="C26" s="3448" t="s">
        <v>3430</v>
      </c>
      <c r="D26" s="3448">
        <v>38252.550000000003</v>
      </c>
      <c r="E26" s="3448">
        <v>84155.61</v>
      </c>
      <c r="F26" s="3448">
        <v>2.2000000000000002</v>
      </c>
      <c r="G26" s="3448" t="s">
        <v>3431</v>
      </c>
      <c r="H26" s="3448" t="s">
        <v>3445</v>
      </c>
      <c r="I26" s="3448">
        <v>0</v>
      </c>
      <c r="J26" s="3448" t="s">
        <v>3520</v>
      </c>
      <c r="K26" s="3448" t="s">
        <v>3520</v>
      </c>
      <c r="L26" s="3448">
        <v>175000</v>
      </c>
      <c r="M26" s="3448">
        <v>175000</v>
      </c>
      <c r="N26" s="3448">
        <v>20794.810000000001</v>
      </c>
      <c r="O26" s="3448">
        <v>0</v>
      </c>
      <c r="P26" s="3448" t="s">
        <v>3521</v>
      </c>
      <c r="Q26" s="3448" t="s">
        <v>3470</v>
      </c>
    </row>
    <row r="27" spans="1:19" hidden="1">
      <c r="A27" s="3448" t="s">
        <v>3522</v>
      </c>
      <c r="B27" s="3448" t="s">
        <v>3381</v>
      </c>
      <c r="C27" s="3448" t="s">
        <v>3430</v>
      </c>
      <c r="D27" s="3448">
        <v>30025.18</v>
      </c>
      <c r="E27" s="3448">
        <v>66055.39</v>
      </c>
      <c r="F27" s="3448">
        <v>2.2000000000000002</v>
      </c>
      <c r="G27" s="3448" t="s">
        <v>3431</v>
      </c>
      <c r="H27" s="3448" t="s">
        <v>3445</v>
      </c>
      <c r="I27" s="3448">
        <v>0</v>
      </c>
      <c r="J27" s="3448" t="s">
        <v>3520</v>
      </c>
      <c r="K27" s="3448" t="s">
        <v>3520</v>
      </c>
      <c r="L27" s="3448">
        <v>137000</v>
      </c>
      <c r="M27" s="3448">
        <v>137000</v>
      </c>
      <c r="N27" s="3448">
        <v>20740.169999999998</v>
      </c>
      <c r="O27" s="3448">
        <v>0</v>
      </c>
      <c r="P27" s="3448" t="s">
        <v>3523</v>
      </c>
      <c r="Q27" s="3448" t="s">
        <v>3470</v>
      </c>
    </row>
    <row r="28" spans="1:19" hidden="1">
      <c r="A28" s="3448" t="s">
        <v>3524</v>
      </c>
      <c r="B28" s="3448" t="s">
        <v>3381</v>
      </c>
      <c r="C28" s="3448" t="s">
        <v>3430</v>
      </c>
      <c r="D28" s="3448">
        <v>204418.11</v>
      </c>
      <c r="E28" s="3448">
        <v>302000</v>
      </c>
      <c r="F28" s="3448">
        <v>1.5</v>
      </c>
      <c r="G28" s="3448" t="s">
        <v>3431</v>
      </c>
      <c r="H28" s="3448" t="s">
        <v>3445</v>
      </c>
      <c r="I28" s="3448">
        <v>0</v>
      </c>
      <c r="J28" s="3448" t="s">
        <v>3520</v>
      </c>
      <c r="K28" s="3448" t="s">
        <v>3520</v>
      </c>
      <c r="L28" s="3448">
        <v>506700</v>
      </c>
      <c r="M28" s="3448">
        <v>506700</v>
      </c>
      <c r="N28" s="3448">
        <v>16778.150000000001</v>
      </c>
      <c r="O28" s="3448">
        <v>0</v>
      </c>
      <c r="P28" s="3448" t="s">
        <v>3525</v>
      </c>
      <c r="Q28" s="3448" t="s">
        <v>3457</v>
      </c>
    </row>
    <row r="29" spans="1:19">
      <c r="A29" s="3448" t="s">
        <v>3526</v>
      </c>
      <c r="B29" s="3448" t="s">
        <v>3381</v>
      </c>
      <c r="C29" s="3448" t="s">
        <v>3430</v>
      </c>
      <c r="D29" s="3448">
        <v>12136.3</v>
      </c>
      <c r="E29" s="3448">
        <v>42477</v>
      </c>
      <c r="F29" s="3448">
        <v>3.5</v>
      </c>
      <c r="G29" s="3448" t="s">
        <v>3431</v>
      </c>
      <c r="H29" s="3448" t="s">
        <v>3437</v>
      </c>
      <c r="I29" s="3448">
        <v>0</v>
      </c>
      <c r="J29" s="3448" t="s">
        <v>3520</v>
      </c>
      <c r="K29" s="3448" t="s">
        <v>3520</v>
      </c>
      <c r="L29" s="3448">
        <v>71000</v>
      </c>
      <c r="M29" s="3448">
        <v>71000</v>
      </c>
      <c r="N29" s="3448">
        <v>16714.93</v>
      </c>
      <c r="O29" s="3448">
        <v>0</v>
      </c>
      <c r="P29" s="3448" t="s">
        <v>3527</v>
      </c>
      <c r="Q29" s="3448" t="s">
        <v>3457</v>
      </c>
    </row>
    <row r="30" spans="1:19" hidden="1">
      <c r="A30" s="3448" t="s">
        <v>3528</v>
      </c>
      <c r="B30" s="3448" t="s">
        <v>3381</v>
      </c>
      <c r="C30" s="3448" t="s">
        <v>3430</v>
      </c>
      <c r="D30" s="3448">
        <v>5907.54</v>
      </c>
      <c r="E30" s="3448">
        <v>21900</v>
      </c>
      <c r="F30" s="3448">
        <v>3.71</v>
      </c>
      <c r="G30" s="3448" t="s">
        <v>3431</v>
      </c>
      <c r="H30" s="3448" t="s">
        <v>3529</v>
      </c>
      <c r="I30" s="3448">
        <v>0</v>
      </c>
      <c r="J30" s="3448" t="s">
        <v>3520</v>
      </c>
      <c r="K30" s="3448" t="s">
        <v>3520</v>
      </c>
      <c r="L30" s="3448">
        <v>46000</v>
      </c>
      <c r="M30" s="3448">
        <v>46000</v>
      </c>
      <c r="N30" s="3448">
        <v>21004.57</v>
      </c>
      <c r="O30" s="3448">
        <v>0</v>
      </c>
      <c r="P30" s="3448" t="s">
        <v>3530</v>
      </c>
      <c r="Q30" s="3448" t="s">
        <v>3435</v>
      </c>
    </row>
    <row r="31" spans="1:19" hidden="1">
      <c r="A31" s="3448" t="s">
        <v>3531</v>
      </c>
      <c r="B31" s="3448" t="s">
        <v>3381</v>
      </c>
      <c r="C31" s="3448" t="s">
        <v>3430</v>
      </c>
      <c r="D31" s="3448">
        <v>25121.77</v>
      </c>
      <c r="E31" s="3448">
        <v>55267.89</v>
      </c>
      <c r="F31" s="3448">
        <v>2.2000000000000002</v>
      </c>
      <c r="G31" s="3448" t="s">
        <v>3431</v>
      </c>
      <c r="H31" s="3448" t="s">
        <v>3445</v>
      </c>
      <c r="I31" s="3448">
        <v>0</v>
      </c>
      <c r="J31" s="3448" t="s">
        <v>3520</v>
      </c>
      <c r="K31" s="3448" t="s">
        <v>3520</v>
      </c>
      <c r="L31" s="3448">
        <v>115000</v>
      </c>
      <c r="M31" s="3448">
        <v>115000</v>
      </c>
      <c r="N31" s="3448">
        <v>20807.740000000002</v>
      </c>
      <c r="O31" s="3448">
        <v>0</v>
      </c>
      <c r="P31" s="3448" t="s">
        <v>3532</v>
      </c>
      <c r="Q31" s="3448" t="s">
        <v>3470</v>
      </c>
    </row>
    <row r="32" spans="1:19" s="3452" customFormat="1">
      <c r="A32" s="3451" t="s">
        <v>3533</v>
      </c>
      <c r="B32" s="3451" t="s">
        <v>3381</v>
      </c>
      <c r="C32" s="3451" t="s">
        <v>3430</v>
      </c>
      <c r="D32" s="3451">
        <v>17147.95</v>
      </c>
      <c r="E32" s="3451">
        <v>53158.65</v>
      </c>
      <c r="F32" s="3451" t="s">
        <v>3534</v>
      </c>
      <c r="G32" s="3451" t="s">
        <v>3431</v>
      </c>
      <c r="H32" s="3451" t="s">
        <v>3535</v>
      </c>
      <c r="I32" s="3451">
        <v>0</v>
      </c>
      <c r="J32" s="3451" t="s">
        <v>3536</v>
      </c>
      <c r="K32" s="3451" t="s">
        <v>3536</v>
      </c>
      <c r="L32" s="3451">
        <v>69200</v>
      </c>
      <c r="M32" s="3451">
        <v>69200</v>
      </c>
      <c r="N32" s="3451">
        <v>13017.64</v>
      </c>
      <c r="O32" s="3451">
        <v>0</v>
      </c>
      <c r="P32" s="3451" t="s">
        <v>3537</v>
      </c>
      <c r="Q32" s="3451" t="s">
        <v>3457</v>
      </c>
      <c r="R32" s="3453" t="s">
        <v>3581</v>
      </c>
      <c r="S32" s="3453" t="s">
        <v>3582</v>
      </c>
    </row>
    <row r="33" spans="1:17" hidden="1">
      <c r="A33" s="3448" t="s">
        <v>3538</v>
      </c>
      <c r="B33" s="3448" t="s">
        <v>3381</v>
      </c>
      <c r="C33" s="3448" t="s">
        <v>3430</v>
      </c>
      <c r="D33" s="3448">
        <v>22058.78</v>
      </c>
      <c r="E33" s="3448">
        <v>47390</v>
      </c>
      <c r="F33" s="3448" t="s">
        <v>3539</v>
      </c>
      <c r="G33" s="3448" t="s">
        <v>3431</v>
      </c>
      <c r="H33" s="3448" t="s">
        <v>3445</v>
      </c>
      <c r="I33" s="3448">
        <v>0</v>
      </c>
      <c r="J33" s="3448" t="s">
        <v>3540</v>
      </c>
      <c r="K33" s="3448" t="s">
        <v>3540</v>
      </c>
      <c r="L33" s="3448">
        <v>32700</v>
      </c>
      <c r="M33" s="3448">
        <v>32700</v>
      </c>
      <c r="N33" s="3448">
        <v>6900.19</v>
      </c>
      <c r="O33" s="3448">
        <v>0</v>
      </c>
      <c r="P33" s="3448" t="s">
        <v>3541</v>
      </c>
      <c r="Q33" s="3448" t="s">
        <v>3435</v>
      </c>
    </row>
    <row r="34" spans="1:17">
      <c r="A34" s="3448" t="s">
        <v>3542</v>
      </c>
      <c r="B34" s="3448" t="s">
        <v>3381</v>
      </c>
      <c r="C34" s="3448" t="s">
        <v>3430</v>
      </c>
      <c r="D34" s="3448">
        <v>1676.22</v>
      </c>
      <c r="E34" s="3448">
        <v>753.4</v>
      </c>
      <c r="F34" s="3448" t="s">
        <v>3543</v>
      </c>
      <c r="G34" s="3448" t="s">
        <v>3431</v>
      </c>
      <c r="H34" s="3448" t="s">
        <v>3467</v>
      </c>
      <c r="I34" s="3448">
        <v>0</v>
      </c>
      <c r="J34" s="3448" t="s">
        <v>3544</v>
      </c>
      <c r="K34" s="3448" t="s">
        <v>3544</v>
      </c>
      <c r="L34" s="3448">
        <v>550</v>
      </c>
      <c r="M34" s="3448">
        <v>550</v>
      </c>
      <c r="N34" s="3448">
        <v>7300.24</v>
      </c>
      <c r="O34" s="3448">
        <v>0</v>
      </c>
      <c r="P34" s="3448" t="s">
        <v>3545</v>
      </c>
      <c r="Q34" s="3448" t="s">
        <v>3546</v>
      </c>
    </row>
    <row r="35" spans="1:17" hidden="1">
      <c r="A35" s="3448" t="s">
        <v>3547</v>
      </c>
      <c r="B35" s="3448" t="s">
        <v>3381</v>
      </c>
      <c r="C35" s="3448" t="s">
        <v>3430</v>
      </c>
      <c r="D35" s="3448">
        <v>25224.15</v>
      </c>
      <c r="E35" s="3448">
        <v>75672.45</v>
      </c>
      <c r="F35" s="3448" t="s">
        <v>3548</v>
      </c>
      <c r="G35" s="3448" t="s">
        <v>3431</v>
      </c>
      <c r="H35" s="3448" t="s">
        <v>3445</v>
      </c>
      <c r="I35" s="3448">
        <v>0</v>
      </c>
      <c r="J35" s="3448" t="s">
        <v>3549</v>
      </c>
      <c r="K35" s="3448" t="s">
        <v>3549</v>
      </c>
      <c r="L35" s="3448">
        <v>60800</v>
      </c>
      <c r="M35" s="3448">
        <v>60800</v>
      </c>
      <c r="N35" s="3448">
        <v>8034.63</v>
      </c>
      <c r="O35" s="3448">
        <v>0</v>
      </c>
      <c r="P35" s="3448" t="s">
        <v>3550</v>
      </c>
      <c r="Q35" s="3448" t="s">
        <v>3470</v>
      </c>
    </row>
    <row r="36" spans="1:17">
      <c r="A36" s="3448" t="s">
        <v>3551</v>
      </c>
      <c r="B36" s="3448" t="s">
        <v>3381</v>
      </c>
      <c r="C36" s="3448" t="s">
        <v>3430</v>
      </c>
      <c r="D36" s="3448">
        <v>28676.63</v>
      </c>
      <c r="E36" s="3448">
        <v>114706.51</v>
      </c>
      <c r="F36" s="3448" t="s">
        <v>3552</v>
      </c>
      <c r="G36" s="3448" t="s">
        <v>3431</v>
      </c>
      <c r="H36" s="3448" t="s">
        <v>3467</v>
      </c>
      <c r="I36" s="3448">
        <v>0</v>
      </c>
      <c r="J36" s="3448" t="s">
        <v>3553</v>
      </c>
      <c r="K36" s="3448" t="s">
        <v>3553</v>
      </c>
      <c r="L36" s="3448">
        <v>175500</v>
      </c>
      <c r="M36" s="3448">
        <v>175500</v>
      </c>
      <c r="N36" s="3448">
        <v>15299.92</v>
      </c>
      <c r="O36" s="3448">
        <v>0</v>
      </c>
      <c r="P36" s="3448" t="s">
        <v>3554</v>
      </c>
      <c r="Q36" s="3448" t="s">
        <v>3457</v>
      </c>
    </row>
    <row r="37" spans="1:17" hidden="1">
      <c r="A37" s="3448" t="s">
        <v>3555</v>
      </c>
      <c r="B37" s="3448" t="s">
        <v>3381</v>
      </c>
      <c r="C37" s="3448" t="s">
        <v>3430</v>
      </c>
      <c r="D37" s="3448">
        <v>26197.17</v>
      </c>
      <c r="E37" s="3448">
        <v>26500</v>
      </c>
      <c r="F37" s="3448" t="s">
        <v>3556</v>
      </c>
      <c r="G37" s="3448" t="s">
        <v>3557</v>
      </c>
      <c r="H37" s="3448" t="s">
        <v>3445</v>
      </c>
      <c r="I37" s="3448">
        <v>0</v>
      </c>
      <c r="J37" s="3448" t="s">
        <v>3558</v>
      </c>
      <c r="K37" s="3448" t="s">
        <v>3559</v>
      </c>
      <c r="L37" s="3448" t="s">
        <v>633</v>
      </c>
      <c r="M37" s="3448">
        <v>20986.799999999999</v>
      </c>
      <c r="N37" s="3448">
        <v>7919.55</v>
      </c>
      <c r="O37" s="3448" t="s">
        <v>633</v>
      </c>
      <c r="P37" s="3448" t="s">
        <v>3560</v>
      </c>
      <c r="Q37" s="3448" t="s">
        <v>3546</v>
      </c>
    </row>
    <row r="38" spans="1:17">
      <c r="A38" s="3448" t="s">
        <v>3561</v>
      </c>
      <c r="B38" s="3448" t="s">
        <v>3381</v>
      </c>
      <c r="C38" s="3448" t="s">
        <v>3430</v>
      </c>
      <c r="D38" s="3448">
        <v>51788.13</v>
      </c>
      <c r="E38" s="3448">
        <v>184800</v>
      </c>
      <c r="F38" s="3448" t="s">
        <v>3562</v>
      </c>
      <c r="G38" s="3448" t="s">
        <v>3431</v>
      </c>
      <c r="H38" s="3448" t="s">
        <v>3437</v>
      </c>
      <c r="I38" s="3448">
        <v>0</v>
      </c>
      <c r="J38" s="3448" t="s">
        <v>3563</v>
      </c>
      <c r="K38" s="3448" t="s">
        <v>3563</v>
      </c>
      <c r="L38" s="3448">
        <v>570500</v>
      </c>
      <c r="M38" s="3448">
        <v>579500</v>
      </c>
      <c r="N38" s="3448">
        <v>31358.23</v>
      </c>
      <c r="O38" s="3448">
        <v>1.58</v>
      </c>
      <c r="P38" s="3448" t="s">
        <v>3564</v>
      </c>
      <c r="Q38" s="3448" t="s">
        <v>3457</v>
      </c>
    </row>
    <row r="39" spans="1:17" hidden="1">
      <c r="A39" s="3448" t="s">
        <v>3565</v>
      </c>
      <c r="B39" s="3448" t="s">
        <v>3381</v>
      </c>
      <c r="C39" s="3448" t="s">
        <v>3430</v>
      </c>
      <c r="D39" s="3448">
        <v>63225.37</v>
      </c>
      <c r="E39" s="3448">
        <v>120200</v>
      </c>
      <c r="F39" s="3448" t="s">
        <v>3566</v>
      </c>
      <c r="G39" s="3448" t="s">
        <v>3431</v>
      </c>
      <c r="H39" s="3448" t="s">
        <v>3445</v>
      </c>
      <c r="I39" s="3448">
        <v>0</v>
      </c>
      <c r="J39" s="3448" t="s">
        <v>3567</v>
      </c>
      <c r="K39" s="3448" t="s">
        <v>3567</v>
      </c>
      <c r="L39" s="3448">
        <v>88100</v>
      </c>
      <c r="M39" s="3448">
        <v>88100</v>
      </c>
      <c r="N39" s="3448">
        <v>7329.45</v>
      </c>
      <c r="O39" s="3448">
        <v>0</v>
      </c>
      <c r="P39" s="3448" t="s">
        <v>3568</v>
      </c>
      <c r="Q39" s="3448" t="s">
        <v>3448</v>
      </c>
    </row>
    <row r="40" spans="1:17">
      <c r="A40" s="3448" t="s">
        <v>3569</v>
      </c>
      <c r="B40" s="3448" t="s">
        <v>3381</v>
      </c>
      <c r="C40" s="3448" t="s">
        <v>3430</v>
      </c>
      <c r="D40" s="3448">
        <v>5352.65</v>
      </c>
      <c r="E40" s="3448">
        <v>843</v>
      </c>
      <c r="F40" s="3448" t="s">
        <v>3570</v>
      </c>
      <c r="G40" s="3448" t="s">
        <v>3431</v>
      </c>
      <c r="H40" s="3448" t="s">
        <v>3467</v>
      </c>
      <c r="I40" s="3448">
        <v>0</v>
      </c>
      <c r="J40" s="3448" t="s">
        <v>3571</v>
      </c>
      <c r="K40" s="3448" t="s">
        <v>3571</v>
      </c>
      <c r="L40" s="3448">
        <v>1310</v>
      </c>
      <c r="M40" s="3448">
        <v>1310</v>
      </c>
      <c r="N40" s="3448">
        <v>15539.74</v>
      </c>
      <c r="O40" s="3448">
        <v>0</v>
      </c>
      <c r="P40" s="3448" t="s">
        <v>3545</v>
      </c>
      <c r="Q40" s="3448" t="s">
        <v>3546</v>
      </c>
    </row>
    <row r="41" spans="1:17" hidden="1">
      <c r="A41" s="3448" t="s">
        <v>3572</v>
      </c>
      <c r="B41" s="3448" t="s">
        <v>3381</v>
      </c>
      <c r="C41" s="3448" t="s">
        <v>3430</v>
      </c>
      <c r="D41" s="3448">
        <v>36823.82</v>
      </c>
      <c r="E41" s="3448">
        <v>25187</v>
      </c>
      <c r="F41" s="3448" t="s">
        <v>3573</v>
      </c>
      <c r="G41" s="3448" t="s">
        <v>3431</v>
      </c>
      <c r="H41" s="3448" t="s">
        <v>3445</v>
      </c>
      <c r="I41" s="3448">
        <v>0</v>
      </c>
      <c r="J41" s="3448" t="s">
        <v>3571</v>
      </c>
      <c r="K41" s="3448" t="s">
        <v>3571</v>
      </c>
      <c r="L41" s="3448">
        <v>29500</v>
      </c>
      <c r="M41" s="3448">
        <v>29500</v>
      </c>
      <c r="N41" s="3448">
        <v>11712.39</v>
      </c>
      <c r="O41" s="3448">
        <v>0</v>
      </c>
      <c r="P41" s="3448" t="s">
        <v>3574</v>
      </c>
      <c r="Q41" s="3448" t="s">
        <v>3448</v>
      </c>
    </row>
    <row r="42" spans="1:17" hidden="1">
      <c r="A42" s="3448" t="s">
        <v>3575</v>
      </c>
      <c r="B42" s="3448" t="s">
        <v>3381</v>
      </c>
      <c r="C42" s="3448" t="s">
        <v>3430</v>
      </c>
      <c r="D42" s="3448">
        <v>265269.8</v>
      </c>
      <c r="E42" s="3448">
        <v>665975.69999999995</v>
      </c>
      <c r="F42" s="3448" t="s">
        <v>3576</v>
      </c>
      <c r="G42" s="3448" t="s">
        <v>3431</v>
      </c>
      <c r="H42" s="3448" t="s">
        <v>3445</v>
      </c>
      <c r="I42" s="3448">
        <v>0</v>
      </c>
      <c r="J42" s="3448" t="s">
        <v>3577</v>
      </c>
      <c r="K42" s="3448" t="s">
        <v>3577</v>
      </c>
      <c r="L42" s="3448">
        <v>699300</v>
      </c>
      <c r="M42" s="3448">
        <v>699300</v>
      </c>
      <c r="N42" s="3448">
        <v>10500.38</v>
      </c>
      <c r="O42" s="3448">
        <v>0</v>
      </c>
      <c r="P42" s="3448" t="s">
        <v>3578</v>
      </c>
      <c r="Q42" s="3448" t="s">
        <v>3457</v>
      </c>
    </row>
  </sheetData>
  <autoFilter ref="A1:Q42">
    <filterColumn colId="7">
      <filters>
        <filter val="B1商业用地"/>
        <filter val="B2商务用地"/>
        <filter val="B4综合性商业金融服务业用地"/>
        <filter val="F3*其他类多功能用地"/>
      </filters>
    </filterColumn>
  </autoFilter>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 sqref="Q3"/>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1" t="str">
        <f>IF(项目基本情况!B9="房地产市场价值","估价结果一览表","结果表-2")</f>
        <v>估价结果一览表</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房地产市场价值</v>
      </c>
      <c r="I2" s="3492"/>
    </row>
    <row r="3" spans="1:9" ht="15">
      <c r="A3" s="3487"/>
      <c r="B3" s="3487"/>
      <c r="C3" s="3487"/>
      <c r="D3" s="854" t="s">
        <v>925</v>
      </c>
      <c r="E3" s="854" t="s">
        <v>931</v>
      </c>
      <c r="F3" s="854" t="s">
        <v>925</v>
      </c>
      <c r="G3" s="854" t="s">
        <v>926</v>
      </c>
      <c r="H3" s="854" t="s">
        <v>925</v>
      </c>
      <c r="I3" s="854" t="s">
        <v>926</v>
      </c>
    </row>
    <row r="4" spans="1:9" ht="15">
      <c r="A4" s="1504" t="str">
        <f>项目基本情况!S2</f>
        <v>北京市房地产</v>
      </c>
      <c r="B4" s="854">
        <f>项目基本情况!C17</f>
        <v>1216.8699999999999</v>
      </c>
      <c r="C4" s="854">
        <f>项目基本情况!C18</f>
        <v>527.48</v>
      </c>
      <c r="D4" s="854">
        <f ca="1">结果表!D118</f>
        <v>1647</v>
      </c>
      <c r="E4" s="854">
        <f ca="1">结果表!E118</f>
        <v>13535</v>
      </c>
      <c r="F4" s="854">
        <f ca="1">结果表!F118</f>
        <v>486</v>
      </c>
      <c r="G4" s="854">
        <f ca="1">结果表!G118</f>
        <v>3994</v>
      </c>
      <c r="H4" s="854">
        <f ca="1">结果表!H118</f>
        <v>2133</v>
      </c>
      <c r="I4" s="854">
        <f ca="1">结果表!I118</f>
        <v>17529</v>
      </c>
    </row>
    <row r="5" spans="1:9" ht="30" customHeight="1">
      <c r="A5" s="3487" t="s">
        <v>927</v>
      </c>
      <c r="B5" s="3487"/>
      <c r="C5" s="3487"/>
      <c r="D5" s="3487" t="str">
        <f ca="1">结果表!D119</f>
        <v>壹仟陆佰肆拾柒万元整</v>
      </c>
      <c r="E5" s="3487"/>
      <c r="F5" s="3487" t="str">
        <f ca="1">结果表!F119</f>
        <v>肆佰捌拾陆万元整</v>
      </c>
      <c r="G5" s="3487"/>
      <c r="H5" s="3487" t="str">
        <f ca="1">结果表!H119</f>
        <v>贰仟壹佰叁拾叁万元整</v>
      </c>
      <c r="I5" s="3487"/>
    </row>
    <row r="6" spans="1:9" ht="15.75">
      <c r="A6" s="3486" t="str">
        <f>结果表!A120</f>
        <v/>
      </c>
      <c r="B6" s="3486"/>
      <c r="C6" s="3486"/>
      <c r="D6" s="3486">
        <f>结果表!D120</f>
        <v>0</v>
      </c>
      <c r="E6" s="3486"/>
      <c r="F6" s="3486"/>
      <c r="G6" s="3486"/>
      <c r="H6" s="3486"/>
      <c r="I6" s="3486"/>
    </row>
    <row r="7" spans="1:9" ht="15">
      <c r="A7" s="3487" t="s">
        <v>927</v>
      </c>
      <c r="B7" s="3487"/>
      <c r="C7" s="3487"/>
      <c r="D7" s="3488" t="str">
        <f>结果表!D121</f>
        <v>零元整</v>
      </c>
      <c r="E7" s="3489"/>
      <c r="F7" s="3489"/>
      <c r="G7" s="3489"/>
      <c r="H7" s="3489"/>
      <c r="I7" s="3490"/>
    </row>
    <row r="8" spans="1:9" ht="15.75">
      <c r="A8" s="3486" t="str">
        <f>结果表!A122</f>
        <v/>
      </c>
      <c r="B8" s="3486"/>
      <c r="C8" s="3486"/>
      <c r="D8" s="3486">
        <f ca="1">结果表!D122</f>
        <v>2133</v>
      </c>
      <c r="E8" s="3486"/>
      <c r="F8" s="3486"/>
      <c r="G8" s="3486"/>
      <c r="H8" s="3486"/>
      <c r="I8" s="3486"/>
    </row>
    <row r="9" spans="1:9" ht="15">
      <c r="A9" s="3487" t="s">
        <v>927</v>
      </c>
      <c r="B9" s="3487"/>
      <c r="C9" s="3487"/>
      <c r="D9" s="3487" t="str">
        <f ca="1">结果表!D123</f>
        <v>贰仟壹佰叁拾叁万元整</v>
      </c>
      <c r="E9" s="3487"/>
      <c r="F9" s="3487"/>
      <c r="G9" s="3487"/>
      <c r="H9" s="3487"/>
      <c r="I9" s="3487"/>
    </row>
    <row r="10" spans="1:9" ht="15.75">
      <c r="A10" s="3486" t="str">
        <f>结果表!A124</f>
        <v/>
      </c>
      <c r="B10" s="3486"/>
      <c r="C10" s="3486"/>
      <c r="D10" s="3486" t="str">
        <f>结果表!D124</f>
        <v>——</v>
      </c>
      <c r="E10" s="3486"/>
      <c r="F10" s="3486"/>
      <c r="G10" s="3486"/>
      <c r="H10" s="3486"/>
      <c r="I10" s="3486"/>
    </row>
    <row r="11" spans="1:9" ht="15">
      <c r="A11" s="3487" t="s">
        <v>927</v>
      </c>
      <c r="B11" s="3487"/>
      <c r="C11" s="3487"/>
      <c r="D11" s="3487" t="e">
        <f>结果表!D125</f>
        <v>#VALUE!</v>
      </c>
      <c r="E11" s="3487"/>
      <c r="F11" s="3487"/>
      <c r="G11" s="3487"/>
      <c r="H11" s="3487"/>
      <c r="I11" s="3487"/>
    </row>
    <row r="12" spans="1:9" ht="15.75">
      <c r="A12" s="3486" t="str">
        <f>结果表!A126</f>
        <v/>
      </c>
      <c r="B12" s="3486"/>
      <c r="C12" s="3486"/>
      <c r="D12" s="3486" t="str">
        <f>结果表!D126</f>
        <v>——</v>
      </c>
      <c r="E12" s="3486"/>
      <c r="F12" s="3486"/>
      <c r="G12" s="3486"/>
      <c r="H12" s="3486"/>
      <c r="I12" s="3486"/>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9" t="s">
        <v>949</v>
      </c>
      <c r="B1" s="3499"/>
      <c r="C1" s="3499"/>
      <c r="D1" s="3499"/>
    </row>
    <row r="2" spans="1:4" ht="18">
      <c r="A2" s="3500" t="s">
        <v>933</v>
      </c>
      <c r="B2" s="3500"/>
      <c r="C2" s="3500"/>
      <c r="D2" s="350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0" t="s">
        <v>939</v>
      </c>
      <c r="B6" s="3500"/>
      <c r="C6" s="3500"/>
      <c r="D6" s="350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1"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8"/>
      <c r="C12" s="3498"/>
      <c r="D12" s="3498"/>
    </row>
    <row r="13" spans="1:4" ht="30" customHeight="1">
      <c r="A13" s="3493" t="str">
        <f>IF(项目基本情况!B8="抵押","3.抵押双方在办理抵押登记手续时，应使用本公司出具的正式《房地产评估报告》，特提醒报告使用者注意。","——")</f>
        <v>——</v>
      </c>
      <c r="B13" s="3498"/>
      <c r="C13" s="3498"/>
      <c r="D13" s="3498"/>
    </row>
    <row r="14" spans="1:4" ht="15.75" customHeight="1">
      <c r="A14" s="3493" t="str">
        <f>IF(项目基本情况!B8="抵押","4.本次评估估价师所知悉的法定优先受偿款情况说明如下：","——")</f>
        <v>——</v>
      </c>
      <c r="B14" s="3498"/>
      <c r="C14" s="3498"/>
      <c r="D14" s="3498"/>
    </row>
    <row r="15" spans="1:4" ht="42" customHeight="1">
      <c r="A15" s="3493" t="str">
        <f>IF(项目基本情况!B8="抵押","（1）"&amp;CONCATENATE(项目基本情况!L20,项目基本情况!L21,项目基本情况!L22),"——")</f>
        <v>——</v>
      </c>
      <c r="B15" s="3493"/>
      <c r="C15" s="3493"/>
      <c r="D15" s="3493"/>
    </row>
    <row r="16" spans="1:4" ht="30" customHeight="1">
      <c r="A16" s="3495" t="s">
        <v>943</v>
      </c>
      <c r="B16" s="3495"/>
      <c r="C16" s="3495"/>
      <c r="D16" s="3495"/>
    </row>
    <row r="17" spans="1:4" ht="144" customHeight="1">
      <c r="A17" s="3495" t="s">
        <v>944</v>
      </c>
      <c r="B17" s="3495"/>
      <c r="C17" s="3495"/>
      <c r="D17" s="3495"/>
    </row>
    <row r="18" spans="1:4" ht="15.75" customHeight="1">
      <c r="A18" s="3493" t="str">
        <f>IF(项目基本情况!B8="抵押",结果表!K120,"——")</f>
        <v>——</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7" t="s">
        <v>956</v>
      </c>
      <c r="B15" s="3502" t="s">
        <v>109</v>
      </c>
      <c r="C15" s="3503"/>
    </row>
    <row r="16" spans="1:7" ht="13.5">
      <c r="A16" s="3508"/>
      <c r="B16" s="3502" t="s">
        <v>42</v>
      </c>
      <c r="C16" s="3503"/>
    </row>
    <row r="17" spans="1:3" ht="13.5">
      <c r="A17" s="3508"/>
      <c r="B17" s="3505" t="s">
        <v>957</v>
      </c>
      <c r="C17" s="1531" t="s">
        <v>956</v>
      </c>
    </row>
    <row r="18" spans="1:3" ht="13.5">
      <c r="A18" s="3508"/>
      <c r="B18" s="3505"/>
      <c r="C18" s="1531" t="s">
        <v>958</v>
      </c>
    </row>
    <row r="19" spans="1:3" ht="13.5">
      <c r="A19" s="3508"/>
      <c r="B19" s="3505"/>
      <c r="C19" s="1531" t="s">
        <v>959</v>
      </c>
    </row>
    <row r="20" spans="1:3" ht="13.5">
      <c r="A20" s="3509"/>
      <c r="B20" s="3504" t="s">
        <v>960</v>
      </c>
      <c r="C20" s="3503"/>
    </row>
    <row r="21" spans="1:3" ht="13.5">
      <c r="A21" s="1532" t="s">
        <v>961</v>
      </c>
      <c r="B21" s="1533"/>
      <c r="C21" s="1534"/>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1" t="s">
        <v>967</v>
      </c>
    </row>
    <row r="26" spans="1:3" ht="13.5">
      <c r="A26" s="3506"/>
      <c r="B26" s="3505"/>
      <c r="C26" s="1531" t="s">
        <v>968</v>
      </c>
    </row>
    <row r="27" spans="1:3" ht="13.5">
      <c r="A27" s="3506"/>
      <c r="B27" s="3505"/>
      <c r="C27" s="1531" t="s">
        <v>969</v>
      </c>
    </row>
    <row r="28" spans="1:3" ht="13.5">
      <c r="A28" s="3506"/>
      <c r="B28" s="3505"/>
      <c r="C28" s="1531" t="s">
        <v>970</v>
      </c>
    </row>
    <row r="29" spans="1:3" ht="13.5">
      <c r="A29" s="3506"/>
      <c r="B29" s="3505"/>
      <c r="C29" s="1531" t="s">
        <v>971</v>
      </c>
    </row>
    <row r="30" spans="1:3" ht="13.5">
      <c r="A30" s="3506"/>
      <c r="B30" s="3505"/>
      <c r="C30" s="1531" t="s">
        <v>972</v>
      </c>
    </row>
    <row r="31" spans="1:3" ht="13.5">
      <c r="A31" s="3506"/>
      <c r="B31" s="3505"/>
      <c r="C31" s="1531" t="s">
        <v>973</v>
      </c>
    </row>
    <row r="32" spans="1:3" ht="13.5">
      <c r="A32" s="3506"/>
      <c r="B32" s="3505"/>
      <c r="C32" s="1531" t="s">
        <v>974</v>
      </c>
    </row>
    <row r="33" spans="1:3" ht="13.5">
      <c r="A33" s="3506"/>
      <c r="B33" s="350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45128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2"/>
      <c r="E18" s="3512" t="s">
        <v>2162</v>
      </c>
      <c r="F18" s="3511"/>
      <c r="G18" s="351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市调</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2023-07-21T02:25:53Z</dcterms:modified>
</cp:coreProperties>
</file>