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面积表及商业修正表" sheetId="78"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办公" sheetId="9" r:id="rId19"/>
    <sheet name="成本法 (元)" sheetId="69" state="hidden" r:id="rId20"/>
    <sheet name="假设开发法" sheetId="12" state="hidden" r:id="rId21"/>
    <sheet name="收益法 (元)" sheetId="67" state="hidden" r:id="rId22"/>
    <sheet name="比较法-办公" sheetId="34" r:id="rId23"/>
    <sheet name="收益法办公" sheetId="15" r:id="rId24"/>
    <sheet name="酒店收入计算" sheetId="66" state="hidden" r:id="rId25"/>
    <sheet name="比较法-住宅" sheetId="21" state="hidden" r:id="rId26"/>
    <sheet name="比较法-办公 (租金)" sheetId="83" r:id="rId27"/>
    <sheet name="结果表商业" sheetId="79" state="hidden" r:id="rId28"/>
    <sheet name="比较法-商业" sheetId="33" state="hidden" r:id="rId29"/>
    <sheet name="收益法商业" sheetId="82" state="hidden" r:id="rId30"/>
    <sheet name="比较法-工业" sheetId="37" state="hidden" r:id="rId31"/>
    <sheet name="比较法-车位" sheetId="35" state="hidden" r:id="rId32"/>
    <sheet name="比较法-商业 (租金)" sheetId="84" state="hidden" r:id="rId33"/>
    <sheet name="典型户型修正" sheetId="31" state="hidden" r:id="rId34"/>
    <sheet name="结果表仓储" sheetId="80" state="hidden" r:id="rId35"/>
    <sheet name="收益法（汇总）" sheetId="70" state="hidden" r:id="rId36"/>
    <sheet name="成本法" sheetId="68" state="hidden" r:id="rId37"/>
    <sheet name="收益法仓储" sheetId="81" state="hidden" r:id="rId38"/>
    <sheet name="比较法-仓储" sheetId="36" state="hidden" r:id="rId39"/>
    <sheet name="土地比较法-住宅、综合" sheetId="39" state="hidden" r:id="rId40"/>
    <sheet name="土地比较法-工业" sheetId="40" state="hidden" r:id="rId41"/>
    <sheet name="基准地价修正" sheetId="43" state="hidden" r:id="rId42"/>
    <sheet name="修正" sheetId="45" state="hidden" r:id="rId43"/>
    <sheet name="容积率修正" sheetId="46" state="hidden" r:id="rId44"/>
    <sheet name="基准地价（汇总）" sheetId="76" state="hidden" r:id="rId45"/>
    <sheet name="地价" sheetId="7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案例" sheetId="77" r:id="rId52"/>
  </sheets>
  <externalReferences>
    <externalReference r:id="rId53"/>
  </externalReferences>
  <definedNames>
    <definedName name="_xlnm._FilterDatabase" localSheetId="22" hidden="1">'比较法-办公'!$A$1:$L$50</definedName>
    <definedName name="_xlnm._FilterDatabase" localSheetId="26" hidden="1">'比较法-办公 (租金)'!$A$1:$L$50</definedName>
    <definedName name="_xlnm._FilterDatabase" localSheetId="38"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32" hidden="1">'比较法-商业 (租金)'!$A$1:$L$49</definedName>
    <definedName name="_xlnm._FilterDatabase" localSheetId="25"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 (元)'!$A$1:$AK$69</definedName>
    <definedName name="_xlnm.Print_Area" localSheetId="23">收益法办公!$A$1:$AK$69</definedName>
    <definedName name="_xlnm.Print_Area" localSheetId="37">收益法仓储!$A$1:$AK$69</definedName>
    <definedName name="_xlnm.Print_Area" localSheetId="29">收益法商业!$A$1:$AK$69</definedName>
    <definedName name="_xlnm.Print_Area" localSheetId="14">'数据-汇总表'!$A$1:$P$32</definedName>
    <definedName name="八级">区片价!$O$1:$O$40</definedName>
    <definedName name="办公层高" localSheetId="26">'比较法-办公 (租金)'!$B$119:$M$119</definedName>
    <definedName name="办公层高" localSheetId="11">'[1]比较法-办公'!$B$119:$M$119</definedName>
    <definedName name="办公层高">'比较法-办公'!$B$119:$M$119</definedName>
    <definedName name="办公朝向" localSheetId="26">'比较法-办公 (租金)'!$B$91:$M$91</definedName>
    <definedName name="办公朝向" localSheetId="11">'[1]比较法-办公'!$B$91:$M$91</definedName>
    <definedName name="办公朝向">'比较法-办公'!$B$91:$M$91</definedName>
    <definedName name="办公道路级别" localSheetId="26">'比较法-办公 (租金)'!$B$87:$M$87</definedName>
    <definedName name="办公道路级别" localSheetId="11">'[1]比较法-办公'!$B$87:$M$87</definedName>
    <definedName name="办公道路级别">'比较法-办公'!$B$87:$M$87</definedName>
    <definedName name="办公公共部分装修" localSheetId="26">'比较法-办公 (租金)'!$B$108:$M$108</definedName>
    <definedName name="办公公共部分装修" localSheetId="11">'[1]比较法-办公'!$B$108:$M$108</definedName>
    <definedName name="办公公共部分装修">'比较法-办公'!$B$108:$M$108</definedName>
    <definedName name="办公基础设施水平" localSheetId="26">'比较法-办公 (租金)'!$B$117:$M$117</definedName>
    <definedName name="办公基础设施水平" localSheetId="11">'[1]比较法-办公'!$B$117:$M$117</definedName>
    <definedName name="办公基础设施水平">'比较法-办公'!$B$117:$M$117</definedName>
    <definedName name="办公集聚程度" localSheetId="11">[1]定义!$M$1:$M$6</definedName>
    <definedName name="办公集聚程度">定义!$M$1:$M$6</definedName>
    <definedName name="办公建筑结构" localSheetId="26">'比较法-办公 (租金)'!$B$106:$M$106</definedName>
    <definedName name="办公建筑结构" localSheetId="11">'[1]比较法-办公'!$B$106:$M$106</definedName>
    <definedName name="办公建筑结构">'比较法-办公'!$B$106:$M$106</definedName>
    <definedName name="办公建筑类型" localSheetId="26">'比较法-办公 (租金)'!$B$101:$M$101</definedName>
    <definedName name="办公建筑类型" localSheetId="11">'[1]比较法-办公'!$B$101:$M$101</definedName>
    <definedName name="办公建筑类型">'比较法-办公'!$B$101:$M$101</definedName>
    <definedName name="办公交易情况" localSheetId="26">'比较法-办公 (租金)'!$A$62:$M$62</definedName>
    <definedName name="办公交易情况" localSheetId="11">'[1]比较法-办公'!$A$62:$M$62</definedName>
    <definedName name="办公交易情况">'比较法-办公'!$A$62:$M$62</definedName>
    <definedName name="办公楼层" localSheetId="26">'比较法-办公 (租金)'!$B$89:$M$89</definedName>
    <definedName name="办公楼层" localSheetId="11">'[1]比较法-办公'!$B$89:$M$89</definedName>
    <definedName name="办公楼层">'比较法-办公'!$B$89:$M$89</definedName>
    <definedName name="办公内部装修" localSheetId="26">'比较法-办公 (租金)'!$B$123:$M$123</definedName>
    <definedName name="办公内部装修" localSheetId="11">'[1]比较法-办公'!$B$123:$M$123</definedName>
    <definedName name="办公内部装修">'比较法-办公'!$B$123:$M$123</definedName>
    <definedName name="办公物业管理" localSheetId="26">'比较法-办公 (租金)'!$B$115:$M$115</definedName>
    <definedName name="办公物业管理" localSheetId="11">'[1]比较法-办公'!$B$115:$M$115</definedName>
    <definedName name="办公物业管理">'比较法-办公'!$B$115:$M$115</definedName>
    <definedName name="办公用途" localSheetId="26">'比较法-办公 (租金)'!$B$64:$M$64</definedName>
    <definedName name="办公用途" localSheetId="11">'[1]比较法-办公'!$B$64:$M$64</definedName>
    <definedName name="办公用途">'比较法-办公'!$B$64:$M$64</definedName>
    <definedName name="仓储公共部分装修" localSheetId="11">'[1]比较法-仓储'!$B$77:$M$77</definedName>
    <definedName name="仓储公共部分装修">'比较法-仓储'!$B$77:$M$77</definedName>
    <definedName name="仓储交易情况" localSheetId="11">'[1]比较法-仓储'!$A$49:$M$49</definedName>
    <definedName name="仓储交易情况">'比较法-仓储'!$A$49:$M$49</definedName>
    <definedName name="仓储楼层" localSheetId="11">'[1]比较法-仓储'!$B$69:$M$69</definedName>
    <definedName name="仓储楼层">'比较法-仓储'!$B$69:$M$69</definedName>
    <definedName name="仓储物业等级" localSheetId="11">'[1]比较法-仓储'!$B$82:$M$82</definedName>
    <definedName name="仓储物业等级">'比较法-仓储'!$B$82:$M$82</definedName>
    <definedName name="仓储用途" localSheetId="11">'[1]比较法-仓储'!$B$51:$M$51</definedName>
    <definedName name="仓储用途">'比较法-仓储'!$B$51:$M$51</definedName>
    <definedName name="产业集聚程度" localSheetId="11">[1]定义!$N$1:$N$6</definedName>
    <definedName name="产业集聚程度">定义!$N$1:$N$6</definedName>
    <definedName name="车位公共部分装修" localSheetId="11">'[1]比较法-车位'!$B$83:$M$83</definedName>
    <definedName name="车位公共部分装修">'比较法-车位'!$B$83:$M$83</definedName>
    <definedName name="车位交易情况" localSheetId="11">'[1]比较法-车位'!$A$51:$M$51</definedName>
    <definedName name="车位交易情况">'比较法-车位'!$A$51:$M$51</definedName>
    <definedName name="车位类型" localSheetId="11">'[1]比较法-车位'!$B$93:$M$93</definedName>
    <definedName name="车位类型">'比较法-车位'!$B$93:$M$93</definedName>
    <definedName name="车位楼层" localSheetId="11">'[1]比较法-车位'!$B$71:$M$71</definedName>
    <definedName name="车位楼层">'比较法-车位'!$B$71:$M$71</definedName>
    <definedName name="车位配套类型" localSheetId="11">'[1]比较法-车位'!$B$79:$M$79</definedName>
    <definedName name="车位配套类型">'比较法-车位'!$B$79:$M$79</definedName>
    <definedName name="车位物业等级" localSheetId="11">'[1]比较法-车位'!$B$88:$M$88</definedName>
    <definedName name="车位物业等级">'比较法-车位'!$B$88:$M$88</definedName>
    <definedName name="车位用途" localSheetId="11">'[1]比较法-车位'!$B$53:$M$53</definedName>
    <definedName name="车位用途">'比较法-车位'!$B$53:$M$53</definedName>
    <definedName name="城镇土地纳税等级分级范围" localSheetId="11">'[1]数据-取费表'!$A$53:$A$63</definedName>
    <definedName name="城镇土地纳税等级分级范围">'数据-取费表'!$A$53:$A$63</definedName>
    <definedName name="单价内涵" localSheetId="11">[1]定义!$V$1:$V$3</definedName>
    <definedName name="单价内涵">定义!$V$1:$V$3</definedName>
    <definedName name="地类判定" localSheetId="11">[1]定义!$H$1:$H$9</definedName>
    <definedName name="地类判定">定义!$H$1:$H$9</definedName>
    <definedName name="二级">区片价!$I$1:$I$20</definedName>
    <definedName name="二级分类" localSheetId="11">[1]修正!$C$17:$C$39</definedName>
    <definedName name="二级分类">修正!$C$17:$C$39</definedName>
    <definedName name="法定最高年限" localSheetId="11">[1]定义!$G$1:$G$4</definedName>
    <definedName name="法定最高年限">定义!$G$1:$G$4</definedName>
    <definedName name="工业公共部分装修" localSheetId="11">'[1]比较法-工业'!$B$95:$M$95</definedName>
    <definedName name="工业公共部分装修">'比较法-工业'!$B$95:$M$95</definedName>
    <definedName name="工业基础设施水平" localSheetId="11">'[1]比较法-工业'!$B$102:$M$102</definedName>
    <definedName name="工业基础设施水平">'比较法-工业'!$B$102:$M$102</definedName>
    <definedName name="工业建筑结构" localSheetId="11">'[1]比较法-工业'!$B$93:$M$93</definedName>
    <definedName name="工业建筑结构">'比较法-工业'!$B$93:$M$93</definedName>
    <definedName name="工业建筑类型" localSheetId="11">'[1]比较法-工业'!$B$88:$M$88</definedName>
    <definedName name="工业建筑类型">'比较法-工业'!$B$88:$M$88</definedName>
    <definedName name="工业交易情况" localSheetId="11">'[1]比较法-工业'!$A$55:$M$55</definedName>
    <definedName name="工业交易情况">'比较法-工业'!$A$55:$M$55</definedName>
    <definedName name="工业内部装修" localSheetId="11">'[1]比较法-工业'!$B$104:$M$104</definedName>
    <definedName name="工业内部装修">'比较法-工业'!$B$104:$M$104</definedName>
    <definedName name="工业物业管理" localSheetId="11">'[1]比较法-工业'!$B$100:$M$100</definedName>
    <definedName name="工业物业管理">'比较法-工业'!$B$100:$M$100</definedName>
    <definedName name="工业用途" localSheetId="11">'[1]比较法-工业'!$B$57:$M$57</definedName>
    <definedName name="工业用途">'比较法-工业'!$B$57:$M$57</definedName>
    <definedName name="公共配套设施" localSheetId="11">[1]定义!$Q$1:$Q$6</definedName>
    <definedName name="公共配套设施">定义!$Q$1:$Q$6</definedName>
    <definedName name="估价方法" localSheetId="11">[1]定义!$B$1:$B$50</definedName>
    <definedName name="估价方法">定义!$B$1:$B$50</definedName>
    <definedName name="环境" localSheetId="11">[1]定义!$S$1:$S$6</definedName>
    <definedName name="环境">定义!$S$1:$S$6</definedName>
    <definedName name="基础设施水平" localSheetId="11">[1]定义!$R$1:$R$6</definedName>
    <definedName name="基础设施水平">定义!$R$1:$R$6</definedName>
    <definedName name="季度">基准地价修正!$Q$19:$AD$19</definedName>
    <definedName name="价值类型2" localSheetId="11">[1]定义!$B$54:$B$56</definedName>
    <definedName name="价值类型2">定义!$B$54:$B$56</definedName>
    <definedName name="交通便捷度" localSheetId="11">[1]定义!$O$1:$O$6</definedName>
    <definedName name="交通便捷度">定义!$O$1:$O$6</definedName>
    <definedName name="九级">区片价!$P$1:$P$46</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[1]定义!$T$1:$T$5</definedName>
    <definedName name="临街状况">定义!$T$1:$T$5</definedName>
    <definedName name="六级">区片价!$M$1:$M$49</definedName>
    <definedName name="内部装修维护情况" localSheetId="11">[1]定义!$U$1:$U$6</definedName>
    <definedName name="内部装修维护情况">定义!$U$1:$U$6</definedName>
    <definedName name="判定" localSheetId="11">[1]定义!$D$1:$D$4</definedName>
    <definedName name="判定">定义!$D$1:$D$4</definedName>
    <definedName name="七级">区片价!$N$1:$N$49</definedName>
    <definedName name="七通一平" localSheetId="11">[1]修正!$A$6:$A$14</definedName>
    <definedName name="七通一平">修正!$A$6:$A$14</definedName>
    <definedName name="区域土地利用方向" localSheetId="11">[1]定义!$P$1:$P$6</definedName>
    <definedName name="区域土地利用方向">定义!$P$1:$P$6</definedName>
    <definedName name="三级">区片价!$J$1:$J$21</definedName>
    <definedName name="商业层高" localSheetId="32">'比较法-商业 (租金)'!$B$116:$M$116</definedName>
    <definedName name="商业层高" localSheetId="11">'[1]比较法-商业'!$B$116:$M$116</definedName>
    <definedName name="商业层高">'比较法-商业'!$B$116:$M$116</definedName>
    <definedName name="商业成新度" localSheetId="32">'比较法-商业 (租金)'!$B$109:$M$109</definedName>
    <definedName name="商业成新度">'比较法-商业'!$B$109:$M$109</definedName>
    <definedName name="商业繁华度" localSheetId="11">[1]定义!$L$1:$L$6</definedName>
    <definedName name="商业繁华度">定义!$L$1:$L$6</definedName>
    <definedName name="商业公共部分装修" localSheetId="32">'比较法-商业 (租金)'!$B$107:$M$107</definedName>
    <definedName name="商业公共部分装修" localSheetId="11">'[1]比较法-商业'!$B$107:$M$107</definedName>
    <definedName name="商业公共部分装修">'比较法-商业'!$B$107:$M$107</definedName>
    <definedName name="商业基础设施水平" localSheetId="32">'比较法-商业 (租金)'!$B$112:$M$112</definedName>
    <definedName name="商业基础设施水平" localSheetId="11">'[1]比较法-商业'!$B$112:$M$112</definedName>
    <definedName name="商业基础设施水平">'比较法-商业'!$B$112:$M$112</definedName>
    <definedName name="商业建筑结构" localSheetId="32">'比较法-商业 (租金)'!$B$105:$M$105</definedName>
    <definedName name="商业建筑结构" localSheetId="11">'[1]比较法-商业'!$B$105:$M$105</definedName>
    <definedName name="商业建筑结构">'比较法-商业'!$B$105:$M$105</definedName>
    <definedName name="商业交易情况" localSheetId="32">'比较法-商业 (租金)'!$A$61:$M$61</definedName>
    <definedName name="商业交易情况" localSheetId="11">'[1]比较法-商业'!$A$61:$M$61</definedName>
    <definedName name="商业交易情况">'比较法-商业'!$A$61:$M$61</definedName>
    <definedName name="商业街名称" localSheetId="11">[1]修正!$C$59:$C$119</definedName>
    <definedName name="商业街名称">修正!$C$59:$C$119</definedName>
    <definedName name="商业进深比" localSheetId="32">'比较法-商业 (租金)'!$B$120:$M$120</definedName>
    <definedName name="商业进深比" localSheetId="11">'[1]比较法-商业'!$B$120:$M$120</definedName>
    <definedName name="商业进深比">'比较法-商业'!$B$120:$M$120</definedName>
    <definedName name="商业类型" localSheetId="32">'比较法-商业 (租金)'!$B$100:$M$100</definedName>
    <definedName name="商业类型" localSheetId="11">'[1]比较法-商业'!$B$100:$M$100</definedName>
    <definedName name="商业类型">'比较法-商业'!$B$100:$M$100</definedName>
    <definedName name="商业临街状况" localSheetId="32">'比较法-商业 (租金)'!$B$86:$M$86</definedName>
    <definedName name="商业临街状况" localSheetId="11">'[1]比较法-商业'!$B$86:$M$86</definedName>
    <definedName name="商业临街状况">'比较法-商业'!$B$86:$M$86</definedName>
    <definedName name="商业楼层" localSheetId="32">'比较法-商业 (租金)'!$B$92:$M$92</definedName>
    <definedName name="商业楼层" localSheetId="11">'[1]比较法-商业'!$B$92:$M$92</definedName>
    <definedName name="商业楼层">'比较法-商业'!$B$92:$M$92</definedName>
    <definedName name="商业内部装修" localSheetId="32">'比较法-商业 (租金)'!$B$122:$M$122</definedName>
    <definedName name="商业内部装修" localSheetId="11">'[1]比较法-商业'!$B$122:$M$122</definedName>
    <definedName name="商业内部装修">'比较法-商业'!$B$122:$M$122</definedName>
    <definedName name="商业人流量" localSheetId="32">'比较法-商业 (租金)'!$B$90:$M$90</definedName>
    <definedName name="商业人流量" localSheetId="11">'[1]比较法-商业'!$B$90:$M$90</definedName>
    <definedName name="商业人流量">'比较法-商业'!$B$90:$M$90</definedName>
    <definedName name="商业业态" localSheetId="32">'比较法-商业 (租金)'!$B$114:$M$114</definedName>
    <definedName name="商业业态" localSheetId="11">'[1]比较法-商业'!$B$114:$M$114</definedName>
    <definedName name="商业业态">'比较法-商业'!$B$114:$M$114</definedName>
    <definedName name="商业用途" localSheetId="32">'比较法-商业 (租金)'!$B$63:$M$63</definedName>
    <definedName name="商业用途" localSheetId="11">'[1]比较法-商业'!$B$63:$M$63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1">'[1]比较法-仓储'!$B$89:$M$89</definedName>
    <definedName name="是否封闭">'比较法-仓储'!$B$89:$M$89</definedName>
    <definedName name="是否直接入户" localSheetId="11">'[1]比较法-车位'!$B$95:$M$95</definedName>
    <definedName name="是否直接入户">'比较法-车位'!$B$95:$M$95</definedName>
    <definedName name="四级">区片价!$K$1:$K$28</definedName>
    <definedName name="套工道路等级" localSheetId="11">'[1]土地比较法-工业'!$B$97:$M$97</definedName>
    <definedName name="套工道路等级">'土地比较法-工业'!$B$97:$M$97</definedName>
    <definedName name="套工地质条件" localSheetId="11">'[1]土地比较法-工业'!$B$114:$M$114</definedName>
    <definedName name="套工地质条件">'土地比较法-工业'!$B$114:$M$114</definedName>
    <definedName name="套工交易情况" localSheetId="11">'[1]土地比较法-住宅、综合'!$A$73:$M$73</definedName>
    <definedName name="套工交易情况">'土地比较法-住宅、综合'!$A$73:$M$73</definedName>
    <definedName name="套工土地级别" localSheetId="11">'[1]土地比较法-工业'!$B$99:$M$99</definedName>
    <definedName name="套工土地级别">'土地比较法-工业'!$B$99:$M$99</definedName>
    <definedName name="套工用途" localSheetId="11">'[1]土地比较法-工业'!$B$70:$M$70</definedName>
    <definedName name="套工用途">'土地比较法-工业'!$B$70:$M$70</definedName>
    <definedName name="套工宗地开发程度" localSheetId="11">'[1]土地比较法-工业'!$B$112:$M$112</definedName>
    <definedName name="套工宗地开发程度">'土地比较法-工业'!$B$112:$M$112</definedName>
    <definedName name="套工宗地形状" localSheetId="11">'[1]土地比较法-工业'!$B$110:$M$110</definedName>
    <definedName name="套工宗地形状">'土地比较法-工业'!$B$110:$M$110</definedName>
    <definedName name="套综道路等级" localSheetId="11">'[1]土地比较法-住宅、综合'!$B$106:$M$106</definedName>
    <definedName name="套综道路等级">'土地比较法-住宅、综合'!$B$106:$M$106</definedName>
    <definedName name="套综工程地质条件" localSheetId="11">'[1]土地比较法-住宅、综合'!$B$125:$M$125</definedName>
    <definedName name="套综工程地质条件">'土地比较法-住宅、综合'!$B$125:$M$125</definedName>
    <definedName name="套综交易情况" localSheetId="11">'[1]土地比较法-住宅、综合'!$A$73:$M$73</definedName>
    <definedName name="套综交易情况">'土地比较法-住宅、综合'!$A$73:$M$73</definedName>
    <definedName name="套综临街宽度及深度" localSheetId="11">'[1]土地比较法-住宅、综合'!$B$121:$M$121</definedName>
    <definedName name="套综临街宽度及深度">'土地比较法-住宅、综合'!$B$121:$M$121</definedName>
    <definedName name="套综土地级别" localSheetId="11">'[1]土地比较法-住宅、综合'!$B$108:$M$108</definedName>
    <definedName name="套综土地级别">'土地比较法-住宅、综合'!$B$108:$M$108</definedName>
    <definedName name="套综用途" localSheetId="11">'[1]土地比较法-住宅、综合'!$B$75:$M$75</definedName>
    <definedName name="套综用途">'土地比较法-住宅、综合'!$B$75:$M$75</definedName>
    <definedName name="套综宗地内开发程度" localSheetId="11">'[1]土地比较法-住宅、综合'!$B$123:$M$123</definedName>
    <definedName name="套综宗地内开发程度">'土地比较法-住宅、综合'!$B$123:$M$123</definedName>
    <definedName name="套综宗地形状" localSheetId="11">'[1]土地比较法-住宅、综合'!$B$119:$M$119</definedName>
    <definedName name="套综宗地形状">'土地比较法-住宅、综合'!$B$119:$M$119</definedName>
    <definedName name="土地估价师">估价师及机构信息!$D$3:$D$24</definedName>
    <definedName name="土地级别" localSheetId="11">[1]定义!$C$1:$C$14</definedName>
    <definedName name="土地级别">定义!$C$1:$C$14</definedName>
    <definedName name="土地利用方向">定义!$P$1:$P$6</definedName>
    <definedName name="土地年限区间" localSheetId="11">[1]定义!$I$1:$I$8</definedName>
    <definedName name="土地年限区间">定义!$I$1:$I$8</definedName>
    <definedName name="位置" localSheetId="11">[1]定义!$E$2:$E$4</definedName>
    <definedName name="位置">定义!$E$2:$E$4</definedName>
    <definedName name="五等判定" localSheetId="11">[1]定义!$W$1:$W$6</definedName>
    <definedName name="五等判定">定义!$W$1:$W$6</definedName>
    <definedName name="五级">区片价!$L$1:$L$35</definedName>
    <definedName name="项目类型" localSheetId="11">'[1]数据-汇总表'!$C$17:$C$26</definedName>
    <definedName name="项目类型">'数据-汇总表'!$C$17:$C$26</definedName>
    <definedName name="写字楼等级" localSheetId="26">'比较法-办公 (租金)'!$B$113:$M$113</definedName>
    <definedName name="写字楼等级" localSheetId="11">'[1]比较法-办公'!$B$113:$M$113</definedName>
    <definedName name="写字楼等级">'比较法-办公'!$B$113:$M$113</definedName>
    <definedName name="一级">区片价!$H$1:$H$6</definedName>
    <definedName name="一修多修正项2" localSheetId="11">[1]典型户型修正!$5:$5</definedName>
    <definedName name="一修多修正项2">典型户型修正!$5:$5</definedName>
    <definedName name="一修多修正项3" localSheetId="11">[1]典型户型修正!$7:$7</definedName>
    <definedName name="一修多修正项3">典型户型修正!$7:$7</definedName>
    <definedName name="一修多修正项4" localSheetId="11">[1]典型户型修正!$9:$9</definedName>
    <definedName name="一修多修正项4">典型户型修正!$9:$9</definedName>
    <definedName name="一修多修正项5" localSheetId="11">[1]典型户型修正!$11:$11</definedName>
    <definedName name="一修多修正项5">典型户型修正!$11:$11</definedName>
    <definedName name="一修多修正项6" localSheetId="11">[1]典型户型修正!$13:$13</definedName>
    <definedName name="一修多修正项6">典型户型修正!$13:$13</definedName>
    <definedName name="一修多修正项7" localSheetId="11">[1]典型户型修正!$15:$15</definedName>
    <definedName name="一修多修正项7">典型户型修正!$15:$15</definedName>
    <definedName name="一修多修正项8" localSheetId="11">[1]典型户型修正!$17:$17</definedName>
    <definedName name="一修多修正项8">典型户型修正!$17:$17</definedName>
    <definedName name="用途明细" localSheetId="11">[1]定义!$A$1:$A$50</definedName>
    <definedName name="用途明细">定义!$A$1:$A$50</definedName>
    <definedName name="有无电梯" localSheetId="11">'[1]比较法-仓储'!$B$84:$M$84</definedName>
    <definedName name="有无电梯">'比较法-仓储'!$B$84:$M$84</definedName>
    <definedName name="主用途" localSheetId="11">[1]定义!$F$1:$F$10</definedName>
    <definedName name="主用途">定义!$F$1:$F$10</definedName>
    <definedName name="住宅朝向" localSheetId="11">'[1]比较法-住宅'!$B$88:$M$88</definedName>
    <definedName name="住宅朝向">'比较法-住宅'!$B$88:$M$88</definedName>
    <definedName name="住宅房型" localSheetId="11">'[1]比较法-住宅'!$B$118:$M$118</definedName>
    <definedName name="住宅房型">'比较法-住宅'!$B$118:$M$118</definedName>
    <definedName name="住宅公共部分装修" localSheetId="11">'[1]比较法-住宅'!$B$109:$M$109</definedName>
    <definedName name="住宅公共部分装修">'比较法-住宅'!$B$109:$M$109</definedName>
    <definedName name="住宅基础设施水平" localSheetId="11">'[1]比较法-住宅'!$B$116:$M$116</definedName>
    <definedName name="住宅基础设施水平">'比较法-住宅'!$B$116:$M$116</definedName>
    <definedName name="住宅建筑结构" localSheetId="11">'[1]比较法-住宅'!$B$105:$M$105</definedName>
    <definedName name="住宅建筑结构">'比较法-住宅'!$B$105:$M$105</definedName>
    <definedName name="住宅建筑类型" localSheetId="11">'[1]比较法-住宅'!$B$100:$M$100</definedName>
    <definedName name="住宅建筑类型">'比较法-住宅'!$B$100:$M$100</definedName>
    <definedName name="住宅建筑品质" localSheetId="11">'[1]比较法-住宅'!$B$107:$M$107</definedName>
    <definedName name="住宅建筑品质">'比较法-住宅'!$B$107:$M$107</definedName>
    <definedName name="住宅交易情况" localSheetId="11">'[1]比较法-住宅'!$A$61:$M$61</definedName>
    <definedName name="住宅交易情况">'比较法-住宅'!$A$61:$M$61</definedName>
    <definedName name="住宅楼层" localSheetId="11">'[1]比较法-住宅'!$B$86:$M$86</definedName>
    <definedName name="住宅楼层">'比较法-住宅'!$B$86:$M$86</definedName>
    <definedName name="住宅内部装修" localSheetId="11">'[1]比较法-住宅'!$B$122:$M$122</definedName>
    <definedName name="住宅内部装修">'比较法-住宅'!$B$122:$M$122</definedName>
    <definedName name="住宅物业管理" localSheetId="11">'[1]比较法-住宅'!$B$114:$M$114</definedName>
    <definedName name="住宅物业管理">'比较法-住宅'!$B$114:$M$114</definedName>
    <definedName name="住宅用途" localSheetId="11">'[1]比较法-住宅'!$B$63:$M$63</definedName>
    <definedName name="住宅用途">'比较法-住宅'!$B$63:$M$63</definedName>
    <definedName name="住宅主力户型面积">'比较法-住宅'!$B$120:$M$120</definedName>
    <definedName name="注册房地产估价师" localSheetId="11">[1]估价师及机构信息!$A$3:$A$24</definedName>
    <definedName name="注册房地产估价师">估价师及机构信息!$A$3:$A$24</definedName>
  </definedNames>
  <calcPr calcId="145621" concurrentCalc="0"/>
</workbook>
</file>

<file path=xl/calcChain.xml><?xml version="1.0" encoding="utf-8"?>
<calcChain xmlns="http://schemas.openxmlformats.org/spreadsheetml/2006/main">
  <c r="A3" i="3" l="1"/>
  <c r="C34" i="83"/>
  <c r="C33" i="84"/>
  <c r="C33" i="33"/>
  <c r="K7" i="78"/>
  <c r="K6" i="78"/>
  <c r="K5" i="78"/>
  <c r="K4" i="78"/>
  <c r="K12" i="78"/>
  <c r="K13" i="78"/>
  <c r="K14" i="78"/>
  <c r="K15" i="78"/>
  <c r="K16" i="78"/>
  <c r="I16" i="78"/>
  <c r="J16" i="78"/>
  <c r="I12" i="78"/>
  <c r="I13" i="78"/>
  <c r="J13" i="78"/>
  <c r="I14" i="78"/>
  <c r="Q233" i="78"/>
  <c r="Q153" i="78"/>
  <c r="Q149" i="78"/>
  <c r="Q138" i="78"/>
  <c r="Q127" i="78"/>
  <c r="Q116" i="78"/>
  <c r="Q105" i="78"/>
  <c r="Q94" i="78"/>
  <c r="Q83" i="78"/>
  <c r="Q72" i="78"/>
  <c r="Q61" i="78"/>
  <c r="Q50" i="78"/>
  <c r="Q39" i="78"/>
  <c r="Q158" i="78"/>
  <c r="J15" i="78"/>
  <c r="Q29" i="78"/>
  <c r="Q36" i="78"/>
  <c r="K3" i="78"/>
  <c r="Q27" i="78"/>
  <c r="Q16" i="78"/>
  <c r="Q237" i="78"/>
  <c r="Q235" i="78"/>
  <c r="Q230" i="78"/>
  <c r="Q227" i="78"/>
  <c r="Q224" i="78"/>
  <c r="Q221" i="78"/>
  <c r="Q218" i="78"/>
  <c r="Q215" i="78"/>
  <c r="Q212" i="78"/>
  <c r="Q209" i="78"/>
  <c r="Q206" i="78"/>
  <c r="Q203" i="78"/>
  <c r="Q198" i="78"/>
  <c r="Q193" i="78"/>
  <c r="Q188" i="78"/>
  <c r="Q183" i="78"/>
  <c r="Q178" i="78"/>
  <c r="Q173" i="78"/>
  <c r="Q168" i="78"/>
  <c r="Q163" i="78"/>
  <c r="I47" i="33"/>
  <c r="G47" i="33"/>
  <c r="E47" i="33"/>
  <c r="C55" i="78"/>
  <c r="C54" i="78"/>
  <c r="C53" i="78"/>
  <c r="C52" i="78"/>
  <c r="B130" i="84"/>
  <c r="J46" i="84"/>
  <c r="AC46" i="84"/>
  <c r="B128" i="84"/>
  <c r="B126" i="84"/>
  <c r="J44" i="84"/>
  <c r="AC44" i="84"/>
  <c r="D125" i="84"/>
  <c r="E125" i="84"/>
  <c r="F125" i="84"/>
  <c r="G125" i="84"/>
  <c r="D123" i="84"/>
  <c r="E123" i="84"/>
  <c r="F123" i="84"/>
  <c r="G123" i="84"/>
  <c r="H123" i="84"/>
  <c r="I123" i="84"/>
  <c r="J123" i="84"/>
  <c r="K123" i="84"/>
  <c r="L123" i="84"/>
  <c r="M123" i="84"/>
  <c r="D121" i="84"/>
  <c r="E121" i="84"/>
  <c r="F121" i="84"/>
  <c r="G121" i="84"/>
  <c r="H121" i="84"/>
  <c r="I121" i="84"/>
  <c r="J121" i="84"/>
  <c r="K121" i="84"/>
  <c r="L121" i="84"/>
  <c r="M121" i="84"/>
  <c r="D117" i="84"/>
  <c r="E117" i="84"/>
  <c r="F117" i="84"/>
  <c r="G117" i="84"/>
  <c r="D115" i="84"/>
  <c r="E115" i="84"/>
  <c r="F115" i="84"/>
  <c r="G115" i="84"/>
  <c r="H115" i="84"/>
  <c r="I115" i="84"/>
  <c r="J115" i="84"/>
  <c r="K115" i="84"/>
  <c r="L115" i="84"/>
  <c r="M115" i="84"/>
  <c r="D113" i="84"/>
  <c r="E113" i="84"/>
  <c r="F113" i="84"/>
  <c r="G113" i="84"/>
  <c r="H113" i="84"/>
  <c r="I113" i="84"/>
  <c r="J113" i="84"/>
  <c r="K113" i="84"/>
  <c r="L113" i="84"/>
  <c r="M113" i="84"/>
  <c r="D111" i="84"/>
  <c r="E111" i="84"/>
  <c r="F111" i="84"/>
  <c r="G111" i="84"/>
  <c r="H111" i="84"/>
  <c r="I111" i="84"/>
  <c r="J111" i="84"/>
  <c r="K111" i="84"/>
  <c r="L111" i="84"/>
  <c r="M111" i="84"/>
  <c r="G109" i="84"/>
  <c r="F109" i="84"/>
  <c r="E109" i="84"/>
  <c r="D109" i="84"/>
  <c r="C109" i="84"/>
  <c r="D108" i="84"/>
  <c r="E108" i="84"/>
  <c r="F108" i="84"/>
  <c r="G108" i="84"/>
  <c r="H108" i="84"/>
  <c r="I108" i="84"/>
  <c r="J108" i="84"/>
  <c r="K108" i="84"/>
  <c r="L108" i="84"/>
  <c r="M108" i="84"/>
  <c r="D106" i="84"/>
  <c r="E106" i="84"/>
  <c r="F106" i="84"/>
  <c r="G106" i="84"/>
  <c r="H106" i="84"/>
  <c r="I106" i="84"/>
  <c r="J106" i="84"/>
  <c r="K106" i="84"/>
  <c r="L106" i="84"/>
  <c r="M106" i="84"/>
  <c r="M102" i="84"/>
  <c r="L102" i="84"/>
  <c r="K102" i="84"/>
  <c r="J102" i="84"/>
  <c r="I102" i="84"/>
  <c r="H102" i="84"/>
  <c r="G102" i="84"/>
  <c r="F102" i="84"/>
  <c r="E102" i="84"/>
  <c r="D102" i="84"/>
  <c r="C102" i="84"/>
  <c r="D101" i="84"/>
  <c r="E101" i="84"/>
  <c r="F101" i="84"/>
  <c r="G101" i="84"/>
  <c r="H101" i="84"/>
  <c r="I101" i="84"/>
  <c r="J101" i="84"/>
  <c r="K101" i="84"/>
  <c r="L101" i="84"/>
  <c r="M101" i="84"/>
  <c r="B98" i="84"/>
  <c r="B96" i="84"/>
  <c r="J30" i="84"/>
  <c r="AC30" i="84"/>
  <c r="B94" i="84"/>
  <c r="B92" i="84"/>
  <c r="J28" i="84"/>
  <c r="AC28" i="84"/>
  <c r="D91" i="84"/>
  <c r="E91" i="84"/>
  <c r="F91" i="84"/>
  <c r="G91" i="84"/>
  <c r="H91" i="84"/>
  <c r="I91" i="84"/>
  <c r="J91" i="84"/>
  <c r="K91" i="84"/>
  <c r="L91" i="84"/>
  <c r="M91" i="84"/>
  <c r="B90" i="84"/>
  <c r="J27" i="84"/>
  <c r="AC27" i="84"/>
  <c r="B88" i="84"/>
  <c r="D87" i="84"/>
  <c r="E87" i="84"/>
  <c r="F87" i="84"/>
  <c r="G87" i="84"/>
  <c r="H87" i="84"/>
  <c r="I87" i="84"/>
  <c r="J87" i="84"/>
  <c r="K87" i="84"/>
  <c r="L87" i="84"/>
  <c r="M87" i="84"/>
  <c r="D85" i="84"/>
  <c r="E85" i="84"/>
  <c r="F85" i="84"/>
  <c r="G85" i="84"/>
  <c r="D83" i="84"/>
  <c r="E83" i="84"/>
  <c r="F83" i="84"/>
  <c r="G83" i="84"/>
  <c r="D81" i="84"/>
  <c r="E81" i="84"/>
  <c r="F81" i="84"/>
  <c r="G81" i="84"/>
  <c r="D79" i="84"/>
  <c r="E79" i="84"/>
  <c r="F79" i="84"/>
  <c r="G79" i="84"/>
  <c r="D77" i="84"/>
  <c r="E77" i="84"/>
  <c r="F77" i="84"/>
  <c r="G77" i="84"/>
  <c r="B74" i="84"/>
  <c r="H14" i="84"/>
  <c r="AB14" i="84"/>
  <c r="B72" i="84"/>
  <c r="B70" i="84"/>
  <c r="H12" i="84"/>
  <c r="AB12" i="84"/>
  <c r="D69" i="84"/>
  <c r="E69" i="84"/>
  <c r="F69" i="84"/>
  <c r="G69" i="84"/>
  <c r="H69" i="84"/>
  <c r="I69" i="84"/>
  <c r="J69" i="84"/>
  <c r="K69" i="84"/>
  <c r="L69" i="84"/>
  <c r="M69" i="84"/>
  <c r="M67" i="84"/>
  <c r="L67" i="84"/>
  <c r="K67" i="84"/>
  <c r="J67" i="84"/>
  <c r="I67" i="84"/>
  <c r="H67" i="84"/>
  <c r="G67" i="84"/>
  <c r="F67" i="84"/>
  <c r="E67" i="84"/>
  <c r="D67" i="84"/>
  <c r="C67" i="84"/>
  <c r="H66" i="84"/>
  <c r="I66" i="84"/>
  <c r="G66" i="84"/>
  <c r="C63" i="84"/>
  <c r="H9" i="84"/>
  <c r="AB9" i="84"/>
  <c r="I54" i="84"/>
  <c r="J54" i="84"/>
  <c r="G54" i="84"/>
  <c r="H54" i="84"/>
  <c r="E54" i="84"/>
  <c r="F54" i="84"/>
  <c r="P49" i="84"/>
  <c r="P48" i="84"/>
  <c r="V47" i="84"/>
  <c r="T47" i="84"/>
  <c r="R47" i="84"/>
  <c r="P47" i="84"/>
  <c r="Q46" i="84"/>
  <c r="Z46" i="84"/>
  <c r="H46" i="84"/>
  <c r="AB46" i="84"/>
  <c r="Q45" i="84"/>
  <c r="Z45" i="84"/>
  <c r="J45" i="84"/>
  <c r="AC45" i="84"/>
  <c r="H45" i="84"/>
  <c r="AB45" i="84"/>
  <c r="F45" i="84"/>
  <c r="AA45" i="84"/>
  <c r="Q44" i="84"/>
  <c r="Z44" i="84"/>
  <c r="H44" i="84"/>
  <c r="AB44" i="84"/>
  <c r="Q43" i="84"/>
  <c r="Z43" i="84"/>
  <c r="J43" i="84"/>
  <c r="AC43" i="84"/>
  <c r="H43" i="84"/>
  <c r="AB43" i="84"/>
  <c r="F43" i="84"/>
  <c r="AA43" i="84"/>
  <c r="Q42" i="84"/>
  <c r="Z42" i="84"/>
  <c r="H42" i="84"/>
  <c r="AB42" i="84"/>
  <c r="Q41" i="84"/>
  <c r="Z41" i="84"/>
  <c r="J41" i="84"/>
  <c r="AC41" i="84"/>
  <c r="H41" i="84"/>
  <c r="AB41" i="84"/>
  <c r="F41" i="84"/>
  <c r="AA41" i="84"/>
  <c r="Q40" i="84"/>
  <c r="Z40" i="84"/>
  <c r="J40" i="84"/>
  <c r="AC40" i="84"/>
  <c r="H40" i="84"/>
  <c r="AB40" i="84"/>
  <c r="F40" i="84"/>
  <c r="AA40" i="84"/>
  <c r="Q39" i="84"/>
  <c r="Z39" i="84"/>
  <c r="J39" i="84"/>
  <c r="AC39" i="84"/>
  <c r="H39" i="84"/>
  <c r="AB39" i="84"/>
  <c r="Q38" i="84"/>
  <c r="Z38" i="84"/>
  <c r="J38" i="84"/>
  <c r="AC38" i="84"/>
  <c r="H38" i="84"/>
  <c r="AB38" i="84"/>
  <c r="F38" i="84"/>
  <c r="AA38" i="84"/>
  <c r="Q37" i="84"/>
  <c r="Z37" i="84"/>
  <c r="J37" i="84"/>
  <c r="AC37" i="84"/>
  <c r="H37" i="84"/>
  <c r="AB37" i="84"/>
  <c r="F37" i="84"/>
  <c r="AA37" i="84"/>
  <c r="Q36" i="84"/>
  <c r="Z36" i="84"/>
  <c r="J36" i="84"/>
  <c r="AC36" i="84"/>
  <c r="H36" i="84"/>
  <c r="AB36" i="84"/>
  <c r="F36" i="84"/>
  <c r="AA36" i="84"/>
  <c r="Q35" i="84"/>
  <c r="Z35" i="84"/>
  <c r="J35" i="84"/>
  <c r="AC35" i="84"/>
  <c r="H35" i="84"/>
  <c r="AB35" i="84"/>
  <c r="F35" i="84"/>
  <c r="AA35" i="84"/>
  <c r="Q34" i="84"/>
  <c r="Z34" i="84"/>
  <c r="J34" i="84"/>
  <c r="AC34" i="84"/>
  <c r="H34" i="84"/>
  <c r="AB34" i="84"/>
  <c r="F34" i="84"/>
  <c r="AA34" i="84"/>
  <c r="Q33" i="84"/>
  <c r="Z33" i="84"/>
  <c r="J33" i="84"/>
  <c r="AC33" i="84"/>
  <c r="H33" i="84"/>
  <c r="AB33" i="84"/>
  <c r="F33" i="84"/>
  <c r="AA33" i="84"/>
  <c r="Q32" i="84"/>
  <c r="Z32" i="84"/>
  <c r="H32" i="84"/>
  <c r="AB32" i="84"/>
  <c r="Q31" i="84"/>
  <c r="Z31" i="84"/>
  <c r="J31" i="84"/>
  <c r="AC31" i="84"/>
  <c r="H31" i="84"/>
  <c r="AB31" i="84"/>
  <c r="F31" i="84"/>
  <c r="AA31" i="84"/>
  <c r="Q30" i="84"/>
  <c r="Z30" i="84"/>
  <c r="H30" i="84"/>
  <c r="AB30" i="84"/>
  <c r="Q29" i="84"/>
  <c r="Z29" i="84"/>
  <c r="J29" i="84"/>
  <c r="AC29" i="84"/>
  <c r="H29" i="84"/>
  <c r="AB29" i="84"/>
  <c r="F29" i="84"/>
  <c r="AA29" i="84"/>
  <c r="Q28" i="84"/>
  <c r="Z28" i="84"/>
  <c r="H28" i="84"/>
  <c r="AB28" i="84"/>
  <c r="Q27" i="84"/>
  <c r="Z27" i="84"/>
  <c r="H27" i="84"/>
  <c r="AB27" i="84"/>
  <c r="Q26" i="84"/>
  <c r="Z26" i="84"/>
  <c r="J26" i="84"/>
  <c r="AC26" i="84"/>
  <c r="H26" i="84"/>
  <c r="AB26" i="84"/>
  <c r="F26" i="84"/>
  <c r="Q25" i="84"/>
  <c r="Z25" i="84"/>
  <c r="H25" i="84"/>
  <c r="U25" i="84"/>
  <c r="Q23" i="84"/>
  <c r="Z23" i="84"/>
  <c r="J23" i="84"/>
  <c r="AC23" i="84"/>
  <c r="H23" i="84"/>
  <c r="AB23" i="84"/>
  <c r="F23" i="84"/>
  <c r="AA23" i="84"/>
  <c r="C23" i="84"/>
  <c r="Q21" i="84"/>
  <c r="Z21" i="84"/>
  <c r="J21" i="84"/>
  <c r="AC21" i="84"/>
  <c r="H21" i="84"/>
  <c r="AB21" i="84"/>
  <c r="F21" i="84"/>
  <c r="AA21" i="84"/>
  <c r="C21" i="84"/>
  <c r="Q19" i="84"/>
  <c r="Z19" i="84"/>
  <c r="J19" i="84"/>
  <c r="AC19" i="84"/>
  <c r="H19" i="84"/>
  <c r="AB19" i="84"/>
  <c r="F19" i="84"/>
  <c r="AA19" i="84"/>
  <c r="C19" i="84"/>
  <c r="Q17" i="84"/>
  <c r="Z17" i="84"/>
  <c r="J17" i="84"/>
  <c r="AC17" i="84"/>
  <c r="H17" i="84"/>
  <c r="AB17" i="84"/>
  <c r="F17" i="84"/>
  <c r="AA17" i="84"/>
  <c r="C17" i="84"/>
  <c r="Q15" i="84"/>
  <c r="Z15" i="84"/>
  <c r="J15" i="84"/>
  <c r="AC15" i="84"/>
  <c r="H15" i="84"/>
  <c r="AB15" i="84"/>
  <c r="F15" i="84"/>
  <c r="AA15" i="84"/>
  <c r="C15" i="84"/>
  <c r="Q14" i="84"/>
  <c r="Z14" i="84"/>
  <c r="J14" i="84"/>
  <c r="AC14" i="84"/>
  <c r="F14" i="84"/>
  <c r="AA14" i="84"/>
  <c r="Q13" i="84"/>
  <c r="Z13" i="84"/>
  <c r="J13" i="84"/>
  <c r="AC13" i="84"/>
  <c r="H13" i="84"/>
  <c r="AB13" i="84"/>
  <c r="F13" i="84"/>
  <c r="AA13" i="84"/>
  <c r="Q12" i="84"/>
  <c r="Z12" i="84"/>
  <c r="J12" i="84"/>
  <c r="AC12" i="84"/>
  <c r="F12" i="84"/>
  <c r="AA12" i="84"/>
  <c r="Q11" i="84"/>
  <c r="Z11" i="84"/>
  <c r="J11" i="84"/>
  <c r="AC11" i="84"/>
  <c r="H11" i="84"/>
  <c r="AB11" i="84"/>
  <c r="F11" i="84"/>
  <c r="AA11" i="84"/>
  <c r="Q10" i="84"/>
  <c r="Z10" i="84"/>
  <c r="J10" i="84"/>
  <c r="AC10" i="84"/>
  <c r="H10" i="84"/>
  <c r="AB10" i="84"/>
  <c r="F10" i="84"/>
  <c r="AA10" i="84"/>
  <c r="Q9" i="84"/>
  <c r="Z9" i="84"/>
  <c r="J9" i="84"/>
  <c r="AC9" i="84"/>
  <c r="F9" i="84"/>
  <c r="AA9" i="84"/>
  <c r="J8" i="84"/>
  <c r="W8" i="84"/>
  <c r="H8" i="84"/>
  <c r="AB8" i="84"/>
  <c r="F8" i="84"/>
  <c r="S8" i="84"/>
  <c r="D2" i="84"/>
  <c r="U8" i="84"/>
  <c r="F25" i="84"/>
  <c r="AA25" i="84"/>
  <c r="J25" i="84"/>
  <c r="AC25" i="84"/>
  <c r="F27" i="84"/>
  <c r="AA27" i="84"/>
  <c r="F28" i="84"/>
  <c r="AA28" i="84"/>
  <c r="F30" i="84"/>
  <c r="AA30" i="84"/>
  <c r="F32" i="84"/>
  <c r="AA32" i="84"/>
  <c r="J32" i="84"/>
  <c r="AC32" i="84"/>
  <c r="F39" i="84"/>
  <c r="AA39" i="84"/>
  <c r="F42" i="84"/>
  <c r="AA42" i="84"/>
  <c r="J42" i="84"/>
  <c r="AC42" i="84"/>
  <c r="F44" i="84"/>
  <c r="AA44" i="84"/>
  <c r="F46" i="84"/>
  <c r="AA46" i="84"/>
  <c r="Q238" i="78"/>
  <c r="B15" i="74"/>
  <c r="AA8" i="84"/>
  <c r="AC8" i="84"/>
  <c r="U9" i="84"/>
  <c r="S9" i="84"/>
  <c r="W9" i="84"/>
  <c r="U10" i="84"/>
  <c r="S11" i="84"/>
  <c r="W11" i="84"/>
  <c r="U12" i="84"/>
  <c r="S13" i="84"/>
  <c r="W13" i="84"/>
  <c r="U14" i="84"/>
  <c r="U15" i="84"/>
  <c r="U17" i="84"/>
  <c r="U19" i="84"/>
  <c r="U21" i="84"/>
  <c r="U23" i="84"/>
  <c r="S25" i="84"/>
  <c r="W25" i="84"/>
  <c r="AB25" i="84"/>
  <c r="S10" i="84"/>
  <c r="W10" i="84"/>
  <c r="U11" i="84"/>
  <c r="S12" i="84"/>
  <c r="W12" i="84"/>
  <c r="U13" i="84"/>
  <c r="S14" i="84"/>
  <c r="W14" i="84"/>
  <c r="S15" i="84"/>
  <c r="W15" i="84"/>
  <c r="S17" i="84"/>
  <c r="W17" i="84"/>
  <c r="S19" i="84"/>
  <c r="W19" i="84"/>
  <c r="S21" i="84"/>
  <c r="W21" i="84"/>
  <c r="S23" i="84"/>
  <c r="W23" i="84"/>
  <c r="AA26" i="84"/>
  <c r="S26" i="84"/>
  <c r="W26" i="84"/>
  <c r="U27" i="84"/>
  <c r="S28" i="84"/>
  <c r="W28" i="84"/>
  <c r="U29" i="84"/>
  <c r="S30" i="84"/>
  <c r="W30" i="84"/>
  <c r="U31" i="84"/>
  <c r="S32" i="84"/>
  <c r="W32" i="84"/>
  <c r="U33" i="84"/>
  <c r="S34" i="84"/>
  <c r="W34" i="84"/>
  <c r="U35" i="84"/>
  <c r="S36" i="84"/>
  <c r="W36" i="84"/>
  <c r="U37" i="84"/>
  <c r="S38" i="84"/>
  <c r="W38" i="84"/>
  <c r="U39" i="84"/>
  <c r="S40" i="84"/>
  <c r="W40" i="84"/>
  <c r="U41" i="84"/>
  <c r="S42" i="84"/>
  <c r="W42" i="84"/>
  <c r="U43" i="84"/>
  <c r="S44" i="84"/>
  <c r="W44" i="84"/>
  <c r="U45" i="84"/>
  <c r="S46" i="84"/>
  <c r="W46" i="84"/>
  <c r="U26" i="84"/>
  <c r="S27" i="84"/>
  <c r="W27" i="84"/>
  <c r="U28" i="84"/>
  <c r="S29" i="84"/>
  <c r="W29" i="84"/>
  <c r="U30" i="84"/>
  <c r="S31" i="84"/>
  <c r="W31" i="84"/>
  <c r="U32" i="84"/>
  <c r="S33" i="84"/>
  <c r="W33" i="84"/>
  <c r="U34" i="84"/>
  <c r="S35" i="84"/>
  <c r="W35" i="84"/>
  <c r="U36" i="84"/>
  <c r="S37" i="84"/>
  <c r="W37" i="84"/>
  <c r="U38" i="84"/>
  <c r="S39" i="84"/>
  <c r="W39" i="84"/>
  <c r="U40" i="84"/>
  <c r="S41" i="84"/>
  <c r="W41" i="84"/>
  <c r="U42" i="84"/>
  <c r="S43" i="84"/>
  <c r="W43" i="84"/>
  <c r="U44" i="84"/>
  <c r="S45" i="84"/>
  <c r="W45" i="84"/>
  <c r="U46" i="84"/>
  <c r="B16" i="74"/>
  <c r="B131" i="83"/>
  <c r="B129" i="83"/>
  <c r="H46" i="83"/>
  <c r="AB46" i="83"/>
  <c r="B127" i="83"/>
  <c r="J45" i="83"/>
  <c r="AC45" i="83"/>
  <c r="D126" i="83"/>
  <c r="E126" i="83"/>
  <c r="F126" i="83"/>
  <c r="G126" i="83"/>
  <c r="D124" i="83"/>
  <c r="E124" i="83"/>
  <c r="F124" i="83"/>
  <c r="G124" i="83"/>
  <c r="H124" i="83"/>
  <c r="I124" i="83"/>
  <c r="J124" i="83"/>
  <c r="K124" i="83"/>
  <c r="L124" i="83"/>
  <c r="M124" i="83"/>
  <c r="D120" i="83"/>
  <c r="E120" i="83"/>
  <c r="F120" i="83"/>
  <c r="G120" i="83"/>
  <c r="H120" i="83"/>
  <c r="I120" i="83"/>
  <c r="J120" i="83"/>
  <c r="K120" i="83"/>
  <c r="L120" i="83"/>
  <c r="M120" i="83"/>
  <c r="D118" i="83"/>
  <c r="E118" i="83"/>
  <c r="F118" i="83"/>
  <c r="G118" i="83"/>
  <c r="D116" i="83"/>
  <c r="E116" i="83"/>
  <c r="F116" i="83"/>
  <c r="G116" i="83"/>
  <c r="H116" i="83"/>
  <c r="I116" i="83"/>
  <c r="J116" i="83"/>
  <c r="K116" i="83"/>
  <c r="L116" i="83"/>
  <c r="M116" i="83"/>
  <c r="D114" i="83"/>
  <c r="E114" i="83"/>
  <c r="F114" i="83"/>
  <c r="G114" i="83"/>
  <c r="H114" i="83"/>
  <c r="I114" i="83"/>
  <c r="J114" i="83"/>
  <c r="K114" i="83"/>
  <c r="L114" i="83"/>
  <c r="M114" i="83"/>
  <c r="D112" i="83"/>
  <c r="E112" i="83"/>
  <c r="F112" i="83"/>
  <c r="G112" i="83"/>
  <c r="H112" i="83"/>
  <c r="I112" i="83"/>
  <c r="J112" i="83"/>
  <c r="K112" i="83"/>
  <c r="L112" i="83"/>
  <c r="M112" i="83"/>
  <c r="G110" i="83"/>
  <c r="F110" i="83"/>
  <c r="E110" i="83"/>
  <c r="D110" i="83"/>
  <c r="C110" i="83"/>
  <c r="D109" i="83"/>
  <c r="E109" i="83"/>
  <c r="F109" i="83"/>
  <c r="G109" i="83"/>
  <c r="H109" i="83"/>
  <c r="I109" i="83"/>
  <c r="J109" i="83"/>
  <c r="K109" i="83"/>
  <c r="L109" i="83"/>
  <c r="M109" i="83"/>
  <c r="D107" i="83"/>
  <c r="E107" i="83"/>
  <c r="F107" i="83"/>
  <c r="G107" i="83"/>
  <c r="H107" i="83"/>
  <c r="I107" i="83"/>
  <c r="J107" i="83"/>
  <c r="K107" i="83"/>
  <c r="L107" i="83"/>
  <c r="M107" i="83"/>
  <c r="M103" i="83"/>
  <c r="L103" i="83"/>
  <c r="K103" i="83"/>
  <c r="J103" i="83"/>
  <c r="I103" i="83"/>
  <c r="H103" i="83"/>
  <c r="G103" i="83"/>
  <c r="F103" i="83"/>
  <c r="E103" i="83"/>
  <c r="D103" i="83"/>
  <c r="C103" i="83"/>
  <c r="D102" i="83"/>
  <c r="E102" i="83"/>
  <c r="F102" i="83"/>
  <c r="G102" i="83"/>
  <c r="H102" i="83"/>
  <c r="I102" i="83"/>
  <c r="J102" i="83"/>
  <c r="K102" i="83"/>
  <c r="L102" i="83"/>
  <c r="M102" i="83"/>
  <c r="B99" i="83"/>
  <c r="B97" i="83"/>
  <c r="B95" i="83"/>
  <c r="B93" i="83"/>
  <c r="D92" i="83"/>
  <c r="E92" i="83"/>
  <c r="F92" i="83"/>
  <c r="G92" i="83"/>
  <c r="H92" i="83"/>
  <c r="I92" i="83"/>
  <c r="J92" i="83"/>
  <c r="K92" i="83"/>
  <c r="L92" i="83"/>
  <c r="M92" i="83"/>
  <c r="B91" i="83"/>
  <c r="D90" i="83"/>
  <c r="E90" i="83"/>
  <c r="F90" i="83"/>
  <c r="G90" i="83"/>
  <c r="H90" i="83"/>
  <c r="I90" i="83"/>
  <c r="J90" i="83"/>
  <c r="K90" i="83"/>
  <c r="L90" i="83"/>
  <c r="M90" i="83"/>
  <c r="B89" i="83"/>
  <c r="D88" i="83"/>
  <c r="E88" i="83"/>
  <c r="F88" i="83"/>
  <c r="D86" i="83"/>
  <c r="E86" i="83"/>
  <c r="F86" i="83"/>
  <c r="G86" i="83"/>
  <c r="D84" i="83"/>
  <c r="E84" i="83"/>
  <c r="F84" i="83"/>
  <c r="G84" i="83"/>
  <c r="D82" i="83"/>
  <c r="E82" i="83"/>
  <c r="F82" i="83"/>
  <c r="G82" i="83"/>
  <c r="D80" i="83"/>
  <c r="E80" i="83"/>
  <c r="F80" i="83"/>
  <c r="G80" i="83"/>
  <c r="D78" i="83"/>
  <c r="E78" i="83"/>
  <c r="F78" i="83"/>
  <c r="G78" i="83"/>
  <c r="B75" i="83"/>
  <c r="B73" i="83"/>
  <c r="B71" i="83"/>
  <c r="D70" i="83"/>
  <c r="E70" i="83"/>
  <c r="F70" i="83"/>
  <c r="G70" i="83"/>
  <c r="H70" i="83"/>
  <c r="I70" i="83"/>
  <c r="J70" i="83"/>
  <c r="K70" i="83"/>
  <c r="L70" i="83"/>
  <c r="M70" i="83"/>
  <c r="M68" i="83"/>
  <c r="L68" i="83"/>
  <c r="K68" i="83"/>
  <c r="J68" i="83"/>
  <c r="I68" i="83"/>
  <c r="H68" i="83"/>
  <c r="G68" i="83"/>
  <c r="F68" i="83"/>
  <c r="E68" i="83"/>
  <c r="D68" i="83"/>
  <c r="C68" i="83"/>
  <c r="F67" i="83"/>
  <c r="G67" i="83"/>
  <c r="H67" i="83"/>
  <c r="I67" i="83"/>
  <c r="C64" i="83"/>
  <c r="I55" i="83"/>
  <c r="J55" i="83"/>
  <c r="G55" i="83"/>
  <c r="H55" i="83"/>
  <c r="E55" i="83"/>
  <c r="F55" i="83"/>
  <c r="P50" i="83"/>
  <c r="P49" i="83"/>
  <c r="V48" i="83"/>
  <c r="T48" i="83"/>
  <c r="R48" i="83"/>
  <c r="P48" i="83"/>
  <c r="Q47" i="83"/>
  <c r="Z47" i="83"/>
  <c r="J47" i="83"/>
  <c r="AC47" i="83"/>
  <c r="H47" i="83"/>
  <c r="AB47" i="83"/>
  <c r="F47" i="83"/>
  <c r="AA47" i="83"/>
  <c r="Q46" i="83"/>
  <c r="Z46" i="83"/>
  <c r="J46" i="83"/>
  <c r="AC46" i="83"/>
  <c r="Q45" i="83"/>
  <c r="Z45" i="83"/>
  <c r="H45" i="83"/>
  <c r="AB45" i="83"/>
  <c r="Q44" i="83"/>
  <c r="Z44" i="83"/>
  <c r="J44" i="83"/>
  <c r="AC44" i="83"/>
  <c r="H44" i="83"/>
  <c r="AB44" i="83"/>
  <c r="F44" i="83"/>
  <c r="AA44" i="83"/>
  <c r="Q43" i="83"/>
  <c r="Z43" i="83"/>
  <c r="Q42" i="83"/>
  <c r="Z42" i="83"/>
  <c r="J42" i="83"/>
  <c r="AC42" i="83"/>
  <c r="H42" i="83"/>
  <c r="AB42" i="83"/>
  <c r="F42" i="83"/>
  <c r="AA42" i="83"/>
  <c r="Q41" i="83"/>
  <c r="Z41" i="83"/>
  <c r="J41" i="83"/>
  <c r="AC41" i="83"/>
  <c r="H41" i="83"/>
  <c r="AB41" i="83"/>
  <c r="F41" i="83"/>
  <c r="AA41" i="83"/>
  <c r="Q40" i="83"/>
  <c r="Z40" i="83"/>
  <c r="H40" i="83"/>
  <c r="AB40" i="83"/>
  <c r="F40" i="83"/>
  <c r="AA40" i="83"/>
  <c r="Q39" i="83"/>
  <c r="Z39" i="83"/>
  <c r="J39" i="83"/>
  <c r="AC39" i="83"/>
  <c r="H39" i="83"/>
  <c r="AB39" i="83"/>
  <c r="F39" i="83"/>
  <c r="AA39" i="83"/>
  <c r="Q38" i="83"/>
  <c r="Z38" i="83"/>
  <c r="J38" i="83"/>
  <c r="AC38" i="83"/>
  <c r="H38" i="83"/>
  <c r="AB38" i="83"/>
  <c r="F38" i="83"/>
  <c r="AA38" i="83"/>
  <c r="Q37" i="83"/>
  <c r="Z37" i="83"/>
  <c r="J37" i="83"/>
  <c r="AC37" i="83"/>
  <c r="H37" i="83"/>
  <c r="AB37" i="83"/>
  <c r="F37" i="83"/>
  <c r="AA37" i="83"/>
  <c r="Q36" i="83"/>
  <c r="Z36" i="83"/>
  <c r="J36" i="83"/>
  <c r="AC36" i="83"/>
  <c r="H36" i="83"/>
  <c r="AB36" i="83"/>
  <c r="F36" i="83"/>
  <c r="AA36" i="83"/>
  <c r="Q35" i="83"/>
  <c r="Z35" i="83"/>
  <c r="J35" i="83"/>
  <c r="AC35" i="83"/>
  <c r="H35" i="83"/>
  <c r="AB35" i="83"/>
  <c r="F35" i="83"/>
  <c r="AA35" i="83"/>
  <c r="Q34" i="83"/>
  <c r="Z34" i="83"/>
  <c r="J34" i="83"/>
  <c r="AC34" i="83"/>
  <c r="H34" i="83"/>
  <c r="AB34" i="83"/>
  <c r="F34" i="83"/>
  <c r="AA34" i="83"/>
  <c r="Q33" i="83"/>
  <c r="Z33" i="83"/>
  <c r="J33" i="83"/>
  <c r="AC33" i="83"/>
  <c r="H33" i="83"/>
  <c r="AB33" i="83"/>
  <c r="F33" i="83"/>
  <c r="AA33" i="83"/>
  <c r="Q32" i="83"/>
  <c r="Z32" i="83"/>
  <c r="J32" i="83"/>
  <c r="AC32" i="83"/>
  <c r="H32" i="83"/>
  <c r="AB32" i="83"/>
  <c r="F32" i="83"/>
  <c r="AA32" i="83"/>
  <c r="Q31" i="83"/>
  <c r="Z31" i="83"/>
  <c r="J31" i="83"/>
  <c r="AC31" i="83"/>
  <c r="H31" i="83"/>
  <c r="AB31" i="83"/>
  <c r="F31" i="83"/>
  <c r="AA31" i="83"/>
  <c r="Q30" i="83"/>
  <c r="Z30" i="83"/>
  <c r="J30" i="83"/>
  <c r="AC30" i="83"/>
  <c r="H30" i="83"/>
  <c r="AB30" i="83"/>
  <c r="F30" i="83"/>
  <c r="AA30" i="83"/>
  <c r="Q29" i="83"/>
  <c r="Z29" i="83"/>
  <c r="J29" i="83"/>
  <c r="AC29" i="83"/>
  <c r="H29" i="83"/>
  <c r="AB29" i="83"/>
  <c r="F29" i="83"/>
  <c r="AA29" i="83"/>
  <c r="Q28" i="83"/>
  <c r="Z28" i="83"/>
  <c r="J28" i="83"/>
  <c r="AC28" i="83"/>
  <c r="H28" i="83"/>
  <c r="AB28" i="83"/>
  <c r="F28" i="83"/>
  <c r="AA28" i="83"/>
  <c r="Q27" i="83"/>
  <c r="Z27" i="83"/>
  <c r="J27" i="83"/>
  <c r="AC27" i="83"/>
  <c r="H27" i="83"/>
  <c r="AB27" i="83"/>
  <c r="F27" i="83"/>
  <c r="AA27" i="83"/>
  <c r="Q25" i="83"/>
  <c r="Z25" i="83"/>
  <c r="Q23" i="83"/>
  <c r="Z23" i="83"/>
  <c r="J23" i="83"/>
  <c r="AC23" i="83"/>
  <c r="H23" i="83"/>
  <c r="AB23" i="83"/>
  <c r="F23" i="83"/>
  <c r="AA23" i="83"/>
  <c r="C23" i="83"/>
  <c r="Q21" i="83"/>
  <c r="Z21" i="83"/>
  <c r="J21" i="83"/>
  <c r="AC21" i="83"/>
  <c r="H21" i="83"/>
  <c r="AB21" i="83"/>
  <c r="F21" i="83"/>
  <c r="AA21" i="83"/>
  <c r="C21" i="83"/>
  <c r="Q19" i="83"/>
  <c r="Z19" i="83"/>
  <c r="J19" i="83"/>
  <c r="AC19" i="83"/>
  <c r="H19" i="83"/>
  <c r="AB19" i="83"/>
  <c r="F19" i="83"/>
  <c r="AA19" i="83"/>
  <c r="C19" i="83"/>
  <c r="Q17" i="83"/>
  <c r="Z17" i="83"/>
  <c r="J17" i="83"/>
  <c r="AC17" i="83"/>
  <c r="H17" i="83"/>
  <c r="AB17" i="83"/>
  <c r="F17" i="83"/>
  <c r="AA17" i="83"/>
  <c r="C17" i="83"/>
  <c r="Q15" i="83"/>
  <c r="Z15" i="83"/>
  <c r="J15" i="83"/>
  <c r="AC15" i="83"/>
  <c r="H15" i="83"/>
  <c r="AB15" i="83"/>
  <c r="F15" i="83"/>
  <c r="AA15" i="83"/>
  <c r="C15" i="83"/>
  <c r="Q14" i="83"/>
  <c r="Z14" i="83"/>
  <c r="J14" i="83"/>
  <c r="AC14" i="83"/>
  <c r="H14" i="83"/>
  <c r="AB14" i="83"/>
  <c r="F14" i="83"/>
  <c r="AA14" i="83"/>
  <c r="Q13" i="83"/>
  <c r="Z13" i="83"/>
  <c r="J13" i="83"/>
  <c r="AC13" i="83"/>
  <c r="H13" i="83"/>
  <c r="AB13" i="83"/>
  <c r="F13" i="83"/>
  <c r="AA13" i="83"/>
  <c r="Q12" i="83"/>
  <c r="Z12" i="83"/>
  <c r="J12" i="83"/>
  <c r="AC12" i="83"/>
  <c r="H12" i="83"/>
  <c r="AB12" i="83"/>
  <c r="F12" i="83"/>
  <c r="AA12" i="83"/>
  <c r="Q11" i="83"/>
  <c r="Z11" i="83"/>
  <c r="J11" i="83"/>
  <c r="AC11" i="83"/>
  <c r="H11" i="83"/>
  <c r="AB11" i="83"/>
  <c r="F11" i="83"/>
  <c r="AA11" i="83"/>
  <c r="Q10" i="83"/>
  <c r="Z10" i="83"/>
  <c r="J10" i="83"/>
  <c r="AC10" i="83"/>
  <c r="H10" i="83"/>
  <c r="AB10" i="83"/>
  <c r="F10" i="83"/>
  <c r="AA10" i="83"/>
  <c r="Q9" i="83"/>
  <c r="Z9" i="83"/>
  <c r="J9" i="83"/>
  <c r="AC9" i="83"/>
  <c r="H9" i="83"/>
  <c r="AB9" i="83"/>
  <c r="F9" i="83"/>
  <c r="AA9" i="83"/>
  <c r="J8" i="83"/>
  <c r="W8" i="83"/>
  <c r="H8" i="83"/>
  <c r="AB8" i="83"/>
  <c r="F8" i="83"/>
  <c r="S8" i="83"/>
  <c r="P74" i="82"/>
  <c r="Q72" i="82"/>
  <c r="Q59" i="82"/>
  <c r="K59" i="82"/>
  <c r="P61" i="82"/>
  <c r="F59" i="82"/>
  <c r="Q58" i="82"/>
  <c r="Q51" i="82"/>
  <c r="J50" i="82"/>
  <c r="M47" i="82"/>
  <c r="D46" i="82"/>
  <c r="F33" i="82"/>
  <c r="F61" i="82"/>
  <c r="F31" i="82"/>
  <c r="F23" i="82"/>
  <c r="D24" i="82"/>
  <c r="D23" i="82"/>
  <c r="D22" i="82"/>
  <c r="F21" i="82"/>
  <c r="F20" i="82"/>
  <c r="M19" i="82"/>
  <c r="F18" i="82"/>
  <c r="M17" i="82"/>
  <c r="F17" i="82"/>
  <c r="F15" i="82"/>
  <c r="Q72" i="81"/>
  <c r="Q59" i="81"/>
  <c r="K59" i="81"/>
  <c r="P74" i="81"/>
  <c r="F59" i="81"/>
  <c r="Q58" i="81"/>
  <c r="Q51" i="81"/>
  <c r="J50" i="81"/>
  <c r="M47" i="81"/>
  <c r="D46" i="81"/>
  <c r="F33" i="81"/>
  <c r="F61" i="81"/>
  <c r="F31" i="81"/>
  <c r="F23" i="81"/>
  <c r="D23" i="81"/>
  <c r="F21" i="81"/>
  <c r="F20" i="81"/>
  <c r="M19" i="81"/>
  <c r="F18" i="81"/>
  <c r="M17" i="81"/>
  <c r="F17" i="81"/>
  <c r="F15" i="81"/>
  <c r="A126" i="80"/>
  <c r="A120" i="80"/>
  <c r="H111" i="80"/>
  <c r="D126" i="80"/>
  <c r="D127" i="80"/>
  <c r="E111" i="80"/>
  <c r="H112" i="80"/>
  <c r="E109" i="80"/>
  <c r="A124" i="80"/>
  <c r="E107" i="80"/>
  <c r="A122" i="80"/>
  <c r="H106" i="80"/>
  <c r="H103" i="80"/>
  <c r="D120" i="80"/>
  <c r="H105" i="80"/>
  <c r="H104" i="80"/>
  <c r="D101" i="80"/>
  <c r="C101" i="80"/>
  <c r="C91" i="80"/>
  <c r="E90" i="80"/>
  <c r="D89" i="80"/>
  <c r="C89" i="80"/>
  <c r="C87" i="80"/>
  <c r="H77" i="80"/>
  <c r="D77" i="80"/>
  <c r="C76" i="80"/>
  <c r="F59" i="80"/>
  <c r="E59" i="80"/>
  <c r="D59" i="80"/>
  <c r="F56" i="80"/>
  <c r="O55" i="80"/>
  <c r="N55" i="80"/>
  <c r="M55" i="80"/>
  <c r="K55" i="80"/>
  <c r="J55" i="80"/>
  <c r="I55" i="80"/>
  <c r="F55" i="80"/>
  <c r="O53" i="80"/>
  <c r="O54" i="80"/>
  <c r="N54" i="80"/>
  <c r="N53" i="80"/>
  <c r="K49" i="80"/>
  <c r="F48" i="80"/>
  <c r="O52" i="80"/>
  <c r="E48" i="80"/>
  <c r="N52" i="80"/>
  <c r="D48" i="80"/>
  <c r="M52" i="80"/>
  <c r="F33" i="80"/>
  <c r="D27" i="80"/>
  <c r="C25" i="80"/>
  <c r="C24" i="80"/>
  <c r="C17" i="80"/>
  <c r="D14" i="80"/>
  <c r="D17" i="80"/>
  <c r="L4" i="80"/>
  <c r="K4" i="80"/>
  <c r="H1" i="80"/>
  <c r="A120" i="79"/>
  <c r="E111" i="79"/>
  <c r="H112" i="79"/>
  <c r="E109" i="79"/>
  <c r="A124" i="79"/>
  <c r="E107" i="79"/>
  <c r="A122" i="79"/>
  <c r="H106" i="79"/>
  <c r="H105" i="79"/>
  <c r="H104" i="79"/>
  <c r="D101" i="79"/>
  <c r="C101" i="79"/>
  <c r="C91" i="79"/>
  <c r="E90" i="79"/>
  <c r="D89" i="79"/>
  <c r="C89" i="79"/>
  <c r="C87" i="79"/>
  <c r="H77" i="79"/>
  <c r="D77" i="79"/>
  <c r="C76" i="79"/>
  <c r="F59" i="79"/>
  <c r="E59" i="79"/>
  <c r="D59" i="79"/>
  <c r="M55" i="79"/>
  <c r="F56" i="79"/>
  <c r="O55" i="79"/>
  <c r="N55" i="79"/>
  <c r="K55" i="79"/>
  <c r="J55" i="79"/>
  <c r="I55" i="79"/>
  <c r="F55" i="79"/>
  <c r="O53" i="79"/>
  <c r="O54" i="79"/>
  <c r="N54" i="79"/>
  <c r="N53" i="79"/>
  <c r="K49" i="79"/>
  <c r="F48" i="79"/>
  <c r="O52" i="79"/>
  <c r="E48" i="79"/>
  <c r="N52" i="79"/>
  <c r="D48" i="79"/>
  <c r="M52" i="79"/>
  <c r="F33" i="79"/>
  <c r="D27" i="79"/>
  <c r="C25" i="79"/>
  <c r="C24" i="79"/>
  <c r="C17" i="79"/>
  <c r="D14" i="79"/>
  <c r="D17" i="79"/>
  <c r="L4" i="79"/>
  <c r="K4" i="79"/>
  <c r="H1" i="79"/>
  <c r="C49" i="78"/>
  <c r="I6" i="78"/>
  <c r="D34" i="79"/>
  <c r="D34" i="80"/>
  <c r="D2" i="83"/>
  <c r="D35" i="79"/>
  <c r="D35" i="80"/>
  <c r="H103" i="79"/>
  <c r="D120" i="79"/>
  <c r="H111" i="79"/>
  <c r="D126" i="79"/>
  <c r="D127" i="79"/>
  <c r="A126" i="79"/>
  <c r="U8" i="83"/>
  <c r="F43" i="83"/>
  <c r="AA43" i="83"/>
  <c r="H43" i="83"/>
  <c r="AB43" i="83"/>
  <c r="J43" i="83"/>
  <c r="AC43" i="83"/>
  <c r="D22" i="81"/>
  <c r="F46" i="83"/>
  <c r="AA46" i="83"/>
  <c r="J40" i="83"/>
  <c r="AC40" i="83"/>
  <c r="G88" i="83"/>
  <c r="H88" i="83"/>
  <c r="I88" i="83"/>
  <c r="J88" i="83"/>
  <c r="K88" i="83"/>
  <c r="L88" i="83"/>
  <c r="M88" i="83"/>
  <c r="H25" i="83"/>
  <c r="AB25" i="83"/>
  <c r="J25" i="83"/>
  <c r="AC25" i="83"/>
  <c r="F25" i="83"/>
  <c r="AA25" i="83"/>
  <c r="F45" i="83"/>
  <c r="AA45" i="83"/>
  <c r="AA8" i="83"/>
  <c r="AC8" i="83"/>
  <c r="U9" i="83"/>
  <c r="S10" i="83"/>
  <c r="W10" i="83"/>
  <c r="U11" i="83"/>
  <c r="S12" i="83"/>
  <c r="W12" i="83"/>
  <c r="U13" i="83"/>
  <c r="S14" i="83"/>
  <c r="W14" i="83"/>
  <c r="S15" i="83"/>
  <c r="W15" i="83"/>
  <c r="S17" i="83"/>
  <c r="W17" i="83"/>
  <c r="S19" i="83"/>
  <c r="W19" i="83"/>
  <c r="U21" i="83"/>
  <c r="S9" i="83"/>
  <c r="W9" i="83"/>
  <c r="U10" i="83"/>
  <c r="S11" i="83"/>
  <c r="W11" i="83"/>
  <c r="U12" i="83"/>
  <c r="S13" i="83"/>
  <c r="W13" i="83"/>
  <c r="U14" i="83"/>
  <c r="U15" i="83"/>
  <c r="U17" i="83"/>
  <c r="U19" i="83"/>
  <c r="S21" i="83"/>
  <c r="W21" i="83"/>
  <c r="S23" i="83"/>
  <c r="W23" i="83"/>
  <c r="U25" i="83"/>
  <c r="S27" i="83"/>
  <c r="W27" i="83"/>
  <c r="U28" i="83"/>
  <c r="S29" i="83"/>
  <c r="W29" i="83"/>
  <c r="U30" i="83"/>
  <c r="S31" i="83"/>
  <c r="W31" i="83"/>
  <c r="U32" i="83"/>
  <c r="S33" i="83"/>
  <c r="W33" i="83"/>
  <c r="U34" i="83"/>
  <c r="S35" i="83"/>
  <c r="W35" i="83"/>
  <c r="U36" i="83"/>
  <c r="S37" i="83"/>
  <c r="W37" i="83"/>
  <c r="U38" i="83"/>
  <c r="S39" i="83"/>
  <c r="W39" i="83"/>
  <c r="U40" i="83"/>
  <c r="S41" i="83"/>
  <c r="W41" i="83"/>
  <c r="U42" i="83"/>
  <c r="W43" i="83"/>
  <c r="U44" i="83"/>
  <c r="S45" i="83"/>
  <c r="W45" i="83"/>
  <c r="U46" i="83"/>
  <c r="S47" i="83"/>
  <c r="W47" i="83"/>
  <c r="U23" i="83"/>
  <c r="S25" i="83"/>
  <c r="U27" i="83"/>
  <c r="S28" i="83"/>
  <c r="W28" i="83"/>
  <c r="U29" i="83"/>
  <c r="S30" i="83"/>
  <c r="W30" i="83"/>
  <c r="U31" i="83"/>
  <c r="S32" i="83"/>
  <c r="W32" i="83"/>
  <c r="U33" i="83"/>
  <c r="S34" i="83"/>
  <c r="W34" i="83"/>
  <c r="U35" i="83"/>
  <c r="S36" i="83"/>
  <c r="W36" i="83"/>
  <c r="U37" i="83"/>
  <c r="S38" i="83"/>
  <c r="W38" i="83"/>
  <c r="U39" i="83"/>
  <c r="S40" i="83"/>
  <c r="W40" i="83"/>
  <c r="U41" i="83"/>
  <c r="S42" i="83"/>
  <c r="W42" i="83"/>
  <c r="U43" i="83"/>
  <c r="S44" i="83"/>
  <c r="W44" i="83"/>
  <c r="U45" i="83"/>
  <c r="W46" i="83"/>
  <c r="U47" i="83"/>
  <c r="D24" i="81"/>
  <c r="P61" i="81"/>
  <c r="C18" i="80"/>
  <c r="D18" i="80"/>
  <c r="C92" i="80"/>
  <c r="C94" i="80"/>
  <c r="K120" i="80"/>
  <c r="D121" i="80"/>
  <c r="H109" i="80"/>
  <c r="K120" i="79"/>
  <c r="D121" i="79"/>
  <c r="C18" i="79"/>
  <c r="D18" i="79"/>
  <c r="C92" i="79"/>
  <c r="C94" i="79"/>
  <c r="H109" i="79"/>
  <c r="C56" i="78"/>
  <c r="D14" i="9"/>
  <c r="B7" i="4"/>
  <c r="D3" i="4"/>
  <c r="G2" i="43"/>
  <c r="G17" i="43"/>
  <c r="H17" i="43"/>
  <c r="J17" i="43"/>
  <c r="C10" i="43"/>
  <c r="C11" i="43"/>
  <c r="E8" i="43"/>
  <c r="E10" i="43"/>
  <c r="C9" i="43"/>
  <c r="C15" i="43"/>
  <c r="D15" i="43"/>
  <c r="E15" i="43"/>
  <c r="F15" i="43"/>
  <c r="C12" i="43"/>
  <c r="C18" i="43"/>
  <c r="B2" i="1"/>
  <c r="N6" i="71"/>
  <c r="B6" i="71"/>
  <c r="B5" i="71"/>
  <c r="N5" i="71"/>
  <c r="O6" i="71"/>
  <c r="C6" i="71"/>
  <c r="O5" i="71"/>
  <c r="P6" i="71"/>
  <c r="E6" i="71"/>
  <c r="P5" i="71"/>
  <c r="E5" i="71"/>
  <c r="Q6" i="71"/>
  <c r="F6" i="71"/>
  <c r="Q5" i="71"/>
  <c r="F5" i="71"/>
  <c r="D7" i="71"/>
  <c r="N10" i="71"/>
  <c r="B10" i="71"/>
  <c r="N9" i="71"/>
  <c r="B9" i="71"/>
  <c r="N8" i="71"/>
  <c r="B8" i="71"/>
  <c r="O10" i="71"/>
  <c r="C10" i="71"/>
  <c r="D10" i="71"/>
  <c r="O9" i="71"/>
  <c r="C9" i="71"/>
  <c r="O8" i="71"/>
  <c r="C8" i="71"/>
  <c r="D8" i="71"/>
  <c r="P10" i="71"/>
  <c r="E10" i="71"/>
  <c r="E9" i="71"/>
  <c r="P9" i="71"/>
  <c r="P8" i="71"/>
  <c r="Q10" i="71"/>
  <c r="F10" i="71"/>
  <c r="Q9" i="71"/>
  <c r="Q8" i="71"/>
  <c r="D9" i="71"/>
  <c r="D11" i="71"/>
  <c r="N11" i="71"/>
  <c r="B12" i="71"/>
  <c r="O11" i="71"/>
  <c r="C12" i="71"/>
  <c r="P11" i="71"/>
  <c r="E12" i="71"/>
  <c r="Q11" i="71"/>
  <c r="F12" i="71"/>
  <c r="N12" i="71"/>
  <c r="O12" i="71"/>
  <c r="P12" i="71"/>
  <c r="E13" i="71"/>
  <c r="E14" i="71"/>
  <c r="Q12" i="71"/>
  <c r="F13" i="71"/>
  <c r="N13" i="71"/>
  <c r="O13" i="71"/>
  <c r="P13" i="71"/>
  <c r="Q13" i="71"/>
  <c r="D15" i="71"/>
  <c r="N15" i="71"/>
  <c r="B16" i="71"/>
  <c r="O15" i="71"/>
  <c r="C16" i="71"/>
  <c r="P15" i="71"/>
  <c r="E16" i="71"/>
  <c r="Q15" i="71"/>
  <c r="F16" i="71"/>
  <c r="N16" i="71"/>
  <c r="O16" i="71"/>
  <c r="P16" i="71"/>
  <c r="E17" i="71"/>
  <c r="E18" i="71"/>
  <c r="Q16" i="71"/>
  <c r="F17" i="71"/>
  <c r="N17" i="71"/>
  <c r="O17" i="71"/>
  <c r="P17" i="71"/>
  <c r="Q17" i="71"/>
  <c r="D19" i="71"/>
  <c r="N19" i="71"/>
  <c r="B20" i="71"/>
  <c r="O19" i="71"/>
  <c r="C20" i="71"/>
  <c r="P19" i="71"/>
  <c r="E20" i="71"/>
  <c r="Q19" i="71"/>
  <c r="F20" i="71"/>
  <c r="N20" i="71"/>
  <c r="O20" i="71"/>
  <c r="P20" i="71"/>
  <c r="E21" i="71"/>
  <c r="E22" i="71"/>
  <c r="Q20" i="71"/>
  <c r="F21" i="71"/>
  <c r="N21" i="71"/>
  <c r="O21" i="71"/>
  <c r="P21" i="71"/>
  <c r="Q21" i="71"/>
  <c r="J20" i="43"/>
  <c r="AD5" i="3"/>
  <c r="AH5" i="3"/>
  <c r="AL5" i="3"/>
  <c r="AP5" i="3"/>
  <c r="I5" i="3"/>
  <c r="F19" i="6"/>
  <c r="E19" i="6"/>
  <c r="K6" i="1"/>
  <c r="M6" i="1"/>
  <c r="D5" i="43"/>
  <c r="F33" i="43"/>
  <c r="H33" i="43"/>
  <c r="F34" i="43"/>
  <c r="F35" i="43"/>
  <c r="F36" i="43"/>
  <c r="F37" i="43"/>
  <c r="F38" i="43"/>
  <c r="F39" i="43"/>
  <c r="C99" i="43"/>
  <c r="C100" i="43"/>
  <c r="C108" i="43"/>
  <c r="D48" i="43"/>
  <c r="D49" i="43"/>
  <c r="D50" i="43"/>
  <c r="D51" i="43"/>
  <c r="D52" i="43"/>
  <c r="D53" i="43"/>
  <c r="D54" i="43"/>
  <c r="D55" i="43"/>
  <c r="D56" i="43"/>
  <c r="D63" i="43"/>
  <c r="D70" i="43"/>
  <c r="D71" i="43"/>
  <c r="D72" i="43"/>
  <c r="D73" i="43"/>
  <c r="D74" i="43"/>
  <c r="D75" i="43"/>
  <c r="D76" i="43"/>
  <c r="D77" i="43"/>
  <c r="D78" i="43"/>
  <c r="D81" i="43"/>
  <c r="D82" i="43"/>
  <c r="D83" i="43"/>
  <c r="D84" i="43"/>
  <c r="D85" i="43"/>
  <c r="D86" i="43"/>
  <c r="D87" i="43"/>
  <c r="D88" i="43"/>
  <c r="D99" i="43"/>
  <c r="D100" i="43"/>
  <c r="D108" i="43"/>
  <c r="F113" i="43"/>
  <c r="H113" i="43"/>
  <c r="AH5" i="71"/>
  <c r="AG5" i="71"/>
  <c r="AE5" i="71"/>
  <c r="AF5" i="71"/>
  <c r="AD5" i="71"/>
  <c r="L3" i="71"/>
  <c r="K3" i="71"/>
  <c r="I3" i="71"/>
  <c r="J3" i="71"/>
  <c r="BB13" i="3"/>
  <c r="BC13" i="3"/>
  <c r="BD13" i="3"/>
  <c r="BE13" i="3"/>
  <c r="BF13" i="3"/>
  <c r="BG13" i="3"/>
  <c r="BH13" i="3"/>
  <c r="BI13" i="3"/>
  <c r="BJ13" i="3"/>
  <c r="BK13" i="3"/>
  <c r="BM13" i="3"/>
  <c r="BN13" i="3"/>
  <c r="BO13" i="3"/>
  <c r="BP13" i="3"/>
  <c r="BQ13" i="3"/>
  <c r="BR13" i="3"/>
  <c r="BS13" i="3"/>
  <c r="BT13" i="3"/>
  <c r="BL13" i="3"/>
  <c r="BB14" i="3"/>
  <c r="BC14" i="3"/>
  <c r="BC15" i="3"/>
  <c r="BC5" i="3"/>
  <c r="BD14" i="3"/>
  <c r="BE14" i="3"/>
  <c r="BF14" i="3"/>
  <c r="BG14" i="3"/>
  <c r="BH14" i="3"/>
  <c r="BI14" i="3"/>
  <c r="BJ14" i="3"/>
  <c r="BK14" i="3"/>
  <c r="BM14" i="3"/>
  <c r="BN14" i="3"/>
  <c r="BO14" i="3"/>
  <c r="BP14" i="3"/>
  <c r="BQ14" i="3"/>
  <c r="BR14" i="3"/>
  <c r="BS14" i="3"/>
  <c r="BT14" i="3"/>
  <c r="BL14" i="3"/>
  <c r="BB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A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L21" i="3"/>
  <c r="BB22" i="3"/>
  <c r="BC22" i="3"/>
  <c r="BD22" i="3"/>
  <c r="BE22" i="3"/>
  <c r="BF22" i="3"/>
  <c r="BG22" i="3"/>
  <c r="BH22" i="3"/>
  <c r="BI22" i="3"/>
  <c r="BJ22" i="3"/>
  <c r="BK22" i="3"/>
  <c r="BA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A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A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L36" i="3"/>
  <c r="BB37" i="3"/>
  <c r="BC37" i="3"/>
  <c r="BD37" i="3"/>
  <c r="BE37" i="3"/>
  <c r="BF37" i="3"/>
  <c r="BG37" i="3"/>
  <c r="BH37" i="3"/>
  <c r="BI37" i="3"/>
  <c r="BJ37" i="3"/>
  <c r="BK37" i="3"/>
  <c r="BA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L38" i="3"/>
  <c r="BB39" i="3"/>
  <c r="BC39" i="3"/>
  <c r="BD39" i="3"/>
  <c r="BE39" i="3"/>
  <c r="BF39" i="3"/>
  <c r="BG39" i="3"/>
  <c r="BH39" i="3"/>
  <c r="BI39" i="3"/>
  <c r="BJ39" i="3"/>
  <c r="BK39" i="3"/>
  <c r="BA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L40" i="3"/>
  <c r="BB41" i="3"/>
  <c r="BC41" i="3"/>
  <c r="BD41" i="3"/>
  <c r="BE41" i="3"/>
  <c r="BF41" i="3"/>
  <c r="BG41" i="3"/>
  <c r="BH41" i="3"/>
  <c r="BI41" i="3"/>
  <c r="BJ41" i="3"/>
  <c r="BK41" i="3"/>
  <c r="BA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L42" i="3"/>
  <c r="BB43" i="3"/>
  <c r="BC43" i="3"/>
  <c r="BD43" i="3"/>
  <c r="BE43" i="3"/>
  <c r="BF43" i="3"/>
  <c r="BG43" i="3"/>
  <c r="BH43" i="3"/>
  <c r="BI43" i="3"/>
  <c r="BJ43" i="3"/>
  <c r="BK43" i="3"/>
  <c r="BA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A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L46" i="3"/>
  <c r="BB47" i="3"/>
  <c r="BC47" i="3"/>
  <c r="BD47" i="3"/>
  <c r="BE47" i="3"/>
  <c r="BF47" i="3"/>
  <c r="BG47" i="3"/>
  <c r="BH47" i="3"/>
  <c r="BI47" i="3"/>
  <c r="BJ47" i="3"/>
  <c r="BK47" i="3"/>
  <c r="BA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A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A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A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A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A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A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A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A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A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A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L70" i="3"/>
  <c r="BB71" i="3"/>
  <c r="BC71" i="3"/>
  <c r="BD71" i="3"/>
  <c r="BE71" i="3"/>
  <c r="BF71" i="3"/>
  <c r="BG71" i="3"/>
  <c r="BH71" i="3"/>
  <c r="BI71" i="3"/>
  <c r="BJ71" i="3"/>
  <c r="BK71" i="3"/>
  <c r="BA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A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L74" i="3"/>
  <c r="BB75" i="3"/>
  <c r="BC75" i="3"/>
  <c r="BD75" i="3"/>
  <c r="BE75" i="3"/>
  <c r="BF75" i="3"/>
  <c r="BG75" i="3"/>
  <c r="BH75" i="3"/>
  <c r="BI75" i="3"/>
  <c r="BJ75" i="3"/>
  <c r="BK75" i="3"/>
  <c r="BA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A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L78" i="3"/>
  <c r="BB79" i="3"/>
  <c r="BC79" i="3"/>
  <c r="BD79" i="3"/>
  <c r="BE79" i="3"/>
  <c r="BF79" i="3"/>
  <c r="BG79" i="3"/>
  <c r="BH79" i="3"/>
  <c r="BI79" i="3"/>
  <c r="BJ79" i="3"/>
  <c r="BK79" i="3"/>
  <c r="BA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L80" i="3"/>
  <c r="BB81" i="3"/>
  <c r="BC81" i="3"/>
  <c r="BD81" i="3"/>
  <c r="BE81" i="3"/>
  <c r="BF81" i="3"/>
  <c r="BG81" i="3"/>
  <c r="BH81" i="3"/>
  <c r="BI81" i="3"/>
  <c r="BJ81" i="3"/>
  <c r="BK81" i="3"/>
  <c r="BA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L82" i="3"/>
  <c r="BB83" i="3"/>
  <c r="BC83" i="3"/>
  <c r="BD83" i="3"/>
  <c r="BE83" i="3"/>
  <c r="BF83" i="3"/>
  <c r="BG83" i="3"/>
  <c r="BH83" i="3"/>
  <c r="BI83" i="3"/>
  <c r="BJ83" i="3"/>
  <c r="BK83" i="3"/>
  <c r="BA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A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L86" i="3"/>
  <c r="BB87" i="3"/>
  <c r="BC87" i="3"/>
  <c r="BD87" i="3"/>
  <c r="BE87" i="3"/>
  <c r="BF87" i="3"/>
  <c r="BG87" i="3"/>
  <c r="BH87" i="3"/>
  <c r="BI87" i="3"/>
  <c r="BJ87" i="3"/>
  <c r="BK87" i="3"/>
  <c r="BA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L88" i="3"/>
  <c r="BB89" i="3"/>
  <c r="BC89" i="3"/>
  <c r="BD89" i="3"/>
  <c r="BE89" i="3"/>
  <c r="BF89" i="3"/>
  <c r="BG89" i="3"/>
  <c r="BH89" i="3"/>
  <c r="BI89" i="3"/>
  <c r="BJ89" i="3"/>
  <c r="BK89" i="3"/>
  <c r="BA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L90" i="3"/>
  <c r="BB91" i="3"/>
  <c r="BC91" i="3"/>
  <c r="BD91" i="3"/>
  <c r="BE91" i="3"/>
  <c r="BF91" i="3"/>
  <c r="BG91" i="3"/>
  <c r="BH91" i="3"/>
  <c r="BI91" i="3"/>
  <c r="BJ91" i="3"/>
  <c r="BK91" i="3"/>
  <c r="BA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L92" i="3"/>
  <c r="BB93" i="3"/>
  <c r="BC93" i="3"/>
  <c r="BD93" i="3"/>
  <c r="BE93" i="3"/>
  <c r="BF93" i="3"/>
  <c r="BG93" i="3"/>
  <c r="BH93" i="3"/>
  <c r="BI93" i="3"/>
  <c r="BJ93" i="3"/>
  <c r="BK93" i="3"/>
  <c r="BA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L94" i="3"/>
  <c r="BB95" i="3"/>
  <c r="BC95" i="3"/>
  <c r="BD95" i="3"/>
  <c r="BE95" i="3"/>
  <c r="BF95" i="3"/>
  <c r="BG95" i="3"/>
  <c r="BH95" i="3"/>
  <c r="BI95" i="3"/>
  <c r="BJ95" i="3"/>
  <c r="BK95" i="3"/>
  <c r="BA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L96" i="3"/>
  <c r="BB97" i="3"/>
  <c r="BC97" i="3"/>
  <c r="BD97" i="3"/>
  <c r="BE97" i="3"/>
  <c r="BF97" i="3"/>
  <c r="BG97" i="3"/>
  <c r="BH97" i="3"/>
  <c r="BI97" i="3"/>
  <c r="BJ97" i="3"/>
  <c r="BK97" i="3"/>
  <c r="BA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L98" i="3"/>
  <c r="BB99" i="3"/>
  <c r="BC99" i="3"/>
  <c r="BD99" i="3"/>
  <c r="BE99" i="3"/>
  <c r="BF99" i="3"/>
  <c r="BG99" i="3"/>
  <c r="BH99" i="3"/>
  <c r="BI99" i="3"/>
  <c r="BJ99" i="3"/>
  <c r="BK99" i="3"/>
  <c r="BA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L100" i="3"/>
  <c r="BB101" i="3"/>
  <c r="BC101" i="3"/>
  <c r="BD101" i="3"/>
  <c r="BE101" i="3"/>
  <c r="BF101" i="3"/>
  <c r="BG101" i="3"/>
  <c r="BH101" i="3"/>
  <c r="BI101" i="3"/>
  <c r="BJ101" i="3"/>
  <c r="BK101" i="3"/>
  <c r="BA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L102" i="3"/>
  <c r="BB103" i="3"/>
  <c r="BC103" i="3"/>
  <c r="BD103" i="3"/>
  <c r="BE103" i="3"/>
  <c r="BF103" i="3"/>
  <c r="BG103" i="3"/>
  <c r="BH103" i="3"/>
  <c r="BI103" i="3"/>
  <c r="BJ103" i="3"/>
  <c r="BK103" i="3"/>
  <c r="BA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L104" i="3"/>
  <c r="BB105" i="3"/>
  <c r="BC105" i="3"/>
  <c r="BD105" i="3"/>
  <c r="BE105" i="3"/>
  <c r="BF105" i="3"/>
  <c r="BG105" i="3"/>
  <c r="BH105" i="3"/>
  <c r="BI105" i="3"/>
  <c r="BJ105" i="3"/>
  <c r="BK105" i="3"/>
  <c r="BA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L106" i="3"/>
  <c r="BB107" i="3"/>
  <c r="BC107" i="3"/>
  <c r="BD107" i="3"/>
  <c r="BE107" i="3"/>
  <c r="BF107" i="3"/>
  <c r="BG107" i="3"/>
  <c r="BH107" i="3"/>
  <c r="BI107" i="3"/>
  <c r="BJ107" i="3"/>
  <c r="BK107" i="3"/>
  <c r="BA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L108" i="3"/>
  <c r="BB109" i="3"/>
  <c r="BC109" i="3"/>
  <c r="BD109" i="3"/>
  <c r="BE109" i="3"/>
  <c r="BF109" i="3"/>
  <c r="BG109" i="3"/>
  <c r="BH109" i="3"/>
  <c r="BI109" i="3"/>
  <c r="BJ109" i="3"/>
  <c r="BK109" i="3"/>
  <c r="BA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L110" i="3"/>
  <c r="BB111" i="3"/>
  <c r="BC111" i="3"/>
  <c r="BD111" i="3"/>
  <c r="BE111" i="3"/>
  <c r="BF111" i="3"/>
  <c r="BG111" i="3"/>
  <c r="BH111" i="3"/>
  <c r="BI111" i="3"/>
  <c r="BJ111" i="3"/>
  <c r="BK111" i="3"/>
  <c r="BA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L112" i="3"/>
  <c r="BB113" i="3"/>
  <c r="BC113" i="3"/>
  <c r="BD113" i="3"/>
  <c r="BE113" i="3"/>
  <c r="BF113" i="3"/>
  <c r="BG113" i="3"/>
  <c r="BH113" i="3"/>
  <c r="BI113" i="3"/>
  <c r="BJ113" i="3"/>
  <c r="BK113" i="3"/>
  <c r="BA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L114" i="3"/>
  <c r="BB115" i="3"/>
  <c r="BC115" i="3"/>
  <c r="BD115" i="3"/>
  <c r="BE115" i="3"/>
  <c r="BF115" i="3"/>
  <c r="BG115" i="3"/>
  <c r="BH115" i="3"/>
  <c r="BI115" i="3"/>
  <c r="BJ115" i="3"/>
  <c r="BK115" i="3"/>
  <c r="BA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L116" i="3"/>
  <c r="BB117" i="3"/>
  <c r="BC117" i="3"/>
  <c r="BD117" i="3"/>
  <c r="BE117" i="3"/>
  <c r="BF117" i="3"/>
  <c r="BG117" i="3"/>
  <c r="BH117" i="3"/>
  <c r="BI117" i="3"/>
  <c r="BJ117" i="3"/>
  <c r="BK117" i="3"/>
  <c r="BA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L118" i="3"/>
  <c r="BB119" i="3"/>
  <c r="BC119" i="3"/>
  <c r="BD119" i="3"/>
  <c r="BE119" i="3"/>
  <c r="BF119" i="3"/>
  <c r="BG119" i="3"/>
  <c r="BH119" i="3"/>
  <c r="BI119" i="3"/>
  <c r="BJ119" i="3"/>
  <c r="BK119" i="3"/>
  <c r="BA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L120" i="3"/>
  <c r="BB121" i="3"/>
  <c r="BC121" i="3"/>
  <c r="BD121" i="3"/>
  <c r="BE121" i="3"/>
  <c r="BF121" i="3"/>
  <c r="BG121" i="3"/>
  <c r="BH121" i="3"/>
  <c r="BI121" i="3"/>
  <c r="BJ121" i="3"/>
  <c r="BK121" i="3"/>
  <c r="BA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L122" i="3"/>
  <c r="BB123" i="3"/>
  <c r="BC123" i="3"/>
  <c r="BD123" i="3"/>
  <c r="BE123" i="3"/>
  <c r="BF123" i="3"/>
  <c r="BG123" i="3"/>
  <c r="BH123" i="3"/>
  <c r="BI123" i="3"/>
  <c r="BJ123" i="3"/>
  <c r="BK123" i="3"/>
  <c r="BA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L124" i="3"/>
  <c r="BB125" i="3"/>
  <c r="BC125" i="3"/>
  <c r="BD125" i="3"/>
  <c r="BE125" i="3"/>
  <c r="BF125" i="3"/>
  <c r="BG125" i="3"/>
  <c r="BH125" i="3"/>
  <c r="BI125" i="3"/>
  <c r="BJ125" i="3"/>
  <c r="BK125" i="3"/>
  <c r="BA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L126" i="3"/>
  <c r="BB127" i="3"/>
  <c r="BC127" i="3"/>
  <c r="BD127" i="3"/>
  <c r="BE127" i="3"/>
  <c r="BF127" i="3"/>
  <c r="BG127" i="3"/>
  <c r="BH127" i="3"/>
  <c r="BI127" i="3"/>
  <c r="BJ127" i="3"/>
  <c r="BK127" i="3"/>
  <c r="BA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L128" i="3"/>
  <c r="BB129" i="3"/>
  <c r="BC129" i="3"/>
  <c r="BD129" i="3"/>
  <c r="BE129" i="3"/>
  <c r="BF129" i="3"/>
  <c r="BG129" i="3"/>
  <c r="BH129" i="3"/>
  <c r="BI129" i="3"/>
  <c r="BJ129" i="3"/>
  <c r="BK129" i="3"/>
  <c r="BA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L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L132" i="3"/>
  <c r="BB133" i="3"/>
  <c r="BC133" i="3"/>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A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A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A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A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A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A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A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L163" i="3"/>
  <c r="BB164" i="3"/>
  <c r="BC164" i="3"/>
  <c r="BD164" i="3"/>
  <c r="BE164" i="3"/>
  <c r="BF164" i="3"/>
  <c r="BG164" i="3"/>
  <c r="BH164" i="3"/>
  <c r="BI164" i="3"/>
  <c r="BJ164" i="3"/>
  <c r="BK164" i="3"/>
  <c r="BA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L171" i="3"/>
  <c r="BB172" i="3"/>
  <c r="BC172" i="3"/>
  <c r="BD172" i="3"/>
  <c r="BE172" i="3"/>
  <c r="BF172" i="3"/>
  <c r="BG172" i="3"/>
  <c r="BH172" i="3"/>
  <c r="BI172" i="3"/>
  <c r="BJ172" i="3"/>
  <c r="BK172" i="3"/>
  <c r="BA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A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A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L177" i="3"/>
  <c r="BB178" i="3"/>
  <c r="BC178" i="3"/>
  <c r="BD178" i="3"/>
  <c r="BE178" i="3"/>
  <c r="BF178" i="3"/>
  <c r="BG178" i="3"/>
  <c r="BH178" i="3"/>
  <c r="BI178" i="3"/>
  <c r="BJ178" i="3"/>
  <c r="BK178" i="3"/>
  <c r="BA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L179" i="3"/>
  <c r="BB180" i="3"/>
  <c r="BC180" i="3"/>
  <c r="BD180" i="3"/>
  <c r="BE180" i="3"/>
  <c r="BF180" i="3"/>
  <c r="BG180" i="3"/>
  <c r="BH180" i="3"/>
  <c r="BI180" i="3"/>
  <c r="BJ180" i="3"/>
  <c r="BK180" i="3"/>
  <c r="BA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A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L185" i="3"/>
  <c r="BB186" i="3"/>
  <c r="BC186" i="3"/>
  <c r="BD186" i="3"/>
  <c r="BE186" i="3"/>
  <c r="BF186" i="3"/>
  <c r="BG186" i="3"/>
  <c r="BH186" i="3"/>
  <c r="BI186" i="3"/>
  <c r="BJ186" i="3"/>
  <c r="BK186" i="3"/>
  <c r="BA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L187" i="3"/>
  <c r="BB188" i="3"/>
  <c r="BC188" i="3"/>
  <c r="BD188" i="3"/>
  <c r="BE188" i="3"/>
  <c r="BF188" i="3"/>
  <c r="BG188" i="3"/>
  <c r="BH188" i="3"/>
  <c r="BI188" i="3"/>
  <c r="BJ188" i="3"/>
  <c r="BK188" i="3"/>
  <c r="BA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L189" i="3"/>
  <c r="BB190" i="3"/>
  <c r="BC190" i="3"/>
  <c r="BD190" i="3"/>
  <c r="BE190" i="3"/>
  <c r="BF190" i="3"/>
  <c r="BG190" i="3"/>
  <c r="BH190" i="3"/>
  <c r="BI190" i="3"/>
  <c r="BJ190" i="3"/>
  <c r="BK190" i="3"/>
  <c r="BA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L191" i="3"/>
  <c r="BB192" i="3"/>
  <c r="BC192" i="3"/>
  <c r="BD192" i="3"/>
  <c r="BE192" i="3"/>
  <c r="BF192" i="3"/>
  <c r="BG192" i="3"/>
  <c r="BH192" i="3"/>
  <c r="BI192" i="3"/>
  <c r="BJ192" i="3"/>
  <c r="BK192" i="3"/>
  <c r="BA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L193" i="3"/>
  <c r="BB194" i="3"/>
  <c r="BC194" i="3"/>
  <c r="BD194" i="3"/>
  <c r="BE194" i="3"/>
  <c r="BF194" i="3"/>
  <c r="BG194" i="3"/>
  <c r="BH194" i="3"/>
  <c r="BI194" i="3"/>
  <c r="BJ194" i="3"/>
  <c r="BK194" i="3"/>
  <c r="BA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L195" i="3"/>
  <c r="BB196" i="3"/>
  <c r="BC196" i="3"/>
  <c r="BD196" i="3"/>
  <c r="BE196" i="3"/>
  <c r="BF196" i="3"/>
  <c r="BG196" i="3"/>
  <c r="BH196" i="3"/>
  <c r="BI196" i="3"/>
  <c r="BJ196" i="3"/>
  <c r="BK196" i="3"/>
  <c r="BA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A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A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A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L205" i="3"/>
  <c r="BB206" i="3"/>
  <c r="BC206" i="3"/>
  <c r="BD206" i="3"/>
  <c r="BE206" i="3"/>
  <c r="BF206" i="3"/>
  <c r="BG206" i="3"/>
  <c r="BH206" i="3"/>
  <c r="BI206" i="3"/>
  <c r="BJ206" i="3"/>
  <c r="BK206" i="3"/>
  <c r="BA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A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A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L212" i="3"/>
  <c r="BB213" i="3"/>
  <c r="BC213" i="3"/>
  <c r="BD213" i="3"/>
  <c r="BE213" i="3"/>
  <c r="BF213" i="3"/>
  <c r="BG213" i="3"/>
  <c r="BH213" i="3"/>
  <c r="BI213" i="3"/>
  <c r="BJ213" i="3"/>
  <c r="BK213" i="3"/>
  <c r="BA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L214" i="3"/>
  <c r="BB215" i="3"/>
  <c r="BC215" i="3"/>
  <c r="BD215" i="3"/>
  <c r="BE215" i="3"/>
  <c r="BF215" i="3"/>
  <c r="BG215" i="3"/>
  <c r="BH215" i="3"/>
  <c r="BI215" i="3"/>
  <c r="BJ215" i="3"/>
  <c r="BK215" i="3"/>
  <c r="BA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L216" i="3"/>
  <c r="BB217" i="3"/>
  <c r="BC217" i="3"/>
  <c r="BD217" i="3"/>
  <c r="BE217" i="3"/>
  <c r="BF217" i="3"/>
  <c r="BG217" i="3"/>
  <c r="BH217" i="3"/>
  <c r="BI217" i="3"/>
  <c r="BJ217" i="3"/>
  <c r="BK217" i="3"/>
  <c r="BA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L218" i="3"/>
  <c r="BB219" i="3"/>
  <c r="BC219" i="3"/>
  <c r="BD219" i="3"/>
  <c r="BE219" i="3"/>
  <c r="BF219" i="3"/>
  <c r="BG219" i="3"/>
  <c r="BH219" i="3"/>
  <c r="BI219" i="3"/>
  <c r="BJ219" i="3"/>
  <c r="BK219" i="3"/>
  <c r="BA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L220" i="3"/>
  <c r="BB221" i="3"/>
  <c r="BC221" i="3"/>
  <c r="BD221" i="3"/>
  <c r="BE221" i="3"/>
  <c r="BF221" i="3"/>
  <c r="BG221" i="3"/>
  <c r="BH221" i="3"/>
  <c r="BI221" i="3"/>
  <c r="BJ221" i="3"/>
  <c r="BK221" i="3"/>
  <c r="BA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L222" i="3"/>
  <c r="BB223" i="3"/>
  <c r="BC223" i="3"/>
  <c r="BD223" i="3"/>
  <c r="BE223" i="3"/>
  <c r="BF223" i="3"/>
  <c r="BG223" i="3"/>
  <c r="BH223" i="3"/>
  <c r="BI223" i="3"/>
  <c r="BJ223" i="3"/>
  <c r="BK223" i="3"/>
  <c r="BA223" i="3"/>
  <c r="BM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L224" i="3"/>
  <c r="BB225" i="3"/>
  <c r="BC225" i="3"/>
  <c r="BD225" i="3"/>
  <c r="BE225" i="3"/>
  <c r="BF225" i="3"/>
  <c r="BG225" i="3"/>
  <c r="BH225" i="3"/>
  <c r="BI225" i="3"/>
  <c r="BJ225" i="3"/>
  <c r="BK225" i="3"/>
  <c r="BA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A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L228" i="3"/>
  <c r="BB229" i="3"/>
  <c r="BC229" i="3"/>
  <c r="BD229" i="3"/>
  <c r="BE229" i="3"/>
  <c r="BF229" i="3"/>
  <c r="BG229" i="3"/>
  <c r="BH229" i="3"/>
  <c r="BI229" i="3"/>
  <c r="BJ229" i="3"/>
  <c r="BK229" i="3"/>
  <c r="BA229" i="3"/>
  <c r="BM229" i="3"/>
  <c r="BN229" i="3"/>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L230" i="3"/>
  <c r="BB231" i="3"/>
  <c r="BC231" i="3"/>
  <c r="BD231" i="3"/>
  <c r="BE231" i="3"/>
  <c r="BF231" i="3"/>
  <c r="BG231" i="3"/>
  <c r="BH231" i="3"/>
  <c r="BI231" i="3"/>
  <c r="BJ231" i="3"/>
  <c r="BK231" i="3"/>
  <c r="BA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L232" i="3"/>
  <c r="BB233" i="3"/>
  <c r="BC233" i="3"/>
  <c r="BD233" i="3"/>
  <c r="BE233" i="3"/>
  <c r="BF233" i="3"/>
  <c r="BG233" i="3"/>
  <c r="BH233" i="3"/>
  <c r="BI233" i="3"/>
  <c r="BJ233" i="3"/>
  <c r="BK233" i="3"/>
  <c r="BA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L234" i="3"/>
  <c r="BB235" i="3"/>
  <c r="BC235" i="3"/>
  <c r="BD235" i="3"/>
  <c r="BE235" i="3"/>
  <c r="BF235" i="3"/>
  <c r="BG235" i="3"/>
  <c r="BH235" i="3"/>
  <c r="BI235" i="3"/>
  <c r="BJ235" i="3"/>
  <c r="BK235" i="3"/>
  <c r="BA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L236" i="3"/>
  <c r="BB237" i="3"/>
  <c r="BC237" i="3"/>
  <c r="BD237" i="3"/>
  <c r="BE237" i="3"/>
  <c r="BF237" i="3"/>
  <c r="BG237" i="3"/>
  <c r="BH237" i="3"/>
  <c r="BI237" i="3"/>
  <c r="BJ237" i="3"/>
  <c r="BK237" i="3"/>
  <c r="BA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L238" i="3"/>
  <c r="BB239" i="3"/>
  <c r="BC239" i="3"/>
  <c r="BD239" i="3"/>
  <c r="BE239" i="3"/>
  <c r="BF239" i="3"/>
  <c r="BG239" i="3"/>
  <c r="BH239" i="3"/>
  <c r="BI239" i="3"/>
  <c r="BJ239" i="3"/>
  <c r="BK239" i="3"/>
  <c r="BA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L240" i="3"/>
  <c r="BB241" i="3"/>
  <c r="BC241" i="3"/>
  <c r="BD241" i="3"/>
  <c r="BE241" i="3"/>
  <c r="BF241" i="3"/>
  <c r="BG241" i="3"/>
  <c r="BH241" i="3"/>
  <c r="BI241" i="3"/>
  <c r="BJ241" i="3"/>
  <c r="BK241" i="3"/>
  <c r="BA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A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L246" i="3"/>
  <c r="BB247" i="3"/>
  <c r="BC247" i="3"/>
  <c r="BD247" i="3"/>
  <c r="BE247" i="3"/>
  <c r="BF247" i="3"/>
  <c r="BG247" i="3"/>
  <c r="BH247" i="3"/>
  <c r="BI247" i="3"/>
  <c r="BJ247" i="3"/>
  <c r="BK247" i="3"/>
  <c r="BA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L248" i="3"/>
  <c r="BB249" i="3"/>
  <c r="BC249" i="3"/>
  <c r="BD249" i="3"/>
  <c r="BE249" i="3"/>
  <c r="BF249" i="3"/>
  <c r="BG249" i="3"/>
  <c r="BH249" i="3"/>
  <c r="BI249" i="3"/>
  <c r="BJ249" i="3"/>
  <c r="BK249" i="3"/>
  <c r="BA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L250" i="3"/>
  <c r="BB251" i="3"/>
  <c r="BC251" i="3"/>
  <c r="BD251" i="3"/>
  <c r="BE251" i="3"/>
  <c r="BF251" i="3"/>
  <c r="BG251" i="3"/>
  <c r="BH251" i="3"/>
  <c r="BI251" i="3"/>
  <c r="BJ251" i="3"/>
  <c r="BK251" i="3"/>
  <c r="BA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L252" i="3"/>
  <c r="BB253" i="3"/>
  <c r="BC253" i="3"/>
  <c r="BD253" i="3"/>
  <c r="BE253" i="3"/>
  <c r="BF253" i="3"/>
  <c r="BG253" i="3"/>
  <c r="BH253" i="3"/>
  <c r="BI253" i="3"/>
  <c r="BJ253" i="3"/>
  <c r="BK253" i="3"/>
  <c r="BA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L254" i="3"/>
  <c r="BB255" i="3"/>
  <c r="BC255" i="3"/>
  <c r="BD255" i="3"/>
  <c r="BE255" i="3"/>
  <c r="BF255" i="3"/>
  <c r="BG255" i="3"/>
  <c r="BH255" i="3"/>
  <c r="BI255" i="3"/>
  <c r="BJ255" i="3"/>
  <c r="BK255" i="3"/>
  <c r="BA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L256" i="3"/>
  <c r="BB257" i="3"/>
  <c r="BC257" i="3"/>
  <c r="BD257" i="3"/>
  <c r="BE257" i="3"/>
  <c r="BF257" i="3"/>
  <c r="BG257" i="3"/>
  <c r="BH257" i="3"/>
  <c r="BI257" i="3"/>
  <c r="BJ257" i="3"/>
  <c r="BK257" i="3"/>
  <c r="BA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L258" i="3"/>
  <c r="BB259" i="3"/>
  <c r="BC259" i="3"/>
  <c r="BD259" i="3"/>
  <c r="BE259" i="3"/>
  <c r="BF259" i="3"/>
  <c r="BG259" i="3"/>
  <c r="BH259" i="3"/>
  <c r="BI259" i="3"/>
  <c r="BJ259" i="3"/>
  <c r="BK259" i="3"/>
  <c r="BA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L260" i="3"/>
  <c r="BB261" i="3"/>
  <c r="BC261" i="3"/>
  <c r="BD261" i="3"/>
  <c r="BE261" i="3"/>
  <c r="BF261" i="3"/>
  <c r="BG261" i="3"/>
  <c r="BH261" i="3"/>
  <c r="BI261" i="3"/>
  <c r="BJ261" i="3"/>
  <c r="BK261" i="3"/>
  <c r="BA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L262" i="3"/>
  <c r="BB263" i="3"/>
  <c r="BC263" i="3"/>
  <c r="BD263" i="3"/>
  <c r="BE263" i="3"/>
  <c r="BF263" i="3"/>
  <c r="BG263" i="3"/>
  <c r="BH263" i="3"/>
  <c r="BI263" i="3"/>
  <c r="BJ263" i="3"/>
  <c r="BK263" i="3"/>
  <c r="BA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L264" i="3"/>
  <c r="BB265" i="3"/>
  <c r="BC265" i="3"/>
  <c r="BD265" i="3"/>
  <c r="BE265" i="3"/>
  <c r="BF265" i="3"/>
  <c r="BG265" i="3"/>
  <c r="BH265" i="3"/>
  <c r="BI265" i="3"/>
  <c r="BJ265" i="3"/>
  <c r="BK265" i="3"/>
  <c r="BA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L266" i="3"/>
  <c r="BB267" i="3"/>
  <c r="BC267" i="3"/>
  <c r="BD267" i="3"/>
  <c r="BE267" i="3"/>
  <c r="BF267" i="3"/>
  <c r="BG267" i="3"/>
  <c r="BH267" i="3"/>
  <c r="BI267" i="3"/>
  <c r="BJ267" i="3"/>
  <c r="BK267" i="3"/>
  <c r="BA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L268" i="3"/>
  <c r="BB269" i="3"/>
  <c r="BC269" i="3"/>
  <c r="BD269" i="3"/>
  <c r="BE269" i="3"/>
  <c r="BF269" i="3"/>
  <c r="BG269" i="3"/>
  <c r="BH269" i="3"/>
  <c r="BI269" i="3"/>
  <c r="BJ269" i="3"/>
  <c r="BK269" i="3"/>
  <c r="BA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L270" i="3"/>
  <c r="BB271" i="3"/>
  <c r="BC271" i="3"/>
  <c r="BD271" i="3"/>
  <c r="BE271" i="3"/>
  <c r="BF271" i="3"/>
  <c r="BG271" i="3"/>
  <c r="BH271" i="3"/>
  <c r="BI271" i="3"/>
  <c r="BJ271" i="3"/>
  <c r="BK271" i="3"/>
  <c r="BA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L272" i="3"/>
  <c r="BB273" i="3"/>
  <c r="BC273" i="3"/>
  <c r="BD273" i="3"/>
  <c r="BE273" i="3"/>
  <c r="BF273" i="3"/>
  <c r="BG273" i="3"/>
  <c r="BH273" i="3"/>
  <c r="BI273" i="3"/>
  <c r="BJ273" i="3"/>
  <c r="BK273" i="3"/>
  <c r="BA273" i="3"/>
  <c r="BM273" i="3"/>
  <c r="BN273" i="3"/>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L274" i="3"/>
  <c r="BB275" i="3"/>
  <c r="BC275" i="3"/>
  <c r="BD275" i="3"/>
  <c r="BE275" i="3"/>
  <c r="BF275" i="3"/>
  <c r="BG275" i="3"/>
  <c r="BH275" i="3"/>
  <c r="BI275" i="3"/>
  <c r="BJ275" i="3"/>
  <c r="BK275" i="3"/>
  <c r="BA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L276" i="3"/>
  <c r="BB277" i="3"/>
  <c r="BC277" i="3"/>
  <c r="BD277" i="3"/>
  <c r="BE277" i="3"/>
  <c r="BF277" i="3"/>
  <c r="BG277" i="3"/>
  <c r="BH277" i="3"/>
  <c r="BI277" i="3"/>
  <c r="BJ277" i="3"/>
  <c r="BK277" i="3"/>
  <c r="BA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L278" i="3"/>
  <c r="BB279" i="3"/>
  <c r="BC279" i="3"/>
  <c r="BD279" i="3"/>
  <c r="BE279" i="3"/>
  <c r="BF279" i="3"/>
  <c r="BG279" i="3"/>
  <c r="BH279" i="3"/>
  <c r="BI279" i="3"/>
  <c r="BJ279" i="3"/>
  <c r="BK279" i="3"/>
  <c r="BA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L280" i="3"/>
  <c r="BB281" i="3"/>
  <c r="BC281" i="3"/>
  <c r="BD281" i="3"/>
  <c r="BE281" i="3"/>
  <c r="BF281" i="3"/>
  <c r="BG281" i="3"/>
  <c r="BH281" i="3"/>
  <c r="BI281" i="3"/>
  <c r="BJ281" i="3"/>
  <c r="BK281" i="3"/>
  <c r="BA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L282" i="3"/>
  <c r="BB283" i="3"/>
  <c r="BC283" i="3"/>
  <c r="BD283" i="3"/>
  <c r="BE283" i="3"/>
  <c r="BF283" i="3"/>
  <c r="BG283" i="3"/>
  <c r="BH283" i="3"/>
  <c r="BI283" i="3"/>
  <c r="BJ283" i="3"/>
  <c r="BK283" i="3"/>
  <c r="BA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L284" i="3"/>
  <c r="BB285" i="3"/>
  <c r="BC285" i="3"/>
  <c r="BD285" i="3"/>
  <c r="BE285" i="3"/>
  <c r="BF285" i="3"/>
  <c r="BG285" i="3"/>
  <c r="BH285" i="3"/>
  <c r="BI285" i="3"/>
  <c r="BJ285" i="3"/>
  <c r="BK285" i="3"/>
  <c r="BA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L286" i="3"/>
  <c r="BB287" i="3"/>
  <c r="BC287" i="3"/>
  <c r="BD287" i="3"/>
  <c r="BE287" i="3"/>
  <c r="BF287" i="3"/>
  <c r="BG287" i="3"/>
  <c r="BH287" i="3"/>
  <c r="BI287" i="3"/>
  <c r="BJ287" i="3"/>
  <c r="BK287" i="3"/>
  <c r="BA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L288" i="3"/>
  <c r="BB289" i="3"/>
  <c r="BC289" i="3"/>
  <c r="BD289" i="3"/>
  <c r="BE289" i="3"/>
  <c r="BF289" i="3"/>
  <c r="BG289" i="3"/>
  <c r="BH289" i="3"/>
  <c r="BI289" i="3"/>
  <c r="BJ289" i="3"/>
  <c r="BK289" i="3"/>
  <c r="BA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L290" i="3"/>
  <c r="BB291" i="3"/>
  <c r="BC291" i="3"/>
  <c r="BD291" i="3"/>
  <c r="BE291" i="3"/>
  <c r="BF291" i="3"/>
  <c r="BG291" i="3"/>
  <c r="BH291" i="3"/>
  <c r="BI291" i="3"/>
  <c r="BJ291" i="3"/>
  <c r="BK291" i="3"/>
  <c r="BA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L292" i="3"/>
  <c r="BB293" i="3"/>
  <c r="BC293" i="3"/>
  <c r="BD293" i="3"/>
  <c r="BE293" i="3"/>
  <c r="BF293" i="3"/>
  <c r="BG293" i="3"/>
  <c r="BH293" i="3"/>
  <c r="BI293" i="3"/>
  <c r="BJ293" i="3"/>
  <c r="BK293" i="3"/>
  <c r="BA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L294" i="3"/>
  <c r="BB295" i="3"/>
  <c r="BC295" i="3"/>
  <c r="BD295" i="3"/>
  <c r="BE295" i="3"/>
  <c r="BF295" i="3"/>
  <c r="BG295" i="3"/>
  <c r="BH295" i="3"/>
  <c r="BI295" i="3"/>
  <c r="BJ295" i="3"/>
  <c r="BK295" i="3"/>
  <c r="BA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L296" i="3"/>
  <c r="BB297" i="3"/>
  <c r="BC297" i="3"/>
  <c r="BD297" i="3"/>
  <c r="BE297" i="3"/>
  <c r="BF297" i="3"/>
  <c r="BG297" i="3"/>
  <c r="BH297" i="3"/>
  <c r="BI297" i="3"/>
  <c r="BJ297" i="3"/>
  <c r="BK297" i="3"/>
  <c r="BA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L298" i="3"/>
  <c r="BB299" i="3"/>
  <c r="BC299" i="3"/>
  <c r="BD299" i="3"/>
  <c r="BE299" i="3"/>
  <c r="BF299" i="3"/>
  <c r="BG299" i="3"/>
  <c r="BH299" i="3"/>
  <c r="BI299" i="3"/>
  <c r="BJ299" i="3"/>
  <c r="BK299" i="3"/>
  <c r="BA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L300" i="3"/>
  <c r="BB301" i="3"/>
  <c r="BC301" i="3"/>
  <c r="BD301" i="3"/>
  <c r="BE301" i="3"/>
  <c r="BF301" i="3"/>
  <c r="BG301" i="3"/>
  <c r="BH301" i="3"/>
  <c r="BI301" i="3"/>
  <c r="BJ301" i="3"/>
  <c r="BK301" i="3"/>
  <c r="BA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L302" i="3"/>
  <c r="BB303" i="3"/>
  <c r="BC303" i="3"/>
  <c r="BD303" i="3"/>
  <c r="BE303" i="3"/>
  <c r="BF303" i="3"/>
  <c r="BG303" i="3"/>
  <c r="BH303" i="3"/>
  <c r="BI303" i="3"/>
  <c r="BJ303" i="3"/>
  <c r="BK303" i="3"/>
  <c r="BA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L304" i="3"/>
  <c r="BB305" i="3"/>
  <c r="BC305" i="3"/>
  <c r="BD305" i="3"/>
  <c r="BE305" i="3"/>
  <c r="BF305" i="3"/>
  <c r="BG305" i="3"/>
  <c r="BH305" i="3"/>
  <c r="BI305" i="3"/>
  <c r="BJ305" i="3"/>
  <c r="BK305" i="3"/>
  <c r="BA305" i="3"/>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L306" i="3"/>
  <c r="BB307" i="3"/>
  <c r="BC307" i="3"/>
  <c r="BD307" i="3"/>
  <c r="BE307" i="3"/>
  <c r="BF307" i="3"/>
  <c r="BG307" i="3"/>
  <c r="BH307" i="3"/>
  <c r="BI307" i="3"/>
  <c r="BJ307" i="3"/>
  <c r="BK307" i="3"/>
  <c r="BA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L308" i="3"/>
  <c r="BB309" i="3"/>
  <c r="BC309" i="3"/>
  <c r="BD309" i="3"/>
  <c r="BE309" i="3"/>
  <c r="BF309" i="3"/>
  <c r="BG309" i="3"/>
  <c r="BH309" i="3"/>
  <c r="BI309" i="3"/>
  <c r="BJ309" i="3"/>
  <c r="BK309" i="3"/>
  <c r="BA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L310" i="3"/>
  <c r="BB311" i="3"/>
  <c r="BC311" i="3"/>
  <c r="BD311" i="3"/>
  <c r="BE311" i="3"/>
  <c r="BF311" i="3"/>
  <c r="BG311" i="3"/>
  <c r="BH311" i="3"/>
  <c r="BI311" i="3"/>
  <c r="BJ311" i="3"/>
  <c r="BK311" i="3"/>
  <c r="BA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L312" i="3"/>
  <c r="BB313" i="3"/>
  <c r="BC313" i="3"/>
  <c r="BD313" i="3"/>
  <c r="BE313" i="3"/>
  <c r="BF313" i="3"/>
  <c r="BG313" i="3"/>
  <c r="BH313" i="3"/>
  <c r="BI313" i="3"/>
  <c r="BJ313" i="3"/>
  <c r="BK313" i="3"/>
  <c r="BA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L314" i="3"/>
  <c r="BB315" i="3"/>
  <c r="BC315" i="3"/>
  <c r="BD315" i="3"/>
  <c r="BE315" i="3"/>
  <c r="BF315" i="3"/>
  <c r="BG315" i="3"/>
  <c r="BH315" i="3"/>
  <c r="BI315" i="3"/>
  <c r="BJ315" i="3"/>
  <c r="BK315" i="3"/>
  <c r="BA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L316" i="3"/>
  <c r="BB317" i="3"/>
  <c r="BC317" i="3"/>
  <c r="BD317" i="3"/>
  <c r="BE317" i="3"/>
  <c r="BF317" i="3"/>
  <c r="BG317" i="3"/>
  <c r="BH317" i="3"/>
  <c r="BI317" i="3"/>
  <c r="BJ317" i="3"/>
  <c r="BK317" i="3"/>
  <c r="BA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L318" i="3"/>
  <c r="BB319" i="3"/>
  <c r="BC319" i="3"/>
  <c r="BD319" i="3"/>
  <c r="BE319" i="3"/>
  <c r="BF319" i="3"/>
  <c r="BG319" i="3"/>
  <c r="BH319" i="3"/>
  <c r="BI319" i="3"/>
  <c r="BJ319" i="3"/>
  <c r="BK319" i="3"/>
  <c r="BA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L320" i="3"/>
  <c r="BB321" i="3"/>
  <c r="BC321" i="3"/>
  <c r="BD321" i="3"/>
  <c r="BE321" i="3"/>
  <c r="BF321" i="3"/>
  <c r="BG321" i="3"/>
  <c r="BH321" i="3"/>
  <c r="BI321" i="3"/>
  <c r="BJ321" i="3"/>
  <c r="BK321" i="3"/>
  <c r="BA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L322" i="3"/>
  <c r="BB323" i="3"/>
  <c r="BC323" i="3"/>
  <c r="BD323" i="3"/>
  <c r="BE323" i="3"/>
  <c r="BF323" i="3"/>
  <c r="BG323" i="3"/>
  <c r="BH323" i="3"/>
  <c r="BI323" i="3"/>
  <c r="BJ323" i="3"/>
  <c r="BK323" i="3"/>
  <c r="BA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L324" i="3"/>
  <c r="BB325" i="3"/>
  <c r="BC325" i="3"/>
  <c r="BD325" i="3"/>
  <c r="BE325" i="3"/>
  <c r="BF325" i="3"/>
  <c r="BG325" i="3"/>
  <c r="BH325" i="3"/>
  <c r="BI325" i="3"/>
  <c r="BJ325" i="3"/>
  <c r="BK325" i="3"/>
  <c r="BA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L326" i="3"/>
  <c r="BB327" i="3"/>
  <c r="BC327" i="3"/>
  <c r="BD327" i="3"/>
  <c r="BE327" i="3"/>
  <c r="BF327" i="3"/>
  <c r="BG327" i="3"/>
  <c r="BH327" i="3"/>
  <c r="BI327" i="3"/>
  <c r="BJ327" i="3"/>
  <c r="BK327" i="3"/>
  <c r="BA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A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L330" i="3"/>
  <c r="BB331" i="3"/>
  <c r="BC331" i="3"/>
  <c r="BD331" i="3"/>
  <c r="BE331" i="3"/>
  <c r="BF331" i="3"/>
  <c r="BG331" i="3"/>
  <c r="BH331" i="3"/>
  <c r="BI331" i="3"/>
  <c r="BJ331" i="3"/>
  <c r="BK331" i="3"/>
  <c r="BA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A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L334" i="3"/>
  <c r="BB335" i="3"/>
  <c r="BC335" i="3"/>
  <c r="BD335" i="3"/>
  <c r="BE335" i="3"/>
  <c r="BF335" i="3"/>
  <c r="BG335" i="3"/>
  <c r="BH335" i="3"/>
  <c r="BI335" i="3"/>
  <c r="BJ335" i="3"/>
  <c r="BK335" i="3"/>
  <c r="BA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A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A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L340" i="3"/>
  <c r="BB341" i="3"/>
  <c r="BC341" i="3"/>
  <c r="BD341" i="3"/>
  <c r="BE341" i="3"/>
  <c r="BF341" i="3"/>
  <c r="BG341" i="3"/>
  <c r="BH341" i="3"/>
  <c r="BI341" i="3"/>
  <c r="BJ341" i="3"/>
  <c r="BK341" i="3"/>
  <c r="BA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L342" i="3"/>
  <c r="BB343" i="3"/>
  <c r="BC343" i="3"/>
  <c r="BD343" i="3"/>
  <c r="BE343" i="3"/>
  <c r="BF343" i="3"/>
  <c r="BG343" i="3"/>
  <c r="BH343" i="3"/>
  <c r="BI343" i="3"/>
  <c r="BJ343" i="3"/>
  <c r="BK343" i="3"/>
  <c r="BA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L344" i="3"/>
  <c r="BB345" i="3"/>
  <c r="BC345" i="3"/>
  <c r="BD345" i="3"/>
  <c r="BE345" i="3"/>
  <c r="BF345" i="3"/>
  <c r="BG345" i="3"/>
  <c r="BH345" i="3"/>
  <c r="BI345" i="3"/>
  <c r="BJ345" i="3"/>
  <c r="BK345" i="3"/>
  <c r="BA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L346" i="3"/>
  <c r="BB347" i="3"/>
  <c r="BC347" i="3"/>
  <c r="BD347" i="3"/>
  <c r="BE347" i="3"/>
  <c r="BF347" i="3"/>
  <c r="BG347" i="3"/>
  <c r="BH347" i="3"/>
  <c r="BI347" i="3"/>
  <c r="BJ347" i="3"/>
  <c r="BK347" i="3"/>
  <c r="BA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L348" i="3"/>
  <c r="BB349" i="3"/>
  <c r="BC349" i="3"/>
  <c r="BD349" i="3"/>
  <c r="BE349" i="3"/>
  <c r="BF349" i="3"/>
  <c r="BG349" i="3"/>
  <c r="BH349" i="3"/>
  <c r="BI349" i="3"/>
  <c r="BJ349" i="3"/>
  <c r="BK349" i="3"/>
  <c r="BA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L350" i="3"/>
  <c r="BB351" i="3"/>
  <c r="BC351" i="3"/>
  <c r="BD351" i="3"/>
  <c r="BE351" i="3"/>
  <c r="BF351" i="3"/>
  <c r="BG351" i="3"/>
  <c r="BH351" i="3"/>
  <c r="BI351" i="3"/>
  <c r="BJ351" i="3"/>
  <c r="BK351" i="3"/>
  <c r="BA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L352" i="3"/>
  <c r="BB353" i="3"/>
  <c r="BC353" i="3"/>
  <c r="BD353" i="3"/>
  <c r="BE353" i="3"/>
  <c r="BF353" i="3"/>
  <c r="BG353" i="3"/>
  <c r="BH353" i="3"/>
  <c r="BI353" i="3"/>
  <c r="BJ353" i="3"/>
  <c r="BK353" i="3"/>
  <c r="BA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L354" i="3"/>
  <c r="BB355" i="3"/>
  <c r="BC355" i="3"/>
  <c r="BD355" i="3"/>
  <c r="BE355" i="3"/>
  <c r="BF355" i="3"/>
  <c r="BG355" i="3"/>
  <c r="BH355" i="3"/>
  <c r="BI355" i="3"/>
  <c r="BJ355" i="3"/>
  <c r="BK355" i="3"/>
  <c r="BA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L356" i="3"/>
  <c r="BB357" i="3"/>
  <c r="BC357" i="3"/>
  <c r="BD357" i="3"/>
  <c r="BE357" i="3"/>
  <c r="BF357" i="3"/>
  <c r="BG357" i="3"/>
  <c r="BH357" i="3"/>
  <c r="BI357" i="3"/>
  <c r="BJ357" i="3"/>
  <c r="BK357" i="3"/>
  <c r="BA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A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L360" i="3"/>
  <c r="BB361" i="3"/>
  <c r="BC361" i="3"/>
  <c r="BD361" i="3"/>
  <c r="BE361" i="3"/>
  <c r="BF361" i="3"/>
  <c r="BG361" i="3"/>
  <c r="BH361" i="3"/>
  <c r="BI361" i="3"/>
  <c r="BJ361" i="3"/>
  <c r="BK361" i="3"/>
  <c r="BA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L362" i="3"/>
  <c r="BB363" i="3"/>
  <c r="BC363" i="3"/>
  <c r="BD363" i="3"/>
  <c r="BE363" i="3"/>
  <c r="BF363" i="3"/>
  <c r="BG363" i="3"/>
  <c r="BH363" i="3"/>
  <c r="BI363" i="3"/>
  <c r="BJ363" i="3"/>
  <c r="BK363" i="3"/>
  <c r="BA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L364" i="3"/>
  <c r="BB365" i="3"/>
  <c r="BC365" i="3"/>
  <c r="BD365" i="3"/>
  <c r="BE365" i="3"/>
  <c r="BF365" i="3"/>
  <c r="BG365" i="3"/>
  <c r="BH365" i="3"/>
  <c r="BI365" i="3"/>
  <c r="BJ365" i="3"/>
  <c r="BK365" i="3"/>
  <c r="BA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L366" i="3"/>
  <c r="BB367" i="3"/>
  <c r="BC367" i="3"/>
  <c r="BD367" i="3"/>
  <c r="BE367" i="3"/>
  <c r="BF367" i="3"/>
  <c r="BG367" i="3"/>
  <c r="BH367" i="3"/>
  <c r="BI367" i="3"/>
  <c r="BJ367" i="3"/>
  <c r="BK367" i="3"/>
  <c r="BA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L368" i="3"/>
  <c r="BB369" i="3"/>
  <c r="BC369" i="3"/>
  <c r="BD369" i="3"/>
  <c r="BE369" i="3"/>
  <c r="BF369" i="3"/>
  <c r="BG369" i="3"/>
  <c r="BH369" i="3"/>
  <c r="BI369" i="3"/>
  <c r="BJ369" i="3"/>
  <c r="BK369" i="3"/>
  <c r="BA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L370" i="3"/>
  <c r="BB371" i="3"/>
  <c r="BC371" i="3"/>
  <c r="BD371" i="3"/>
  <c r="BE371" i="3"/>
  <c r="BF371" i="3"/>
  <c r="BG371" i="3"/>
  <c r="BH371" i="3"/>
  <c r="BI371" i="3"/>
  <c r="BJ371" i="3"/>
  <c r="BK371" i="3"/>
  <c r="BA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L372" i="3"/>
  <c r="BB373" i="3"/>
  <c r="BC373" i="3"/>
  <c r="BD373" i="3"/>
  <c r="BE373" i="3"/>
  <c r="BF373" i="3"/>
  <c r="BG373" i="3"/>
  <c r="BH373" i="3"/>
  <c r="BI373" i="3"/>
  <c r="BJ373" i="3"/>
  <c r="BK373" i="3"/>
  <c r="BA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L374" i="3"/>
  <c r="BB375" i="3"/>
  <c r="BC375" i="3"/>
  <c r="BD375" i="3"/>
  <c r="BE375" i="3"/>
  <c r="BF375" i="3"/>
  <c r="BG375" i="3"/>
  <c r="BH375" i="3"/>
  <c r="BI375" i="3"/>
  <c r="BJ375" i="3"/>
  <c r="BK375" i="3"/>
  <c r="BA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L376" i="3"/>
  <c r="BB377" i="3"/>
  <c r="BC377" i="3"/>
  <c r="BD377" i="3"/>
  <c r="BE377" i="3"/>
  <c r="BF377" i="3"/>
  <c r="BG377" i="3"/>
  <c r="BH377" i="3"/>
  <c r="BI377" i="3"/>
  <c r="BJ377" i="3"/>
  <c r="BK377" i="3"/>
  <c r="BA377" i="3"/>
  <c r="BM377" i="3"/>
  <c r="BN377" i="3"/>
  <c r="BL377" i="3"/>
  <c r="AZ377" i="3"/>
  <c r="BO377" i="3"/>
  <c r="BP377" i="3"/>
  <c r="BQ377" i="3"/>
  <c r="BR377" i="3"/>
  <c r="BS377" i="3"/>
  <c r="BT377" i="3"/>
  <c r="BB378" i="3"/>
  <c r="BC378" i="3"/>
  <c r="BA378" i="3"/>
  <c r="AZ378" i="3"/>
  <c r="BD378" i="3"/>
  <c r="BE378" i="3"/>
  <c r="BF378" i="3"/>
  <c r="BG378" i="3"/>
  <c r="BH378" i="3"/>
  <c r="BI378" i="3"/>
  <c r="BJ378" i="3"/>
  <c r="BK378" i="3"/>
  <c r="BM378" i="3"/>
  <c r="BN378" i="3"/>
  <c r="BO378" i="3"/>
  <c r="BP378" i="3"/>
  <c r="BQ378" i="3"/>
  <c r="BR378" i="3"/>
  <c r="BS378" i="3"/>
  <c r="BT378" i="3"/>
  <c r="BL378" i="3"/>
  <c r="BB379" i="3"/>
  <c r="BC379" i="3"/>
  <c r="BD379" i="3"/>
  <c r="BE379" i="3"/>
  <c r="BF379" i="3"/>
  <c r="BG379" i="3"/>
  <c r="BH379" i="3"/>
  <c r="BI379" i="3"/>
  <c r="BJ379" i="3"/>
  <c r="BK379" i="3"/>
  <c r="BA379" i="3"/>
  <c r="BM379" i="3"/>
  <c r="BN379" i="3"/>
  <c r="BL379" i="3"/>
  <c r="AZ379" i="3"/>
  <c r="BO379" i="3"/>
  <c r="BP379" i="3"/>
  <c r="BQ379" i="3"/>
  <c r="BR379" i="3"/>
  <c r="BS379" i="3"/>
  <c r="BT379" i="3"/>
  <c r="BB380" i="3"/>
  <c r="BC380" i="3"/>
  <c r="BA380" i="3"/>
  <c r="AZ380" i="3"/>
  <c r="BD380" i="3"/>
  <c r="BE380" i="3"/>
  <c r="BF380" i="3"/>
  <c r="BG380" i="3"/>
  <c r="BH380" i="3"/>
  <c r="BI380" i="3"/>
  <c r="BJ380" i="3"/>
  <c r="BK380" i="3"/>
  <c r="BM380" i="3"/>
  <c r="BN380" i="3"/>
  <c r="BO380" i="3"/>
  <c r="BP380" i="3"/>
  <c r="BQ380" i="3"/>
  <c r="BR380" i="3"/>
  <c r="BS380" i="3"/>
  <c r="BT380" i="3"/>
  <c r="BL380" i="3"/>
  <c r="BB381" i="3"/>
  <c r="BC381" i="3"/>
  <c r="BD381" i="3"/>
  <c r="BE381" i="3"/>
  <c r="BF381" i="3"/>
  <c r="BG381" i="3"/>
  <c r="BH381" i="3"/>
  <c r="BI381" i="3"/>
  <c r="BJ381" i="3"/>
  <c r="BK381" i="3"/>
  <c r="BA381" i="3"/>
  <c r="BM381" i="3"/>
  <c r="BN381" i="3"/>
  <c r="BL381" i="3"/>
  <c r="AZ381" i="3"/>
  <c r="BO381" i="3"/>
  <c r="BP381" i="3"/>
  <c r="BQ381" i="3"/>
  <c r="BR381" i="3"/>
  <c r="BS381" i="3"/>
  <c r="BT381" i="3"/>
  <c r="BB382" i="3"/>
  <c r="BC382" i="3"/>
  <c r="BA382" i="3"/>
  <c r="AZ382" i="3"/>
  <c r="BD382" i="3"/>
  <c r="BE382" i="3"/>
  <c r="BF382" i="3"/>
  <c r="BG382" i="3"/>
  <c r="BH382" i="3"/>
  <c r="BI382" i="3"/>
  <c r="BJ382" i="3"/>
  <c r="BK382" i="3"/>
  <c r="BM382" i="3"/>
  <c r="BN382" i="3"/>
  <c r="BO382" i="3"/>
  <c r="BP382" i="3"/>
  <c r="BQ382" i="3"/>
  <c r="BR382" i="3"/>
  <c r="BS382" i="3"/>
  <c r="BT382" i="3"/>
  <c r="BL382" i="3"/>
  <c r="BB383" i="3"/>
  <c r="BC383" i="3"/>
  <c r="BD383" i="3"/>
  <c r="BE383" i="3"/>
  <c r="BF383" i="3"/>
  <c r="BG383" i="3"/>
  <c r="BH383" i="3"/>
  <c r="BI383" i="3"/>
  <c r="BJ383" i="3"/>
  <c r="BK383" i="3"/>
  <c r="BA383" i="3"/>
  <c r="BM383" i="3"/>
  <c r="BN383" i="3"/>
  <c r="BL383" i="3"/>
  <c r="AZ383" i="3"/>
  <c r="BO383" i="3"/>
  <c r="BP383" i="3"/>
  <c r="BQ383" i="3"/>
  <c r="BR383" i="3"/>
  <c r="BS383" i="3"/>
  <c r="BT383" i="3"/>
  <c r="BB384" i="3"/>
  <c r="BC384" i="3"/>
  <c r="BA384" i="3"/>
  <c r="AZ384" i="3"/>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A385" i="3"/>
  <c r="BM385" i="3"/>
  <c r="BN385" i="3"/>
  <c r="BL385" i="3"/>
  <c r="AZ385" i="3"/>
  <c r="BO385" i="3"/>
  <c r="BP385" i="3"/>
  <c r="BQ385" i="3"/>
  <c r="BR385" i="3"/>
  <c r="BS385" i="3"/>
  <c r="BT385" i="3"/>
  <c r="BB386" i="3"/>
  <c r="BC386" i="3"/>
  <c r="BA386" i="3"/>
  <c r="AZ386" i="3"/>
  <c r="BD386" i="3"/>
  <c r="BE386" i="3"/>
  <c r="BF386" i="3"/>
  <c r="BG386" i="3"/>
  <c r="BH386" i="3"/>
  <c r="BI386" i="3"/>
  <c r="BJ386" i="3"/>
  <c r="BK386" i="3"/>
  <c r="BM386" i="3"/>
  <c r="BN386" i="3"/>
  <c r="BO386" i="3"/>
  <c r="BP386" i="3"/>
  <c r="BQ386" i="3"/>
  <c r="BR386" i="3"/>
  <c r="BS386" i="3"/>
  <c r="BT386" i="3"/>
  <c r="BL386" i="3"/>
  <c r="BB387" i="3"/>
  <c r="BC387" i="3"/>
  <c r="BD387" i="3"/>
  <c r="BE387" i="3"/>
  <c r="BF387" i="3"/>
  <c r="BG387" i="3"/>
  <c r="BH387" i="3"/>
  <c r="BI387" i="3"/>
  <c r="BJ387" i="3"/>
  <c r="BK387" i="3"/>
  <c r="BA387" i="3"/>
  <c r="BM387" i="3"/>
  <c r="BN387" i="3"/>
  <c r="BL387" i="3"/>
  <c r="AZ387" i="3"/>
  <c r="BO387" i="3"/>
  <c r="BP387" i="3"/>
  <c r="BQ387" i="3"/>
  <c r="BR387" i="3"/>
  <c r="BS387" i="3"/>
  <c r="BT387" i="3"/>
  <c r="BB388" i="3"/>
  <c r="BC388" i="3"/>
  <c r="BA388" i="3"/>
  <c r="AZ388" i="3"/>
  <c r="BD388" i="3"/>
  <c r="BE388" i="3"/>
  <c r="BF388" i="3"/>
  <c r="BG388" i="3"/>
  <c r="BH388" i="3"/>
  <c r="BI388" i="3"/>
  <c r="BJ388" i="3"/>
  <c r="BK388" i="3"/>
  <c r="BM388" i="3"/>
  <c r="BN388" i="3"/>
  <c r="BO388" i="3"/>
  <c r="BP388" i="3"/>
  <c r="BQ388" i="3"/>
  <c r="BR388" i="3"/>
  <c r="BS388" i="3"/>
  <c r="BT388" i="3"/>
  <c r="BL388" i="3"/>
  <c r="BB389" i="3"/>
  <c r="BC389" i="3"/>
  <c r="BD389" i="3"/>
  <c r="BE389" i="3"/>
  <c r="BF389" i="3"/>
  <c r="BG389" i="3"/>
  <c r="BH389" i="3"/>
  <c r="BI389" i="3"/>
  <c r="BJ389" i="3"/>
  <c r="BK389" i="3"/>
  <c r="BA389" i="3"/>
  <c r="BM389" i="3"/>
  <c r="BN389" i="3"/>
  <c r="BL389" i="3"/>
  <c r="AZ389" i="3"/>
  <c r="BO389" i="3"/>
  <c r="BP389" i="3"/>
  <c r="BQ389" i="3"/>
  <c r="BR389" i="3"/>
  <c r="BS389" i="3"/>
  <c r="BT389" i="3"/>
  <c r="BB390" i="3"/>
  <c r="BC390" i="3"/>
  <c r="BA390" i="3"/>
  <c r="AZ390" i="3"/>
  <c r="BD390" i="3"/>
  <c r="BE390" i="3"/>
  <c r="BF390" i="3"/>
  <c r="BG390" i="3"/>
  <c r="BH390" i="3"/>
  <c r="BI390" i="3"/>
  <c r="BJ390" i="3"/>
  <c r="BK390" i="3"/>
  <c r="BM390" i="3"/>
  <c r="BN390" i="3"/>
  <c r="BO390" i="3"/>
  <c r="BP390" i="3"/>
  <c r="BQ390" i="3"/>
  <c r="BR390" i="3"/>
  <c r="BS390" i="3"/>
  <c r="BT390" i="3"/>
  <c r="BL390" i="3"/>
  <c r="BB391" i="3"/>
  <c r="BC391" i="3"/>
  <c r="BD391" i="3"/>
  <c r="BE391" i="3"/>
  <c r="BF391" i="3"/>
  <c r="BG391" i="3"/>
  <c r="BH391" i="3"/>
  <c r="BI391" i="3"/>
  <c r="BJ391" i="3"/>
  <c r="BK391" i="3"/>
  <c r="BA391" i="3"/>
  <c r="BM391" i="3"/>
  <c r="BN391" i="3"/>
  <c r="BL391" i="3"/>
  <c r="AZ391" i="3"/>
  <c r="BO391" i="3"/>
  <c r="BP391" i="3"/>
  <c r="BQ391" i="3"/>
  <c r="BR391" i="3"/>
  <c r="BS391" i="3"/>
  <c r="BT391" i="3"/>
  <c r="BB392" i="3"/>
  <c r="BC392" i="3"/>
  <c r="BA392" i="3"/>
  <c r="AZ392" i="3"/>
  <c r="BD392" i="3"/>
  <c r="BE392" i="3"/>
  <c r="BF392" i="3"/>
  <c r="BG392" i="3"/>
  <c r="BH392" i="3"/>
  <c r="BI392" i="3"/>
  <c r="BJ392" i="3"/>
  <c r="BK392" i="3"/>
  <c r="BM392" i="3"/>
  <c r="BN392" i="3"/>
  <c r="BO392" i="3"/>
  <c r="BP392" i="3"/>
  <c r="BQ392" i="3"/>
  <c r="BR392" i="3"/>
  <c r="BS392" i="3"/>
  <c r="BT392" i="3"/>
  <c r="BL392" i="3"/>
  <c r="BB393" i="3"/>
  <c r="BC393" i="3"/>
  <c r="BD393" i="3"/>
  <c r="BE393" i="3"/>
  <c r="BF393" i="3"/>
  <c r="BG393" i="3"/>
  <c r="BH393" i="3"/>
  <c r="BI393" i="3"/>
  <c r="BJ393" i="3"/>
  <c r="BK393" i="3"/>
  <c r="BA393" i="3"/>
  <c r="BM393" i="3"/>
  <c r="BN393" i="3"/>
  <c r="BL393" i="3"/>
  <c r="AZ393" i="3"/>
  <c r="BO393" i="3"/>
  <c r="BP393" i="3"/>
  <c r="BQ393" i="3"/>
  <c r="BR393" i="3"/>
  <c r="BS393" i="3"/>
  <c r="BT393" i="3"/>
  <c r="BB394" i="3"/>
  <c r="BC394" i="3"/>
  <c r="BA394" i="3"/>
  <c r="AZ394" i="3"/>
  <c r="BD394" i="3"/>
  <c r="BE394" i="3"/>
  <c r="BF394" i="3"/>
  <c r="BG394" i="3"/>
  <c r="BH394" i="3"/>
  <c r="BI394" i="3"/>
  <c r="BJ394" i="3"/>
  <c r="BK394" i="3"/>
  <c r="BM394" i="3"/>
  <c r="BN394" i="3"/>
  <c r="BO394" i="3"/>
  <c r="BP394" i="3"/>
  <c r="BQ394" i="3"/>
  <c r="BR394" i="3"/>
  <c r="BS394" i="3"/>
  <c r="BT394" i="3"/>
  <c r="BL394" i="3"/>
  <c r="BB395" i="3"/>
  <c r="BC395" i="3"/>
  <c r="BD395" i="3"/>
  <c r="BE395" i="3"/>
  <c r="BF395" i="3"/>
  <c r="BG395" i="3"/>
  <c r="BH395" i="3"/>
  <c r="BI395" i="3"/>
  <c r="BJ395" i="3"/>
  <c r="BK395" i="3"/>
  <c r="BA395" i="3"/>
  <c r="BM395" i="3"/>
  <c r="BN395" i="3"/>
  <c r="BL395" i="3"/>
  <c r="AZ395" i="3"/>
  <c r="BO395" i="3"/>
  <c r="BP395" i="3"/>
  <c r="BQ395" i="3"/>
  <c r="BR395" i="3"/>
  <c r="BS395" i="3"/>
  <c r="BT395" i="3"/>
  <c r="BB396" i="3"/>
  <c r="BC396" i="3"/>
  <c r="BA396" i="3"/>
  <c r="AZ396" i="3"/>
  <c r="BD396" i="3"/>
  <c r="BE396" i="3"/>
  <c r="BF396" i="3"/>
  <c r="BG396" i="3"/>
  <c r="BH396" i="3"/>
  <c r="BI396" i="3"/>
  <c r="BJ396" i="3"/>
  <c r="BK396" i="3"/>
  <c r="BM396" i="3"/>
  <c r="BN396" i="3"/>
  <c r="BO396" i="3"/>
  <c r="BP396" i="3"/>
  <c r="BQ396" i="3"/>
  <c r="BR396" i="3"/>
  <c r="BS396" i="3"/>
  <c r="BT396" i="3"/>
  <c r="BL396" i="3"/>
  <c r="BB397" i="3"/>
  <c r="BC397" i="3"/>
  <c r="BD397" i="3"/>
  <c r="BE397" i="3"/>
  <c r="BF397" i="3"/>
  <c r="BG397" i="3"/>
  <c r="BH397" i="3"/>
  <c r="BI397" i="3"/>
  <c r="BJ397" i="3"/>
  <c r="BK397" i="3"/>
  <c r="BA397" i="3"/>
  <c r="BM397" i="3"/>
  <c r="BN397" i="3"/>
  <c r="BL397" i="3"/>
  <c r="AZ397" i="3"/>
  <c r="BO397" i="3"/>
  <c r="BP397" i="3"/>
  <c r="BQ397" i="3"/>
  <c r="BR397" i="3"/>
  <c r="BS397" i="3"/>
  <c r="BT397" i="3"/>
  <c r="BB398" i="3"/>
  <c r="BC398" i="3"/>
  <c r="BA398" i="3"/>
  <c r="AZ398" i="3"/>
  <c r="BD398" i="3"/>
  <c r="BE398" i="3"/>
  <c r="BF398" i="3"/>
  <c r="BG398" i="3"/>
  <c r="BH398" i="3"/>
  <c r="BI398" i="3"/>
  <c r="BJ398" i="3"/>
  <c r="BK398" i="3"/>
  <c r="BM398" i="3"/>
  <c r="BN398" i="3"/>
  <c r="BO398" i="3"/>
  <c r="BP398" i="3"/>
  <c r="BQ398" i="3"/>
  <c r="BR398" i="3"/>
  <c r="BS398" i="3"/>
  <c r="BT398" i="3"/>
  <c r="BL398" i="3"/>
  <c r="BB399" i="3"/>
  <c r="BC399" i="3"/>
  <c r="BD399" i="3"/>
  <c r="BE399" i="3"/>
  <c r="BF399" i="3"/>
  <c r="BG399" i="3"/>
  <c r="BH399" i="3"/>
  <c r="BI399" i="3"/>
  <c r="BJ399" i="3"/>
  <c r="BK399" i="3"/>
  <c r="BA399" i="3"/>
  <c r="BM399" i="3"/>
  <c r="BN399" i="3"/>
  <c r="BL399" i="3"/>
  <c r="AZ399" i="3"/>
  <c r="BO399" i="3"/>
  <c r="BP399" i="3"/>
  <c r="BQ399" i="3"/>
  <c r="BR399" i="3"/>
  <c r="BS399" i="3"/>
  <c r="BT399" i="3"/>
  <c r="BB400" i="3"/>
  <c r="BC400" i="3"/>
  <c r="BA400" i="3"/>
  <c r="AZ400" i="3"/>
  <c r="BD400" i="3"/>
  <c r="BE400" i="3"/>
  <c r="BF400" i="3"/>
  <c r="BG400" i="3"/>
  <c r="BH400" i="3"/>
  <c r="BI400" i="3"/>
  <c r="BJ400" i="3"/>
  <c r="BK400" i="3"/>
  <c r="BM400" i="3"/>
  <c r="BN400" i="3"/>
  <c r="BO400" i="3"/>
  <c r="BP400" i="3"/>
  <c r="BQ400" i="3"/>
  <c r="BR400" i="3"/>
  <c r="BS400" i="3"/>
  <c r="BT400" i="3"/>
  <c r="BL400" i="3"/>
  <c r="BB401" i="3"/>
  <c r="BC401" i="3"/>
  <c r="BD401" i="3"/>
  <c r="BE401" i="3"/>
  <c r="BF401" i="3"/>
  <c r="BG401" i="3"/>
  <c r="BH401" i="3"/>
  <c r="BI401" i="3"/>
  <c r="BJ401" i="3"/>
  <c r="BK401" i="3"/>
  <c r="BA401" i="3"/>
  <c r="BM401" i="3"/>
  <c r="BN401" i="3"/>
  <c r="BL401" i="3"/>
  <c r="AZ401" i="3"/>
  <c r="BO401" i="3"/>
  <c r="BP401" i="3"/>
  <c r="BQ401" i="3"/>
  <c r="BR401" i="3"/>
  <c r="BS401" i="3"/>
  <c r="BT401" i="3"/>
  <c r="BB402" i="3"/>
  <c r="BC402" i="3"/>
  <c r="BA402" i="3"/>
  <c r="AZ402" i="3"/>
  <c r="BD402" i="3"/>
  <c r="BE402" i="3"/>
  <c r="BF402" i="3"/>
  <c r="BG402" i="3"/>
  <c r="BH402" i="3"/>
  <c r="BI402" i="3"/>
  <c r="BJ402" i="3"/>
  <c r="BK402" i="3"/>
  <c r="BM402" i="3"/>
  <c r="BN402" i="3"/>
  <c r="BO402" i="3"/>
  <c r="BP402" i="3"/>
  <c r="BQ402" i="3"/>
  <c r="BR402" i="3"/>
  <c r="BS402" i="3"/>
  <c r="BT402" i="3"/>
  <c r="BL402" i="3"/>
  <c r="BB403" i="3"/>
  <c r="BC403" i="3"/>
  <c r="BD403" i="3"/>
  <c r="BE403" i="3"/>
  <c r="BF403" i="3"/>
  <c r="BG403" i="3"/>
  <c r="BH403" i="3"/>
  <c r="BI403" i="3"/>
  <c r="BJ403" i="3"/>
  <c r="BK403" i="3"/>
  <c r="BA403" i="3"/>
  <c r="BM403" i="3"/>
  <c r="BN403" i="3"/>
  <c r="BL403" i="3"/>
  <c r="AZ403" i="3"/>
  <c r="BO403" i="3"/>
  <c r="BP403" i="3"/>
  <c r="BQ403" i="3"/>
  <c r="BR403" i="3"/>
  <c r="BS403" i="3"/>
  <c r="BT403" i="3"/>
  <c r="BB404" i="3"/>
  <c r="BC404" i="3"/>
  <c r="BA404" i="3"/>
  <c r="AZ404" i="3"/>
  <c r="BD404" i="3"/>
  <c r="BE404" i="3"/>
  <c r="BF404" i="3"/>
  <c r="BG404" i="3"/>
  <c r="BH404" i="3"/>
  <c r="BI404" i="3"/>
  <c r="BJ404" i="3"/>
  <c r="BK404" i="3"/>
  <c r="BM404" i="3"/>
  <c r="BN404" i="3"/>
  <c r="BO404" i="3"/>
  <c r="BP404" i="3"/>
  <c r="BQ404" i="3"/>
  <c r="BR404" i="3"/>
  <c r="BS404" i="3"/>
  <c r="BT404" i="3"/>
  <c r="BL404" i="3"/>
  <c r="BB405" i="3"/>
  <c r="BC405" i="3"/>
  <c r="BD405" i="3"/>
  <c r="BE405" i="3"/>
  <c r="BF405" i="3"/>
  <c r="BG405" i="3"/>
  <c r="BH405" i="3"/>
  <c r="BI405" i="3"/>
  <c r="BJ405" i="3"/>
  <c r="BK405" i="3"/>
  <c r="BA405" i="3"/>
  <c r="BM405" i="3"/>
  <c r="BN405" i="3"/>
  <c r="BL405" i="3"/>
  <c r="AZ405" i="3"/>
  <c r="BO405" i="3"/>
  <c r="BP405" i="3"/>
  <c r="BQ405" i="3"/>
  <c r="BR405" i="3"/>
  <c r="BS405" i="3"/>
  <c r="BT405" i="3"/>
  <c r="BB406" i="3"/>
  <c r="BC406" i="3"/>
  <c r="BA406" i="3"/>
  <c r="AZ406" i="3"/>
  <c r="BD406" i="3"/>
  <c r="BE406" i="3"/>
  <c r="BF406" i="3"/>
  <c r="BG406" i="3"/>
  <c r="BH406" i="3"/>
  <c r="BI406" i="3"/>
  <c r="BJ406" i="3"/>
  <c r="BK406" i="3"/>
  <c r="BM406" i="3"/>
  <c r="BN406" i="3"/>
  <c r="BO406" i="3"/>
  <c r="BP406" i="3"/>
  <c r="BQ406" i="3"/>
  <c r="BR406" i="3"/>
  <c r="BS406" i="3"/>
  <c r="BT406" i="3"/>
  <c r="BL406" i="3"/>
  <c r="BB407" i="3"/>
  <c r="BC407" i="3"/>
  <c r="BD407" i="3"/>
  <c r="BE407" i="3"/>
  <c r="BF407" i="3"/>
  <c r="BG407" i="3"/>
  <c r="BH407" i="3"/>
  <c r="BI407" i="3"/>
  <c r="BJ407" i="3"/>
  <c r="BK407" i="3"/>
  <c r="BA407" i="3"/>
  <c r="BM407" i="3"/>
  <c r="BN407" i="3"/>
  <c r="BL407" i="3"/>
  <c r="AZ407" i="3"/>
  <c r="BO407" i="3"/>
  <c r="BP407" i="3"/>
  <c r="BQ407" i="3"/>
  <c r="BR407" i="3"/>
  <c r="BS407" i="3"/>
  <c r="BT407" i="3"/>
  <c r="BB408" i="3"/>
  <c r="BC408" i="3"/>
  <c r="BA408" i="3"/>
  <c r="AZ408" i="3"/>
  <c r="BD408" i="3"/>
  <c r="BE408" i="3"/>
  <c r="BF408" i="3"/>
  <c r="BG408" i="3"/>
  <c r="BH408" i="3"/>
  <c r="BI408" i="3"/>
  <c r="BJ408" i="3"/>
  <c r="BK408" i="3"/>
  <c r="BM408" i="3"/>
  <c r="BN408" i="3"/>
  <c r="BO408" i="3"/>
  <c r="BP408" i="3"/>
  <c r="BQ408" i="3"/>
  <c r="BR408" i="3"/>
  <c r="BS408" i="3"/>
  <c r="BT408" i="3"/>
  <c r="BL408" i="3"/>
  <c r="BB409" i="3"/>
  <c r="BC409" i="3"/>
  <c r="BD409" i="3"/>
  <c r="BE409" i="3"/>
  <c r="BF409" i="3"/>
  <c r="BG409" i="3"/>
  <c r="BH409" i="3"/>
  <c r="BI409" i="3"/>
  <c r="BJ409" i="3"/>
  <c r="BK409" i="3"/>
  <c r="BA409" i="3"/>
  <c r="BM409" i="3"/>
  <c r="BN409" i="3"/>
  <c r="BL409" i="3"/>
  <c r="AZ409" i="3"/>
  <c r="BO409" i="3"/>
  <c r="BP409" i="3"/>
  <c r="BQ409" i="3"/>
  <c r="BR409" i="3"/>
  <c r="BS409" i="3"/>
  <c r="BT409" i="3"/>
  <c r="BB410" i="3"/>
  <c r="BC410" i="3"/>
  <c r="BA410" i="3"/>
  <c r="AZ410" i="3"/>
  <c r="BD410" i="3"/>
  <c r="BE410" i="3"/>
  <c r="BF410" i="3"/>
  <c r="BG410" i="3"/>
  <c r="BH410" i="3"/>
  <c r="BI410" i="3"/>
  <c r="BJ410" i="3"/>
  <c r="BK410" i="3"/>
  <c r="BM410" i="3"/>
  <c r="BN410" i="3"/>
  <c r="BO410" i="3"/>
  <c r="BP410" i="3"/>
  <c r="BQ410" i="3"/>
  <c r="BR410" i="3"/>
  <c r="BS410" i="3"/>
  <c r="BT410" i="3"/>
  <c r="BL410" i="3"/>
  <c r="BB411" i="3"/>
  <c r="BC411" i="3"/>
  <c r="BD411" i="3"/>
  <c r="BE411" i="3"/>
  <c r="BF411" i="3"/>
  <c r="BG411" i="3"/>
  <c r="BH411" i="3"/>
  <c r="BI411" i="3"/>
  <c r="BJ411" i="3"/>
  <c r="BK411" i="3"/>
  <c r="BA411" i="3"/>
  <c r="BM411" i="3"/>
  <c r="BN411" i="3"/>
  <c r="BL411" i="3"/>
  <c r="AZ411" i="3"/>
  <c r="BO411" i="3"/>
  <c r="BP411" i="3"/>
  <c r="BQ411" i="3"/>
  <c r="BR411" i="3"/>
  <c r="BS411" i="3"/>
  <c r="BT411" i="3"/>
  <c r="BB412" i="3"/>
  <c r="BC412" i="3"/>
  <c r="BA412" i="3"/>
  <c r="AZ412" i="3"/>
  <c r="BD412" i="3"/>
  <c r="BE412" i="3"/>
  <c r="BF412" i="3"/>
  <c r="BG412" i="3"/>
  <c r="BH412" i="3"/>
  <c r="BI412" i="3"/>
  <c r="BJ412" i="3"/>
  <c r="BK412" i="3"/>
  <c r="BM412" i="3"/>
  <c r="BN412" i="3"/>
  <c r="BO412" i="3"/>
  <c r="BP412" i="3"/>
  <c r="BQ412" i="3"/>
  <c r="BR412" i="3"/>
  <c r="BS412" i="3"/>
  <c r="BT412" i="3"/>
  <c r="BL412" i="3"/>
  <c r="BB413" i="3"/>
  <c r="BC413" i="3"/>
  <c r="BD413" i="3"/>
  <c r="BE413" i="3"/>
  <c r="BF413" i="3"/>
  <c r="BG413" i="3"/>
  <c r="BH413" i="3"/>
  <c r="BI413" i="3"/>
  <c r="BJ413" i="3"/>
  <c r="BK413" i="3"/>
  <c r="BA413" i="3"/>
  <c r="BM413" i="3"/>
  <c r="BN413" i="3"/>
  <c r="BL413" i="3"/>
  <c r="AZ413" i="3"/>
  <c r="BO413" i="3"/>
  <c r="BP413" i="3"/>
  <c r="BQ413" i="3"/>
  <c r="BR413" i="3"/>
  <c r="BS413" i="3"/>
  <c r="BT413" i="3"/>
  <c r="BB414" i="3"/>
  <c r="BC414" i="3"/>
  <c r="BA414" i="3"/>
  <c r="AZ414" i="3"/>
  <c r="BD414" i="3"/>
  <c r="BE414" i="3"/>
  <c r="BF414" i="3"/>
  <c r="BG414" i="3"/>
  <c r="BH414" i="3"/>
  <c r="BI414" i="3"/>
  <c r="BJ414" i="3"/>
  <c r="BK414" i="3"/>
  <c r="BM414" i="3"/>
  <c r="BN414" i="3"/>
  <c r="BO414" i="3"/>
  <c r="BP414" i="3"/>
  <c r="BQ414" i="3"/>
  <c r="BR414" i="3"/>
  <c r="BS414" i="3"/>
  <c r="BT414" i="3"/>
  <c r="BL414" i="3"/>
  <c r="BB415" i="3"/>
  <c r="BC415" i="3"/>
  <c r="BD415" i="3"/>
  <c r="BE415" i="3"/>
  <c r="BF415" i="3"/>
  <c r="BG415" i="3"/>
  <c r="BH415" i="3"/>
  <c r="BI415" i="3"/>
  <c r="BJ415" i="3"/>
  <c r="BK415" i="3"/>
  <c r="BA415" i="3"/>
  <c r="BM415" i="3"/>
  <c r="BN415" i="3"/>
  <c r="BL415" i="3"/>
  <c r="AZ415" i="3"/>
  <c r="BO415" i="3"/>
  <c r="BP415" i="3"/>
  <c r="BQ415" i="3"/>
  <c r="BR415" i="3"/>
  <c r="BS415" i="3"/>
  <c r="BT415" i="3"/>
  <c r="BB416" i="3"/>
  <c r="BC416" i="3"/>
  <c r="BA416" i="3"/>
  <c r="AZ416" i="3"/>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A417" i="3"/>
  <c r="BM417" i="3"/>
  <c r="BN417" i="3"/>
  <c r="BL417" i="3"/>
  <c r="AZ417" i="3"/>
  <c r="BO417" i="3"/>
  <c r="BP417" i="3"/>
  <c r="BQ417" i="3"/>
  <c r="BR417" i="3"/>
  <c r="BS417" i="3"/>
  <c r="BT417" i="3"/>
  <c r="BB418" i="3"/>
  <c r="BC418" i="3"/>
  <c r="BA418" i="3"/>
  <c r="AZ418" i="3"/>
  <c r="BD418" i="3"/>
  <c r="BE418" i="3"/>
  <c r="BF418" i="3"/>
  <c r="BG418" i="3"/>
  <c r="BH418" i="3"/>
  <c r="BI418" i="3"/>
  <c r="BJ418" i="3"/>
  <c r="BK418" i="3"/>
  <c r="BM418" i="3"/>
  <c r="BN418" i="3"/>
  <c r="BO418" i="3"/>
  <c r="BP418" i="3"/>
  <c r="BQ418" i="3"/>
  <c r="BR418" i="3"/>
  <c r="BS418" i="3"/>
  <c r="BT418" i="3"/>
  <c r="BL418" i="3"/>
  <c r="BB419" i="3"/>
  <c r="BC419" i="3"/>
  <c r="BD419" i="3"/>
  <c r="BE419" i="3"/>
  <c r="BF419" i="3"/>
  <c r="BG419" i="3"/>
  <c r="BH419" i="3"/>
  <c r="BI419" i="3"/>
  <c r="BJ419" i="3"/>
  <c r="BK419" i="3"/>
  <c r="BA419" i="3"/>
  <c r="BM419" i="3"/>
  <c r="BN419" i="3"/>
  <c r="BL419" i="3"/>
  <c r="AZ419" i="3"/>
  <c r="BO419" i="3"/>
  <c r="BP419" i="3"/>
  <c r="BQ419" i="3"/>
  <c r="BR419" i="3"/>
  <c r="BS419" i="3"/>
  <c r="BT419" i="3"/>
  <c r="BB420" i="3"/>
  <c r="BC420" i="3"/>
  <c r="BA420" i="3"/>
  <c r="AZ420" i="3"/>
  <c r="BD420" i="3"/>
  <c r="BE420" i="3"/>
  <c r="BF420" i="3"/>
  <c r="BG420" i="3"/>
  <c r="BH420" i="3"/>
  <c r="BI420" i="3"/>
  <c r="BJ420" i="3"/>
  <c r="BK420" i="3"/>
  <c r="BM420" i="3"/>
  <c r="BN420" i="3"/>
  <c r="BO420" i="3"/>
  <c r="BP420" i="3"/>
  <c r="BQ420" i="3"/>
  <c r="BR420" i="3"/>
  <c r="BS420" i="3"/>
  <c r="BT420" i="3"/>
  <c r="BL420" i="3"/>
  <c r="BB421" i="3"/>
  <c r="BC421" i="3"/>
  <c r="BD421" i="3"/>
  <c r="BE421" i="3"/>
  <c r="BF421" i="3"/>
  <c r="BG421" i="3"/>
  <c r="BH421" i="3"/>
  <c r="BI421" i="3"/>
  <c r="BJ421" i="3"/>
  <c r="BK421" i="3"/>
  <c r="BA421" i="3"/>
  <c r="BM421" i="3"/>
  <c r="BN421" i="3"/>
  <c r="BL421" i="3"/>
  <c r="AZ421" i="3"/>
  <c r="BO421" i="3"/>
  <c r="BP421" i="3"/>
  <c r="BQ421" i="3"/>
  <c r="BR421" i="3"/>
  <c r="BS421" i="3"/>
  <c r="BT421" i="3"/>
  <c r="BB422" i="3"/>
  <c r="BC422" i="3"/>
  <c r="BA422" i="3"/>
  <c r="AZ422" i="3"/>
  <c r="BD422" i="3"/>
  <c r="BE422" i="3"/>
  <c r="BF422" i="3"/>
  <c r="BG422" i="3"/>
  <c r="BH422" i="3"/>
  <c r="BI422" i="3"/>
  <c r="BJ422" i="3"/>
  <c r="BK422" i="3"/>
  <c r="BM422" i="3"/>
  <c r="BN422" i="3"/>
  <c r="BO422" i="3"/>
  <c r="BP422" i="3"/>
  <c r="BQ422" i="3"/>
  <c r="BR422" i="3"/>
  <c r="BS422" i="3"/>
  <c r="BT422" i="3"/>
  <c r="BL422" i="3"/>
  <c r="BB423" i="3"/>
  <c r="BC423" i="3"/>
  <c r="BD423" i="3"/>
  <c r="BE423" i="3"/>
  <c r="BF423" i="3"/>
  <c r="BG423" i="3"/>
  <c r="BH423" i="3"/>
  <c r="BI423" i="3"/>
  <c r="BJ423" i="3"/>
  <c r="BK423" i="3"/>
  <c r="BA423" i="3"/>
  <c r="BM423" i="3"/>
  <c r="BN423" i="3"/>
  <c r="BL423" i="3"/>
  <c r="AZ423" i="3"/>
  <c r="BO423" i="3"/>
  <c r="BP423" i="3"/>
  <c r="BQ423" i="3"/>
  <c r="BR423" i="3"/>
  <c r="BS423" i="3"/>
  <c r="BT423" i="3"/>
  <c r="BB424" i="3"/>
  <c r="BC424" i="3"/>
  <c r="BA424" i="3"/>
  <c r="AZ424" i="3"/>
  <c r="BD424" i="3"/>
  <c r="BE424" i="3"/>
  <c r="BF424" i="3"/>
  <c r="BG424" i="3"/>
  <c r="BH424" i="3"/>
  <c r="BI424" i="3"/>
  <c r="BJ424" i="3"/>
  <c r="BK424" i="3"/>
  <c r="BM424" i="3"/>
  <c r="BN424" i="3"/>
  <c r="BO424" i="3"/>
  <c r="BP424" i="3"/>
  <c r="BQ424" i="3"/>
  <c r="BR424" i="3"/>
  <c r="BS424" i="3"/>
  <c r="BT424" i="3"/>
  <c r="BL424" i="3"/>
  <c r="BB425" i="3"/>
  <c r="BC425" i="3"/>
  <c r="BD425" i="3"/>
  <c r="BE425" i="3"/>
  <c r="BF425" i="3"/>
  <c r="BG425" i="3"/>
  <c r="BH425" i="3"/>
  <c r="BI425" i="3"/>
  <c r="BJ425" i="3"/>
  <c r="BK425" i="3"/>
  <c r="BA425" i="3"/>
  <c r="BM425" i="3"/>
  <c r="BN425" i="3"/>
  <c r="BL425" i="3"/>
  <c r="AZ425" i="3"/>
  <c r="BO425" i="3"/>
  <c r="BP425" i="3"/>
  <c r="BQ425" i="3"/>
  <c r="BR425" i="3"/>
  <c r="BS425" i="3"/>
  <c r="BT425" i="3"/>
  <c r="BB426" i="3"/>
  <c r="BC426" i="3"/>
  <c r="BA426" i="3"/>
  <c r="AZ426" i="3"/>
  <c r="BD426" i="3"/>
  <c r="BE426" i="3"/>
  <c r="BF426" i="3"/>
  <c r="BG426" i="3"/>
  <c r="BH426" i="3"/>
  <c r="BI426" i="3"/>
  <c r="BJ426" i="3"/>
  <c r="BK426" i="3"/>
  <c r="BM426" i="3"/>
  <c r="BN426" i="3"/>
  <c r="BO426" i="3"/>
  <c r="BP426" i="3"/>
  <c r="BQ426" i="3"/>
  <c r="BR426" i="3"/>
  <c r="BS426" i="3"/>
  <c r="BT426" i="3"/>
  <c r="BL426" i="3"/>
  <c r="BB427" i="3"/>
  <c r="BC427" i="3"/>
  <c r="BD427" i="3"/>
  <c r="BE427" i="3"/>
  <c r="BF427" i="3"/>
  <c r="BG427" i="3"/>
  <c r="BH427" i="3"/>
  <c r="BI427" i="3"/>
  <c r="BJ427" i="3"/>
  <c r="BK427" i="3"/>
  <c r="BA427" i="3"/>
  <c r="BM427" i="3"/>
  <c r="BN427" i="3"/>
  <c r="BL427" i="3"/>
  <c r="AZ427" i="3"/>
  <c r="BO427" i="3"/>
  <c r="BP427" i="3"/>
  <c r="BQ427" i="3"/>
  <c r="BR427" i="3"/>
  <c r="BS427" i="3"/>
  <c r="BT427" i="3"/>
  <c r="BB428" i="3"/>
  <c r="BC428" i="3"/>
  <c r="BA428" i="3"/>
  <c r="AZ428" i="3"/>
  <c r="BD428" i="3"/>
  <c r="BE428" i="3"/>
  <c r="BF428" i="3"/>
  <c r="BG428" i="3"/>
  <c r="BH428" i="3"/>
  <c r="BI428" i="3"/>
  <c r="BJ428" i="3"/>
  <c r="BK428" i="3"/>
  <c r="BM428" i="3"/>
  <c r="BN428" i="3"/>
  <c r="BO428" i="3"/>
  <c r="BP428" i="3"/>
  <c r="BQ428" i="3"/>
  <c r="BR428" i="3"/>
  <c r="BS428" i="3"/>
  <c r="BT428" i="3"/>
  <c r="BL428" i="3"/>
  <c r="BB429" i="3"/>
  <c r="BC429" i="3"/>
  <c r="BD429" i="3"/>
  <c r="BE429" i="3"/>
  <c r="BF429" i="3"/>
  <c r="BG429" i="3"/>
  <c r="BH429" i="3"/>
  <c r="BI429" i="3"/>
  <c r="BJ429" i="3"/>
  <c r="BK429" i="3"/>
  <c r="BA429" i="3"/>
  <c r="BM429" i="3"/>
  <c r="BN429" i="3"/>
  <c r="BL429" i="3"/>
  <c r="AZ429" i="3"/>
  <c r="BO429" i="3"/>
  <c r="BP429" i="3"/>
  <c r="BQ429" i="3"/>
  <c r="BR429" i="3"/>
  <c r="BS429" i="3"/>
  <c r="BT429" i="3"/>
  <c r="BB430" i="3"/>
  <c r="BC430" i="3"/>
  <c r="BA430" i="3"/>
  <c r="AZ430" i="3"/>
  <c r="BD430" i="3"/>
  <c r="BE430" i="3"/>
  <c r="BF430" i="3"/>
  <c r="BG430" i="3"/>
  <c r="BH430" i="3"/>
  <c r="BI430" i="3"/>
  <c r="BJ430" i="3"/>
  <c r="BK430" i="3"/>
  <c r="BM430" i="3"/>
  <c r="BN430" i="3"/>
  <c r="BO430" i="3"/>
  <c r="BP430" i="3"/>
  <c r="BQ430" i="3"/>
  <c r="BR430" i="3"/>
  <c r="BS430" i="3"/>
  <c r="BT430" i="3"/>
  <c r="BL430" i="3"/>
  <c r="BB431" i="3"/>
  <c r="BC431" i="3"/>
  <c r="BD431" i="3"/>
  <c r="BE431" i="3"/>
  <c r="BF431" i="3"/>
  <c r="BG431" i="3"/>
  <c r="BH431" i="3"/>
  <c r="BI431" i="3"/>
  <c r="BJ431" i="3"/>
  <c r="BK431" i="3"/>
  <c r="BA431" i="3"/>
  <c r="BM431" i="3"/>
  <c r="BN431" i="3"/>
  <c r="BL431" i="3"/>
  <c r="AZ431" i="3"/>
  <c r="BO431" i="3"/>
  <c r="BP431" i="3"/>
  <c r="BQ431" i="3"/>
  <c r="BR431" i="3"/>
  <c r="BS431" i="3"/>
  <c r="BT431" i="3"/>
  <c r="BB432" i="3"/>
  <c r="BC432" i="3"/>
  <c r="BA432" i="3"/>
  <c r="AZ432" i="3"/>
  <c r="BD432" i="3"/>
  <c r="BE432" i="3"/>
  <c r="BF432" i="3"/>
  <c r="BG432" i="3"/>
  <c r="BH432" i="3"/>
  <c r="BI432" i="3"/>
  <c r="BJ432" i="3"/>
  <c r="BK432" i="3"/>
  <c r="BM432" i="3"/>
  <c r="BN432" i="3"/>
  <c r="BO432" i="3"/>
  <c r="BP432" i="3"/>
  <c r="BQ432" i="3"/>
  <c r="BR432" i="3"/>
  <c r="BS432" i="3"/>
  <c r="BT432" i="3"/>
  <c r="BL432" i="3"/>
  <c r="BB433" i="3"/>
  <c r="BC433" i="3"/>
  <c r="BD433" i="3"/>
  <c r="BE433" i="3"/>
  <c r="BF433" i="3"/>
  <c r="BG433" i="3"/>
  <c r="BH433" i="3"/>
  <c r="BI433" i="3"/>
  <c r="BJ433" i="3"/>
  <c r="BK433" i="3"/>
  <c r="BA433" i="3"/>
  <c r="BM433" i="3"/>
  <c r="BN433" i="3"/>
  <c r="BL433" i="3"/>
  <c r="AZ433" i="3"/>
  <c r="BO433" i="3"/>
  <c r="BP433" i="3"/>
  <c r="BQ433" i="3"/>
  <c r="BR433" i="3"/>
  <c r="BS433" i="3"/>
  <c r="BT433" i="3"/>
  <c r="BB434" i="3"/>
  <c r="BC434" i="3"/>
  <c r="BA434" i="3"/>
  <c r="AZ434" i="3"/>
  <c r="BD434" i="3"/>
  <c r="BE434" i="3"/>
  <c r="BF434" i="3"/>
  <c r="BG434" i="3"/>
  <c r="BH434" i="3"/>
  <c r="BI434" i="3"/>
  <c r="BJ434" i="3"/>
  <c r="BK434" i="3"/>
  <c r="BM434" i="3"/>
  <c r="BN434" i="3"/>
  <c r="BO434" i="3"/>
  <c r="BP434" i="3"/>
  <c r="BQ434" i="3"/>
  <c r="BR434" i="3"/>
  <c r="BS434" i="3"/>
  <c r="BT434" i="3"/>
  <c r="BL434" i="3"/>
  <c r="BB435" i="3"/>
  <c r="BC435" i="3"/>
  <c r="BD435" i="3"/>
  <c r="BE435" i="3"/>
  <c r="BF435" i="3"/>
  <c r="BG435" i="3"/>
  <c r="BH435" i="3"/>
  <c r="BI435" i="3"/>
  <c r="BJ435" i="3"/>
  <c r="BK435" i="3"/>
  <c r="BA435" i="3"/>
  <c r="BM435" i="3"/>
  <c r="BN435" i="3"/>
  <c r="BL435" i="3"/>
  <c r="AZ435" i="3"/>
  <c r="BO435" i="3"/>
  <c r="BP435" i="3"/>
  <c r="BQ435" i="3"/>
  <c r="BR435" i="3"/>
  <c r="BS435" i="3"/>
  <c r="BT435" i="3"/>
  <c r="BB436" i="3"/>
  <c r="BC436" i="3"/>
  <c r="BA436" i="3"/>
  <c r="AZ436" i="3"/>
  <c r="BD436" i="3"/>
  <c r="BE436" i="3"/>
  <c r="BF436" i="3"/>
  <c r="BG436" i="3"/>
  <c r="BH436" i="3"/>
  <c r="BI436" i="3"/>
  <c r="BJ436" i="3"/>
  <c r="BK436" i="3"/>
  <c r="BM436" i="3"/>
  <c r="BN436" i="3"/>
  <c r="BO436" i="3"/>
  <c r="BP436" i="3"/>
  <c r="BQ436" i="3"/>
  <c r="BR436" i="3"/>
  <c r="BS436" i="3"/>
  <c r="BT436" i="3"/>
  <c r="BL436" i="3"/>
  <c r="BB437" i="3"/>
  <c r="BC437" i="3"/>
  <c r="BD437" i="3"/>
  <c r="BE437" i="3"/>
  <c r="BF437" i="3"/>
  <c r="BG437" i="3"/>
  <c r="BH437" i="3"/>
  <c r="BI437" i="3"/>
  <c r="BJ437" i="3"/>
  <c r="BK437" i="3"/>
  <c r="BA437" i="3"/>
  <c r="BM437" i="3"/>
  <c r="BN437" i="3"/>
  <c r="BL437" i="3"/>
  <c r="AZ437" i="3"/>
  <c r="BO437" i="3"/>
  <c r="BP437" i="3"/>
  <c r="BQ437" i="3"/>
  <c r="BR437" i="3"/>
  <c r="BS437" i="3"/>
  <c r="BT437" i="3"/>
  <c r="BB438" i="3"/>
  <c r="BC438" i="3"/>
  <c r="BA438" i="3"/>
  <c r="AZ438" i="3"/>
  <c r="BD438" i="3"/>
  <c r="BE438" i="3"/>
  <c r="BF438" i="3"/>
  <c r="BG438" i="3"/>
  <c r="BH438" i="3"/>
  <c r="BI438" i="3"/>
  <c r="BJ438" i="3"/>
  <c r="BK438" i="3"/>
  <c r="BM438" i="3"/>
  <c r="BN438" i="3"/>
  <c r="BO438" i="3"/>
  <c r="BP438" i="3"/>
  <c r="BQ438" i="3"/>
  <c r="BR438" i="3"/>
  <c r="BS438" i="3"/>
  <c r="BT438" i="3"/>
  <c r="BL438" i="3"/>
  <c r="BB439" i="3"/>
  <c r="BC439" i="3"/>
  <c r="BD439" i="3"/>
  <c r="BE439" i="3"/>
  <c r="BF439" i="3"/>
  <c r="BG439" i="3"/>
  <c r="BH439" i="3"/>
  <c r="BI439" i="3"/>
  <c r="BJ439" i="3"/>
  <c r="BK439" i="3"/>
  <c r="BA439" i="3"/>
  <c r="BM439" i="3"/>
  <c r="BN439" i="3"/>
  <c r="BL439" i="3"/>
  <c r="AZ439" i="3"/>
  <c r="BO439" i="3"/>
  <c r="BP439" i="3"/>
  <c r="BQ439" i="3"/>
  <c r="BR439" i="3"/>
  <c r="BS439" i="3"/>
  <c r="BT439" i="3"/>
  <c r="BB440" i="3"/>
  <c r="BC440" i="3"/>
  <c r="BA440" i="3"/>
  <c r="AZ440" i="3"/>
  <c r="BD440" i="3"/>
  <c r="BE440" i="3"/>
  <c r="BF440" i="3"/>
  <c r="BG440" i="3"/>
  <c r="BH440" i="3"/>
  <c r="BI440" i="3"/>
  <c r="BJ440" i="3"/>
  <c r="BK440" i="3"/>
  <c r="BM440" i="3"/>
  <c r="BN440" i="3"/>
  <c r="BO440" i="3"/>
  <c r="BP440" i="3"/>
  <c r="BQ440" i="3"/>
  <c r="BR440" i="3"/>
  <c r="BS440" i="3"/>
  <c r="BT440" i="3"/>
  <c r="BL440" i="3"/>
  <c r="BB441" i="3"/>
  <c r="BC441" i="3"/>
  <c r="BD441" i="3"/>
  <c r="BE441" i="3"/>
  <c r="BF441" i="3"/>
  <c r="BG441" i="3"/>
  <c r="BH441" i="3"/>
  <c r="BI441" i="3"/>
  <c r="BJ441" i="3"/>
  <c r="BK441" i="3"/>
  <c r="BA441" i="3"/>
  <c r="BM441" i="3"/>
  <c r="BN441" i="3"/>
  <c r="BL441" i="3"/>
  <c r="AZ441" i="3"/>
  <c r="BO441" i="3"/>
  <c r="BP441" i="3"/>
  <c r="BQ441" i="3"/>
  <c r="BR441" i="3"/>
  <c r="BS441" i="3"/>
  <c r="BT441" i="3"/>
  <c r="BB442" i="3"/>
  <c r="BC442" i="3"/>
  <c r="BA442" i="3"/>
  <c r="AZ442" i="3"/>
  <c r="BD442" i="3"/>
  <c r="BE442" i="3"/>
  <c r="BF442" i="3"/>
  <c r="BG442" i="3"/>
  <c r="BH442" i="3"/>
  <c r="BI442" i="3"/>
  <c r="BJ442" i="3"/>
  <c r="BK442" i="3"/>
  <c r="BM442" i="3"/>
  <c r="BN442" i="3"/>
  <c r="BO442" i="3"/>
  <c r="BP442" i="3"/>
  <c r="BQ442" i="3"/>
  <c r="BR442" i="3"/>
  <c r="BS442" i="3"/>
  <c r="BT442" i="3"/>
  <c r="BL442" i="3"/>
  <c r="BB443" i="3"/>
  <c r="BC443" i="3"/>
  <c r="BD443" i="3"/>
  <c r="BE443" i="3"/>
  <c r="BF443" i="3"/>
  <c r="BG443" i="3"/>
  <c r="BH443" i="3"/>
  <c r="BI443" i="3"/>
  <c r="BJ443" i="3"/>
  <c r="BK443" i="3"/>
  <c r="BA443" i="3"/>
  <c r="BM443" i="3"/>
  <c r="BN443" i="3"/>
  <c r="BL443" i="3"/>
  <c r="AZ443" i="3"/>
  <c r="BO443" i="3"/>
  <c r="BP443" i="3"/>
  <c r="BQ443" i="3"/>
  <c r="BR443" i="3"/>
  <c r="BS443" i="3"/>
  <c r="BT443" i="3"/>
  <c r="BB444" i="3"/>
  <c r="BC444" i="3"/>
  <c r="BA444" i="3"/>
  <c r="AZ444" i="3"/>
  <c r="BD444" i="3"/>
  <c r="BE444" i="3"/>
  <c r="BF444" i="3"/>
  <c r="BG444" i="3"/>
  <c r="BH444" i="3"/>
  <c r="BI444" i="3"/>
  <c r="BJ444" i="3"/>
  <c r="BK444" i="3"/>
  <c r="BM444" i="3"/>
  <c r="BN444" i="3"/>
  <c r="BO444" i="3"/>
  <c r="BP444" i="3"/>
  <c r="BQ444" i="3"/>
  <c r="BR444" i="3"/>
  <c r="BS444" i="3"/>
  <c r="BT444" i="3"/>
  <c r="BL444" i="3"/>
  <c r="BB445" i="3"/>
  <c r="BC445" i="3"/>
  <c r="BD445" i="3"/>
  <c r="BE445" i="3"/>
  <c r="BF445" i="3"/>
  <c r="BG445" i="3"/>
  <c r="BH445" i="3"/>
  <c r="BI445" i="3"/>
  <c r="BJ445" i="3"/>
  <c r="BK445" i="3"/>
  <c r="BA445" i="3"/>
  <c r="BM445" i="3"/>
  <c r="BN445" i="3"/>
  <c r="BL445" i="3"/>
  <c r="AZ445" i="3"/>
  <c r="BO445" i="3"/>
  <c r="BP445" i="3"/>
  <c r="BQ445" i="3"/>
  <c r="BR445" i="3"/>
  <c r="BS445" i="3"/>
  <c r="BT445" i="3"/>
  <c r="BB446" i="3"/>
  <c r="BC446" i="3"/>
  <c r="BA446" i="3"/>
  <c r="AZ446" i="3"/>
  <c r="BD446" i="3"/>
  <c r="BE446" i="3"/>
  <c r="BF446" i="3"/>
  <c r="BG446" i="3"/>
  <c r="BH446" i="3"/>
  <c r="BI446" i="3"/>
  <c r="BJ446" i="3"/>
  <c r="BK446" i="3"/>
  <c r="BM446" i="3"/>
  <c r="BN446" i="3"/>
  <c r="BO446" i="3"/>
  <c r="BP446" i="3"/>
  <c r="BQ446" i="3"/>
  <c r="BR446" i="3"/>
  <c r="BS446" i="3"/>
  <c r="BT446" i="3"/>
  <c r="BL446" i="3"/>
  <c r="BB447" i="3"/>
  <c r="BC447" i="3"/>
  <c r="BD447" i="3"/>
  <c r="BE447" i="3"/>
  <c r="BF447" i="3"/>
  <c r="BG447" i="3"/>
  <c r="BH447" i="3"/>
  <c r="BI447" i="3"/>
  <c r="BJ447" i="3"/>
  <c r="BK447" i="3"/>
  <c r="BA447" i="3"/>
  <c r="BM447" i="3"/>
  <c r="BN447" i="3"/>
  <c r="BL447" i="3"/>
  <c r="AZ447" i="3"/>
  <c r="BO447" i="3"/>
  <c r="BP447" i="3"/>
  <c r="BQ447" i="3"/>
  <c r="BR447" i="3"/>
  <c r="BS447" i="3"/>
  <c r="BT447" i="3"/>
  <c r="BB448" i="3"/>
  <c r="BC448" i="3"/>
  <c r="BA448" i="3"/>
  <c r="AZ448" i="3"/>
  <c r="BD448" i="3"/>
  <c r="BE448" i="3"/>
  <c r="BF448" i="3"/>
  <c r="BG448" i="3"/>
  <c r="BH448" i="3"/>
  <c r="BI448" i="3"/>
  <c r="BJ448" i="3"/>
  <c r="BK448" i="3"/>
  <c r="BM448" i="3"/>
  <c r="BN448" i="3"/>
  <c r="BO448" i="3"/>
  <c r="BP448" i="3"/>
  <c r="BQ448" i="3"/>
  <c r="BR448" i="3"/>
  <c r="BS448" i="3"/>
  <c r="BT448" i="3"/>
  <c r="BL448" i="3"/>
  <c r="BB449" i="3"/>
  <c r="BC449" i="3"/>
  <c r="BD449" i="3"/>
  <c r="BE449" i="3"/>
  <c r="BF449" i="3"/>
  <c r="BG449" i="3"/>
  <c r="BH449" i="3"/>
  <c r="BI449" i="3"/>
  <c r="BJ449" i="3"/>
  <c r="BK449" i="3"/>
  <c r="BA449" i="3"/>
  <c r="BM449" i="3"/>
  <c r="BN449" i="3"/>
  <c r="BL449" i="3"/>
  <c r="AZ449" i="3"/>
  <c r="BO449" i="3"/>
  <c r="BP449" i="3"/>
  <c r="BQ449" i="3"/>
  <c r="BR449" i="3"/>
  <c r="BS449" i="3"/>
  <c r="BT449" i="3"/>
  <c r="BB450" i="3"/>
  <c r="BC450" i="3"/>
  <c r="BA450" i="3"/>
  <c r="AZ450" i="3"/>
  <c r="BD450" i="3"/>
  <c r="BE450" i="3"/>
  <c r="BF450" i="3"/>
  <c r="BG450" i="3"/>
  <c r="BH450" i="3"/>
  <c r="BI450" i="3"/>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L451" i="3"/>
  <c r="AZ451" i="3"/>
  <c r="BO451" i="3"/>
  <c r="BP451" i="3"/>
  <c r="BQ451" i="3"/>
  <c r="BR451" i="3"/>
  <c r="BS451" i="3"/>
  <c r="BT451" i="3"/>
  <c r="BB452" i="3"/>
  <c r="BC452" i="3"/>
  <c r="BA452" i="3"/>
  <c r="AZ452" i="3"/>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A453" i="3"/>
  <c r="BM453" i="3"/>
  <c r="BN453" i="3"/>
  <c r="BL453" i="3"/>
  <c r="AZ453" i="3"/>
  <c r="BO453" i="3"/>
  <c r="BP453" i="3"/>
  <c r="BQ453" i="3"/>
  <c r="BR453" i="3"/>
  <c r="BS453" i="3"/>
  <c r="BT453" i="3"/>
  <c r="BB454" i="3"/>
  <c r="BC454" i="3"/>
  <c r="BA454" i="3"/>
  <c r="AZ454" i="3"/>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L455" i="3"/>
  <c r="AZ455" i="3"/>
  <c r="BO455" i="3"/>
  <c r="BP455" i="3"/>
  <c r="BQ455" i="3"/>
  <c r="BR455" i="3"/>
  <c r="BS455" i="3"/>
  <c r="BT455" i="3"/>
  <c r="BB456" i="3"/>
  <c r="BC456" i="3"/>
  <c r="BA456" i="3"/>
  <c r="AZ456" i="3"/>
  <c r="BD456" i="3"/>
  <c r="BE456" i="3"/>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A457" i="3"/>
  <c r="BM457" i="3"/>
  <c r="BN457" i="3"/>
  <c r="BL457" i="3"/>
  <c r="AZ457" i="3"/>
  <c r="BO457" i="3"/>
  <c r="BP457" i="3"/>
  <c r="BQ457" i="3"/>
  <c r="BR457" i="3"/>
  <c r="BS457" i="3"/>
  <c r="BT457" i="3"/>
  <c r="BB458" i="3"/>
  <c r="BC458" i="3"/>
  <c r="BA458" i="3"/>
  <c r="AZ458" i="3"/>
  <c r="BD458" i="3"/>
  <c r="BE458" i="3"/>
  <c r="BF458" i="3"/>
  <c r="BG458" i="3"/>
  <c r="BH458" i="3"/>
  <c r="BI458" i="3"/>
  <c r="BJ458" i="3"/>
  <c r="BK458" i="3"/>
  <c r="BM458" i="3"/>
  <c r="BN458" i="3"/>
  <c r="BO458" i="3"/>
  <c r="BP458" i="3"/>
  <c r="BQ458" i="3"/>
  <c r="BR458" i="3"/>
  <c r="BS458" i="3"/>
  <c r="BT458" i="3"/>
  <c r="BL458" i="3"/>
  <c r="BB459" i="3"/>
  <c r="BC459" i="3"/>
  <c r="BD459" i="3"/>
  <c r="BE459" i="3"/>
  <c r="BF459" i="3"/>
  <c r="BG459" i="3"/>
  <c r="BH459" i="3"/>
  <c r="BI459" i="3"/>
  <c r="BJ459" i="3"/>
  <c r="BK459" i="3"/>
  <c r="BA459" i="3"/>
  <c r="BM459" i="3"/>
  <c r="BN459" i="3"/>
  <c r="BL459" i="3"/>
  <c r="AZ459" i="3"/>
  <c r="BO459" i="3"/>
  <c r="BP459" i="3"/>
  <c r="BQ459" i="3"/>
  <c r="BR459" i="3"/>
  <c r="BS459" i="3"/>
  <c r="BT459" i="3"/>
  <c r="BB460" i="3"/>
  <c r="BC460" i="3"/>
  <c r="BA460" i="3"/>
  <c r="AZ460" i="3"/>
  <c r="BD460" i="3"/>
  <c r="BE460" i="3"/>
  <c r="BF460" i="3"/>
  <c r="BG460" i="3"/>
  <c r="BH460" i="3"/>
  <c r="BI460" i="3"/>
  <c r="BJ460" i="3"/>
  <c r="BK460" i="3"/>
  <c r="BM460" i="3"/>
  <c r="BN460" i="3"/>
  <c r="BO460" i="3"/>
  <c r="BP460" i="3"/>
  <c r="BQ460" i="3"/>
  <c r="BR460" i="3"/>
  <c r="BS460" i="3"/>
  <c r="BT460" i="3"/>
  <c r="BL460" i="3"/>
  <c r="BB461" i="3"/>
  <c r="BC461" i="3"/>
  <c r="BD461" i="3"/>
  <c r="BE461" i="3"/>
  <c r="BF461" i="3"/>
  <c r="BG461" i="3"/>
  <c r="BH461" i="3"/>
  <c r="BI461" i="3"/>
  <c r="BJ461" i="3"/>
  <c r="BK461" i="3"/>
  <c r="BA461" i="3"/>
  <c r="BM461" i="3"/>
  <c r="BN461" i="3"/>
  <c r="BL461" i="3"/>
  <c r="AZ461" i="3"/>
  <c r="BO461" i="3"/>
  <c r="BP461" i="3"/>
  <c r="BQ461" i="3"/>
  <c r="BR461" i="3"/>
  <c r="BS461" i="3"/>
  <c r="BT461" i="3"/>
  <c r="BB462" i="3"/>
  <c r="BC462" i="3"/>
  <c r="BA462" i="3"/>
  <c r="AZ462" i="3"/>
  <c r="BD462" i="3"/>
  <c r="BE462" i="3"/>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A463" i="3"/>
  <c r="BM463" i="3"/>
  <c r="BN463" i="3"/>
  <c r="BL463" i="3"/>
  <c r="AZ463" i="3"/>
  <c r="BO463" i="3"/>
  <c r="BP463" i="3"/>
  <c r="BQ463" i="3"/>
  <c r="BR463" i="3"/>
  <c r="BS463" i="3"/>
  <c r="BT463" i="3"/>
  <c r="BB464" i="3"/>
  <c r="BC464" i="3"/>
  <c r="BA464" i="3"/>
  <c r="AZ464" i="3"/>
  <c r="BD464" i="3"/>
  <c r="BE464" i="3"/>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A465" i="3"/>
  <c r="BM465" i="3"/>
  <c r="BN465" i="3"/>
  <c r="BL465" i="3"/>
  <c r="AZ465" i="3"/>
  <c r="BO465" i="3"/>
  <c r="BP465" i="3"/>
  <c r="BQ465" i="3"/>
  <c r="BR465" i="3"/>
  <c r="BS465" i="3"/>
  <c r="BT465" i="3"/>
  <c r="BB466" i="3"/>
  <c r="BC466" i="3"/>
  <c r="BA466" i="3"/>
  <c r="AZ466" i="3"/>
  <c r="BD466" i="3"/>
  <c r="BE466" i="3"/>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A467" i="3"/>
  <c r="BM467" i="3"/>
  <c r="BN467" i="3"/>
  <c r="BL467" i="3"/>
  <c r="AZ467" i="3"/>
  <c r="BO467" i="3"/>
  <c r="BP467" i="3"/>
  <c r="BQ467" i="3"/>
  <c r="BR467" i="3"/>
  <c r="BS467" i="3"/>
  <c r="BT467" i="3"/>
  <c r="BB468" i="3"/>
  <c r="BC468" i="3"/>
  <c r="BA468" i="3"/>
  <c r="AZ468" i="3"/>
  <c r="BD468" i="3"/>
  <c r="BE468" i="3"/>
  <c r="BF468" i="3"/>
  <c r="BG468" i="3"/>
  <c r="BH468" i="3"/>
  <c r="BI468" i="3"/>
  <c r="BJ468" i="3"/>
  <c r="BK468" i="3"/>
  <c r="BM468" i="3"/>
  <c r="BN468" i="3"/>
  <c r="BO468" i="3"/>
  <c r="BP468" i="3"/>
  <c r="BQ468" i="3"/>
  <c r="BR468" i="3"/>
  <c r="BS468" i="3"/>
  <c r="BT468" i="3"/>
  <c r="BL468" i="3"/>
  <c r="BB469" i="3"/>
  <c r="BC469" i="3"/>
  <c r="BD469" i="3"/>
  <c r="BE469" i="3"/>
  <c r="BF469" i="3"/>
  <c r="BG469" i="3"/>
  <c r="BH469" i="3"/>
  <c r="BI469" i="3"/>
  <c r="BJ469" i="3"/>
  <c r="BK469" i="3"/>
  <c r="BA469" i="3"/>
  <c r="BM469" i="3"/>
  <c r="BN469" i="3"/>
  <c r="BL469" i="3"/>
  <c r="AZ469" i="3"/>
  <c r="BO469" i="3"/>
  <c r="BP469" i="3"/>
  <c r="BQ469" i="3"/>
  <c r="BR469" i="3"/>
  <c r="BS469" i="3"/>
  <c r="BT469" i="3"/>
  <c r="BB470" i="3"/>
  <c r="BC470" i="3"/>
  <c r="BA470" i="3"/>
  <c r="AZ470" i="3"/>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A471" i="3"/>
  <c r="BM471" i="3"/>
  <c r="BN471" i="3"/>
  <c r="BL471" i="3"/>
  <c r="AZ471" i="3"/>
  <c r="BO471" i="3"/>
  <c r="BP471" i="3"/>
  <c r="BQ471" i="3"/>
  <c r="BR471" i="3"/>
  <c r="BS471" i="3"/>
  <c r="BT471" i="3"/>
  <c r="BB472" i="3"/>
  <c r="BC472" i="3"/>
  <c r="BA472" i="3"/>
  <c r="AZ472" i="3"/>
  <c r="BD472" i="3"/>
  <c r="BE472" i="3"/>
  <c r="BF472" i="3"/>
  <c r="BG472" i="3"/>
  <c r="BH472" i="3"/>
  <c r="BI472" i="3"/>
  <c r="BJ472" i="3"/>
  <c r="BK472" i="3"/>
  <c r="BM472" i="3"/>
  <c r="BN472" i="3"/>
  <c r="BO472" i="3"/>
  <c r="BP472" i="3"/>
  <c r="BQ472" i="3"/>
  <c r="BR472" i="3"/>
  <c r="BS472" i="3"/>
  <c r="BT472" i="3"/>
  <c r="BL472" i="3"/>
  <c r="BB473" i="3"/>
  <c r="BC473" i="3"/>
  <c r="BD473" i="3"/>
  <c r="BE473" i="3"/>
  <c r="BF473" i="3"/>
  <c r="BG473" i="3"/>
  <c r="BH473" i="3"/>
  <c r="BI473" i="3"/>
  <c r="BJ473" i="3"/>
  <c r="BK473" i="3"/>
  <c r="BA473" i="3"/>
  <c r="BM473" i="3"/>
  <c r="BN473" i="3"/>
  <c r="BL473" i="3"/>
  <c r="AZ473" i="3"/>
  <c r="BO473" i="3"/>
  <c r="BP473" i="3"/>
  <c r="BQ473" i="3"/>
  <c r="BR473" i="3"/>
  <c r="BS473" i="3"/>
  <c r="BT473" i="3"/>
  <c r="BB474" i="3"/>
  <c r="BC474" i="3"/>
  <c r="BA474" i="3"/>
  <c r="AZ474" i="3"/>
  <c r="BD474" i="3"/>
  <c r="BE474" i="3"/>
  <c r="BF474" i="3"/>
  <c r="BG474" i="3"/>
  <c r="BH474" i="3"/>
  <c r="BI474" i="3"/>
  <c r="BJ474" i="3"/>
  <c r="BK474" i="3"/>
  <c r="BM474" i="3"/>
  <c r="BN474" i="3"/>
  <c r="BO474" i="3"/>
  <c r="BP474" i="3"/>
  <c r="BQ474" i="3"/>
  <c r="BR474" i="3"/>
  <c r="BS474" i="3"/>
  <c r="BT474" i="3"/>
  <c r="BL474" i="3"/>
  <c r="BB475" i="3"/>
  <c r="BC475" i="3"/>
  <c r="BD475" i="3"/>
  <c r="BE475" i="3"/>
  <c r="BF475" i="3"/>
  <c r="BG475" i="3"/>
  <c r="BH475" i="3"/>
  <c r="BI475" i="3"/>
  <c r="BJ475" i="3"/>
  <c r="BK475" i="3"/>
  <c r="BA475" i="3"/>
  <c r="BM475" i="3"/>
  <c r="BN475" i="3"/>
  <c r="BL475" i="3"/>
  <c r="AZ475" i="3"/>
  <c r="BO475" i="3"/>
  <c r="BP475" i="3"/>
  <c r="BQ475" i="3"/>
  <c r="BR475" i="3"/>
  <c r="BS475" i="3"/>
  <c r="BT475" i="3"/>
  <c r="BB476" i="3"/>
  <c r="BC476" i="3"/>
  <c r="BA476" i="3"/>
  <c r="AZ476" i="3"/>
  <c r="BD476" i="3"/>
  <c r="BE476" i="3"/>
  <c r="BF476" i="3"/>
  <c r="BG476" i="3"/>
  <c r="BH476" i="3"/>
  <c r="BI476" i="3"/>
  <c r="BJ476" i="3"/>
  <c r="BK476" i="3"/>
  <c r="BM476" i="3"/>
  <c r="BN476" i="3"/>
  <c r="BO476" i="3"/>
  <c r="BP476" i="3"/>
  <c r="BQ476" i="3"/>
  <c r="BR476" i="3"/>
  <c r="BS476" i="3"/>
  <c r="BT476" i="3"/>
  <c r="BL476" i="3"/>
  <c r="BB477" i="3"/>
  <c r="BC477" i="3"/>
  <c r="BD477" i="3"/>
  <c r="BE477" i="3"/>
  <c r="BF477" i="3"/>
  <c r="BG477" i="3"/>
  <c r="BH477" i="3"/>
  <c r="BI477" i="3"/>
  <c r="BJ477" i="3"/>
  <c r="BK477" i="3"/>
  <c r="BA477" i="3"/>
  <c r="BM477" i="3"/>
  <c r="BN477" i="3"/>
  <c r="BL477" i="3"/>
  <c r="AZ477" i="3"/>
  <c r="BO477" i="3"/>
  <c r="BP477" i="3"/>
  <c r="BQ477" i="3"/>
  <c r="BR477" i="3"/>
  <c r="BS477" i="3"/>
  <c r="BT477" i="3"/>
  <c r="BB478" i="3"/>
  <c r="BC478" i="3"/>
  <c r="BA478" i="3"/>
  <c r="AZ478" i="3"/>
  <c r="BD478" i="3"/>
  <c r="BE478" i="3"/>
  <c r="BF478" i="3"/>
  <c r="BG478" i="3"/>
  <c r="BH478" i="3"/>
  <c r="BI478" i="3"/>
  <c r="BJ478" i="3"/>
  <c r="BK478" i="3"/>
  <c r="BM478" i="3"/>
  <c r="BN478" i="3"/>
  <c r="BO478" i="3"/>
  <c r="BP478" i="3"/>
  <c r="BQ478" i="3"/>
  <c r="BR478" i="3"/>
  <c r="BS478" i="3"/>
  <c r="BT478" i="3"/>
  <c r="BL478" i="3"/>
  <c r="BB479" i="3"/>
  <c r="BC479" i="3"/>
  <c r="BD479" i="3"/>
  <c r="BE479" i="3"/>
  <c r="BF479" i="3"/>
  <c r="BG479" i="3"/>
  <c r="BH479" i="3"/>
  <c r="BI479" i="3"/>
  <c r="BJ479" i="3"/>
  <c r="BK479" i="3"/>
  <c r="BA479" i="3"/>
  <c r="BM479" i="3"/>
  <c r="BN479" i="3"/>
  <c r="BL479" i="3"/>
  <c r="AZ479" i="3"/>
  <c r="BO479" i="3"/>
  <c r="BP479" i="3"/>
  <c r="BQ479" i="3"/>
  <c r="BR479" i="3"/>
  <c r="BS479" i="3"/>
  <c r="BT479" i="3"/>
  <c r="BB480" i="3"/>
  <c r="BC480" i="3"/>
  <c r="BA480" i="3"/>
  <c r="AZ480" i="3"/>
  <c r="BD480" i="3"/>
  <c r="BE480" i="3"/>
  <c r="BF480" i="3"/>
  <c r="BG480" i="3"/>
  <c r="BH480" i="3"/>
  <c r="BI480" i="3"/>
  <c r="BJ480" i="3"/>
  <c r="BK480" i="3"/>
  <c r="BM480" i="3"/>
  <c r="BN480" i="3"/>
  <c r="BO480" i="3"/>
  <c r="BP480" i="3"/>
  <c r="BQ480" i="3"/>
  <c r="BR480" i="3"/>
  <c r="BS480" i="3"/>
  <c r="BT480" i="3"/>
  <c r="BL480" i="3"/>
  <c r="BB481" i="3"/>
  <c r="BC481" i="3"/>
  <c r="BD481" i="3"/>
  <c r="BE481" i="3"/>
  <c r="BF481" i="3"/>
  <c r="BG481" i="3"/>
  <c r="BH481" i="3"/>
  <c r="BI481" i="3"/>
  <c r="BJ481" i="3"/>
  <c r="BK481" i="3"/>
  <c r="BA481" i="3"/>
  <c r="BM481" i="3"/>
  <c r="BN481" i="3"/>
  <c r="BL481" i="3"/>
  <c r="AZ481" i="3"/>
  <c r="BO481" i="3"/>
  <c r="BP481" i="3"/>
  <c r="BQ481" i="3"/>
  <c r="BR481" i="3"/>
  <c r="BS481" i="3"/>
  <c r="BT481" i="3"/>
  <c r="BB482" i="3"/>
  <c r="BC482" i="3"/>
  <c r="BA482" i="3"/>
  <c r="AZ482" i="3"/>
  <c r="BD482" i="3"/>
  <c r="BE482" i="3"/>
  <c r="BF482" i="3"/>
  <c r="BG482" i="3"/>
  <c r="BH482" i="3"/>
  <c r="BI482" i="3"/>
  <c r="BJ482" i="3"/>
  <c r="BK482" i="3"/>
  <c r="BM482" i="3"/>
  <c r="BN482" i="3"/>
  <c r="BO482" i="3"/>
  <c r="BP482" i="3"/>
  <c r="BQ482" i="3"/>
  <c r="BR482" i="3"/>
  <c r="BS482" i="3"/>
  <c r="BT482" i="3"/>
  <c r="BL482" i="3"/>
  <c r="BB483" i="3"/>
  <c r="BC483" i="3"/>
  <c r="BD483" i="3"/>
  <c r="BE483" i="3"/>
  <c r="BF483" i="3"/>
  <c r="BG483" i="3"/>
  <c r="BH483" i="3"/>
  <c r="BI483" i="3"/>
  <c r="BJ483" i="3"/>
  <c r="BK483" i="3"/>
  <c r="BA483" i="3"/>
  <c r="BM483" i="3"/>
  <c r="BN483" i="3"/>
  <c r="BL483" i="3"/>
  <c r="AZ483" i="3"/>
  <c r="BO483" i="3"/>
  <c r="BP483" i="3"/>
  <c r="BQ483" i="3"/>
  <c r="BR483" i="3"/>
  <c r="BS483" i="3"/>
  <c r="BT483" i="3"/>
  <c r="BB484" i="3"/>
  <c r="BC484" i="3"/>
  <c r="BA484" i="3"/>
  <c r="AZ484" i="3"/>
  <c r="BD484" i="3"/>
  <c r="BE484" i="3"/>
  <c r="BF484" i="3"/>
  <c r="BG484" i="3"/>
  <c r="BH484" i="3"/>
  <c r="BI484" i="3"/>
  <c r="BJ484" i="3"/>
  <c r="BK484" i="3"/>
  <c r="BM484" i="3"/>
  <c r="BN484" i="3"/>
  <c r="BO484" i="3"/>
  <c r="BP484" i="3"/>
  <c r="BQ484" i="3"/>
  <c r="BR484" i="3"/>
  <c r="BS484" i="3"/>
  <c r="BT484" i="3"/>
  <c r="BL484" i="3"/>
  <c r="BB485" i="3"/>
  <c r="BC485" i="3"/>
  <c r="BD485" i="3"/>
  <c r="BE485" i="3"/>
  <c r="BF485" i="3"/>
  <c r="BG485" i="3"/>
  <c r="BH485" i="3"/>
  <c r="BI485" i="3"/>
  <c r="BJ485" i="3"/>
  <c r="BK485" i="3"/>
  <c r="BA485" i="3"/>
  <c r="BM485" i="3"/>
  <c r="BN485" i="3"/>
  <c r="BL485" i="3"/>
  <c r="AZ485" i="3"/>
  <c r="BO485" i="3"/>
  <c r="BP485" i="3"/>
  <c r="BQ485" i="3"/>
  <c r="BR485" i="3"/>
  <c r="BS485" i="3"/>
  <c r="BT485" i="3"/>
  <c r="BB486" i="3"/>
  <c r="BC486" i="3"/>
  <c r="BA486" i="3"/>
  <c r="AZ486" i="3"/>
  <c r="BD486" i="3"/>
  <c r="BE486" i="3"/>
  <c r="BF486" i="3"/>
  <c r="BG486" i="3"/>
  <c r="BH486" i="3"/>
  <c r="BI486" i="3"/>
  <c r="BJ486" i="3"/>
  <c r="BK486" i="3"/>
  <c r="BM486" i="3"/>
  <c r="BN486" i="3"/>
  <c r="BO486" i="3"/>
  <c r="BP486" i="3"/>
  <c r="BQ486" i="3"/>
  <c r="BR486" i="3"/>
  <c r="BS486" i="3"/>
  <c r="BT486" i="3"/>
  <c r="BL486" i="3"/>
  <c r="BB487" i="3"/>
  <c r="BC487" i="3"/>
  <c r="BD487" i="3"/>
  <c r="BE487" i="3"/>
  <c r="BF487" i="3"/>
  <c r="BG487" i="3"/>
  <c r="BH487" i="3"/>
  <c r="BI487" i="3"/>
  <c r="BJ487" i="3"/>
  <c r="BK487" i="3"/>
  <c r="BA487" i="3"/>
  <c r="BM487" i="3"/>
  <c r="BN487" i="3"/>
  <c r="BL487" i="3"/>
  <c r="AZ487" i="3"/>
  <c r="BO487" i="3"/>
  <c r="BP487" i="3"/>
  <c r="BQ487" i="3"/>
  <c r="BR487" i="3"/>
  <c r="BS487" i="3"/>
  <c r="BT487" i="3"/>
  <c r="BB488" i="3"/>
  <c r="BC488" i="3"/>
  <c r="BA488" i="3"/>
  <c r="AZ488" i="3"/>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A489" i="3"/>
  <c r="BM489" i="3"/>
  <c r="BN489" i="3"/>
  <c r="BL489" i="3"/>
  <c r="AZ489" i="3"/>
  <c r="BO489" i="3"/>
  <c r="BP489" i="3"/>
  <c r="BQ489" i="3"/>
  <c r="BR489" i="3"/>
  <c r="BS489" i="3"/>
  <c r="BT489" i="3"/>
  <c r="BB490" i="3"/>
  <c r="BC490" i="3"/>
  <c r="BA490" i="3"/>
  <c r="AZ490" i="3"/>
  <c r="BD490" i="3"/>
  <c r="BE490" i="3"/>
  <c r="BF490" i="3"/>
  <c r="BG490" i="3"/>
  <c r="BH490" i="3"/>
  <c r="BI490" i="3"/>
  <c r="BJ490" i="3"/>
  <c r="BK490" i="3"/>
  <c r="BM490" i="3"/>
  <c r="BN490" i="3"/>
  <c r="BO490" i="3"/>
  <c r="BP490" i="3"/>
  <c r="BQ490" i="3"/>
  <c r="BR490" i="3"/>
  <c r="BS490" i="3"/>
  <c r="BT490" i="3"/>
  <c r="BL490" i="3"/>
  <c r="BB491" i="3"/>
  <c r="BC491" i="3"/>
  <c r="BD491" i="3"/>
  <c r="BE491" i="3"/>
  <c r="BF491" i="3"/>
  <c r="BG491" i="3"/>
  <c r="BH491" i="3"/>
  <c r="BI491" i="3"/>
  <c r="BJ491" i="3"/>
  <c r="BK491" i="3"/>
  <c r="BA491" i="3"/>
  <c r="BM491" i="3"/>
  <c r="BN491" i="3"/>
  <c r="BL491" i="3"/>
  <c r="AZ491" i="3"/>
  <c r="BO491" i="3"/>
  <c r="BP491" i="3"/>
  <c r="BQ491" i="3"/>
  <c r="BR491" i="3"/>
  <c r="BS491" i="3"/>
  <c r="BT491" i="3"/>
  <c r="BB492" i="3"/>
  <c r="BC492" i="3"/>
  <c r="BA492" i="3"/>
  <c r="AZ492" i="3"/>
  <c r="BD492" i="3"/>
  <c r="BE492" i="3"/>
  <c r="BF492" i="3"/>
  <c r="BG492" i="3"/>
  <c r="BH492" i="3"/>
  <c r="BI492" i="3"/>
  <c r="BJ492" i="3"/>
  <c r="BK492" i="3"/>
  <c r="BM492" i="3"/>
  <c r="BN492" i="3"/>
  <c r="BO492" i="3"/>
  <c r="BP492" i="3"/>
  <c r="BQ492" i="3"/>
  <c r="BR492" i="3"/>
  <c r="BS492" i="3"/>
  <c r="BT492" i="3"/>
  <c r="BL492" i="3"/>
  <c r="BB493" i="3"/>
  <c r="BC493" i="3"/>
  <c r="BD493" i="3"/>
  <c r="BE493" i="3"/>
  <c r="BF493" i="3"/>
  <c r="BG493" i="3"/>
  <c r="BH493" i="3"/>
  <c r="BI493" i="3"/>
  <c r="BJ493" i="3"/>
  <c r="BK493" i="3"/>
  <c r="BA493" i="3"/>
  <c r="BM493" i="3"/>
  <c r="BN493" i="3"/>
  <c r="BL493" i="3"/>
  <c r="AZ493" i="3"/>
  <c r="BO493" i="3"/>
  <c r="BP493" i="3"/>
  <c r="BQ493" i="3"/>
  <c r="BR493" i="3"/>
  <c r="BS493" i="3"/>
  <c r="BT493" i="3"/>
  <c r="BB494" i="3"/>
  <c r="BC494" i="3"/>
  <c r="BA494" i="3"/>
  <c r="AZ494" i="3"/>
  <c r="BD494" i="3"/>
  <c r="BE494" i="3"/>
  <c r="BF494" i="3"/>
  <c r="BG494" i="3"/>
  <c r="BH494" i="3"/>
  <c r="BI494" i="3"/>
  <c r="BJ494" i="3"/>
  <c r="BK494" i="3"/>
  <c r="BM494" i="3"/>
  <c r="BN494" i="3"/>
  <c r="BO494" i="3"/>
  <c r="BP494" i="3"/>
  <c r="BQ494" i="3"/>
  <c r="BR494" i="3"/>
  <c r="BS494" i="3"/>
  <c r="BT494" i="3"/>
  <c r="BL494" i="3"/>
  <c r="BB495" i="3"/>
  <c r="BC495" i="3"/>
  <c r="BD495" i="3"/>
  <c r="BE495" i="3"/>
  <c r="BF495" i="3"/>
  <c r="BG495" i="3"/>
  <c r="BH495" i="3"/>
  <c r="BI495" i="3"/>
  <c r="BJ495" i="3"/>
  <c r="BK495" i="3"/>
  <c r="BA495" i="3"/>
  <c r="BM495" i="3"/>
  <c r="BN495" i="3"/>
  <c r="BL495" i="3"/>
  <c r="AZ495" i="3"/>
  <c r="BO495" i="3"/>
  <c r="BP495" i="3"/>
  <c r="BQ495" i="3"/>
  <c r="BR495" i="3"/>
  <c r="BS495" i="3"/>
  <c r="BT495" i="3"/>
  <c r="BB496" i="3"/>
  <c r="BC496" i="3"/>
  <c r="BA496" i="3"/>
  <c r="AZ496" i="3"/>
  <c r="BD496" i="3"/>
  <c r="BE496" i="3"/>
  <c r="BF496" i="3"/>
  <c r="BG496" i="3"/>
  <c r="BH496" i="3"/>
  <c r="BI496" i="3"/>
  <c r="BJ496" i="3"/>
  <c r="BK496" i="3"/>
  <c r="BM496" i="3"/>
  <c r="BN496" i="3"/>
  <c r="BO496" i="3"/>
  <c r="BP496" i="3"/>
  <c r="BQ496" i="3"/>
  <c r="BR496" i="3"/>
  <c r="BS496" i="3"/>
  <c r="BT496" i="3"/>
  <c r="BL496" i="3"/>
  <c r="BB497" i="3"/>
  <c r="BC497" i="3"/>
  <c r="BD497" i="3"/>
  <c r="BE497" i="3"/>
  <c r="BF497" i="3"/>
  <c r="BG497" i="3"/>
  <c r="BH497" i="3"/>
  <c r="BI497" i="3"/>
  <c r="BJ497" i="3"/>
  <c r="BK497" i="3"/>
  <c r="BA497" i="3"/>
  <c r="BM497" i="3"/>
  <c r="BN497" i="3"/>
  <c r="BL497" i="3"/>
  <c r="AZ497" i="3"/>
  <c r="BO497" i="3"/>
  <c r="BP497" i="3"/>
  <c r="BQ497" i="3"/>
  <c r="BR497" i="3"/>
  <c r="BS497" i="3"/>
  <c r="BT497" i="3"/>
  <c r="BB498" i="3"/>
  <c r="BC498" i="3"/>
  <c r="BA498" i="3"/>
  <c r="AZ498" i="3"/>
  <c r="BD498" i="3"/>
  <c r="BE498" i="3"/>
  <c r="BF498" i="3"/>
  <c r="BG498" i="3"/>
  <c r="BH498" i="3"/>
  <c r="BI498" i="3"/>
  <c r="BJ498" i="3"/>
  <c r="BK498" i="3"/>
  <c r="BM498" i="3"/>
  <c r="BN498" i="3"/>
  <c r="BO498" i="3"/>
  <c r="BP498" i="3"/>
  <c r="BQ498" i="3"/>
  <c r="BR498" i="3"/>
  <c r="BS498" i="3"/>
  <c r="BT498" i="3"/>
  <c r="BL498" i="3"/>
  <c r="BB499" i="3"/>
  <c r="BC499" i="3"/>
  <c r="BD499" i="3"/>
  <c r="BE499" i="3"/>
  <c r="BF499" i="3"/>
  <c r="BG499" i="3"/>
  <c r="BH499" i="3"/>
  <c r="BI499" i="3"/>
  <c r="BJ499" i="3"/>
  <c r="BK499" i="3"/>
  <c r="BA499" i="3"/>
  <c r="BM499" i="3"/>
  <c r="BN499" i="3"/>
  <c r="BL499" i="3"/>
  <c r="AZ499" i="3"/>
  <c r="BO499" i="3"/>
  <c r="BP499" i="3"/>
  <c r="BQ499" i="3"/>
  <c r="BR499" i="3"/>
  <c r="BS499" i="3"/>
  <c r="BT499" i="3"/>
  <c r="BB500" i="3"/>
  <c r="BC500" i="3"/>
  <c r="BA500" i="3"/>
  <c r="AZ500" i="3"/>
  <c r="BD500" i="3"/>
  <c r="BE500" i="3"/>
  <c r="BF500" i="3"/>
  <c r="BG500" i="3"/>
  <c r="BH500" i="3"/>
  <c r="BI500" i="3"/>
  <c r="BJ500" i="3"/>
  <c r="BK500" i="3"/>
  <c r="BM500" i="3"/>
  <c r="BN500" i="3"/>
  <c r="BO500" i="3"/>
  <c r="BP500" i="3"/>
  <c r="BQ500" i="3"/>
  <c r="BR500" i="3"/>
  <c r="BS500" i="3"/>
  <c r="BT500" i="3"/>
  <c r="BL500" i="3"/>
  <c r="BB501" i="3"/>
  <c r="BC501" i="3"/>
  <c r="BD501" i="3"/>
  <c r="BE501" i="3"/>
  <c r="BF501" i="3"/>
  <c r="BG501" i="3"/>
  <c r="BH501" i="3"/>
  <c r="BI501" i="3"/>
  <c r="BJ501" i="3"/>
  <c r="BK501" i="3"/>
  <c r="BA501" i="3"/>
  <c r="BM501" i="3"/>
  <c r="BN501" i="3"/>
  <c r="BL501" i="3"/>
  <c r="AZ501" i="3"/>
  <c r="BO501" i="3"/>
  <c r="BP501" i="3"/>
  <c r="BQ501" i="3"/>
  <c r="BR501" i="3"/>
  <c r="BS501" i="3"/>
  <c r="BT501" i="3"/>
  <c r="BB502" i="3"/>
  <c r="BC502" i="3"/>
  <c r="BA502" i="3"/>
  <c r="AZ502" i="3"/>
  <c r="BD502" i="3"/>
  <c r="BE502" i="3"/>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A503" i="3"/>
  <c r="BM503" i="3"/>
  <c r="BN503" i="3"/>
  <c r="BL503" i="3"/>
  <c r="AZ503" i="3"/>
  <c r="BO503" i="3"/>
  <c r="BP503" i="3"/>
  <c r="BQ503" i="3"/>
  <c r="BR503" i="3"/>
  <c r="BS503" i="3"/>
  <c r="BT503" i="3"/>
  <c r="BB504" i="3"/>
  <c r="BC504" i="3"/>
  <c r="BA504" i="3"/>
  <c r="AZ504" i="3"/>
  <c r="BD504" i="3"/>
  <c r="BE504" i="3"/>
  <c r="BF504" i="3"/>
  <c r="BG504" i="3"/>
  <c r="BH504" i="3"/>
  <c r="BI504" i="3"/>
  <c r="BJ504" i="3"/>
  <c r="BK504" i="3"/>
  <c r="BM504" i="3"/>
  <c r="BN504" i="3"/>
  <c r="BO504" i="3"/>
  <c r="BP504" i="3"/>
  <c r="BQ504" i="3"/>
  <c r="BR504" i="3"/>
  <c r="BS504" i="3"/>
  <c r="BT504" i="3"/>
  <c r="BL504" i="3"/>
  <c r="BB505" i="3"/>
  <c r="BC505" i="3"/>
  <c r="BD505" i="3"/>
  <c r="BE505" i="3"/>
  <c r="BF505" i="3"/>
  <c r="BG505" i="3"/>
  <c r="BH505" i="3"/>
  <c r="BI505" i="3"/>
  <c r="BJ505" i="3"/>
  <c r="BK505" i="3"/>
  <c r="BA505" i="3"/>
  <c r="BM505" i="3"/>
  <c r="BN505" i="3"/>
  <c r="BL505" i="3"/>
  <c r="AZ505" i="3"/>
  <c r="BO505" i="3"/>
  <c r="BP505" i="3"/>
  <c r="BQ505" i="3"/>
  <c r="BR505" i="3"/>
  <c r="BS505" i="3"/>
  <c r="BT505" i="3"/>
  <c r="BB506" i="3"/>
  <c r="BC506" i="3"/>
  <c r="BA506" i="3"/>
  <c r="AZ506" i="3"/>
  <c r="BD506" i="3"/>
  <c r="BE506" i="3"/>
  <c r="BF506" i="3"/>
  <c r="BG506" i="3"/>
  <c r="BH506" i="3"/>
  <c r="BI506" i="3"/>
  <c r="BJ506" i="3"/>
  <c r="BK506" i="3"/>
  <c r="BM506" i="3"/>
  <c r="BN506" i="3"/>
  <c r="BO506" i="3"/>
  <c r="BP506" i="3"/>
  <c r="BQ506" i="3"/>
  <c r="BR506" i="3"/>
  <c r="BS506" i="3"/>
  <c r="BT506" i="3"/>
  <c r="BL506" i="3"/>
  <c r="BB507" i="3"/>
  <c r="BC507" i="3"/>
  <c r="BD507" i="3"/>
  <c r="BE507" i="3"/>
  <c r="BF507" i="3"/>
  <c r="BG507" i="3"/>
  <c r="BH507" i="3"/>
  <c r="BI507" i="3"/>
  <c r="BJ507" i="3"/>
  <c r="BK507" i="3"/>
  <c r="BA507" i="3"/>
  <c r="BM507" i="3"/>
  <c r="BN507" i="3"/>
  <c r="BL507" i="3"/>
  <c r="AZ507" i="3"/>
  <c r="BO507" i="3"/>
  <c r="BP507" i="3"/>
  <c r="BQ507" i="3"/>
  <c r="BR507" i="3"/>
  <c r="BS507" i="3"/>
  <c r="BT507" i="3"/>
  <c r="BB508" i="3"/>
  <c r="BC508" i="3"/>
  <c r="BA508" i="3"/>
  <c r="AZ508" i="3"/>
  <c r="BD508" i="3"/>
  <c r="BE508" i="3"/>
  <c r="BF508" i="3"/>
  <c r="BG508" i="3"/>
  <c r="BH508" i="3"/>
  <c r="BI508" i="3"/>
  <c r="BJ508" i="3"/>
  <c r="BK508" i="3"/>
  <c r="BM508" i="3"/>
  <c r="BN508" i="3"/>
  <c r="BO508" i="3"/>
  <c r="BP508" i="3"/>
  <c r="BQ508" i="3"/>
  <c r="BR508" i="3"/>
  <c r="BS508" i="3"/>
  <c r="BT508" i="3"/>
  <c r="BL508" i="3"/>
  <c r="BB509" i="3"/>
  <c r="BC509" i="3"/>
  <c r="BD509" i="3"/>
  <c r="BE509" i="3"/>
  <c r="BF509" i="3"/>
  <c r="BG509" i="3"/>
  <c r="BH509" i="3"/>
  <c r="BI509" i="3"/>
  <c r="BJ509" i="3"/>
  <c r="BK509" i="3"/>
  <c r="BA509" i="3"/>
  <c r="BM509" i="3"/>
  <c r="BN509" i="3"/>
  <c r="BL509" i="3"/>
  <c r="AZ509" i="3"/>
  <c r="BO509" i="3"/>
  <c r="BP509" i="3"/>
  <c r="BQ509" i="3"/>
  <c r="BR509" i="3"/>
  <c r="BS509" i="3"/>
  <c r="BT509" i="3"/>
  <c r="BB510" i="3"/>
  <c r="BC510" i="3"/>
  <c r="BA510" i="3"/>
  <c r="AZ510" i="3"/>
  <c r="BD510" i="3"/>
  <c r="BE510" i="3"/>
  <c r="BF510" i="3"/>
  <c r="BG510" i="3"/>
  <c r="BH510" i="3"/>
  <c r="BI510" i="3"/>
  <c r="BJ510" i="3"/>
  <c r="BK510" i="3"/>
  <c r="BM510" i="3"/>
  <c r="BN510" i="3"/>
  <c r="BO510" i="3"/>
  <c r="BP510" i="3"/>
  <c r="BQ510" i="3"/>
  <c r="BR510" i="3"/>
  <c r="BS510" i="3"/>
  <c r="BT510" i="3"/>
  <c r="BL510" i="3"/>
  <c r="BB511" i="3"/>
  <c r="BC511" i="3"/>
  <c r="BD511" i="3"/>
  <c r="BE511" i="3"/>
  <c r="BF511" i="3"/>
  <c r="BG511" i="3"/>
  <c r="BH511" i="3"/>
  <c r="BI511" i="3"/>
  <c r="BJ511" i="3"/>
  <c r="BK511" i="3"/>
  <c r="BA511" i="3"/>
  <c r="BM511" i="3"/>
  <c r="BN511" i="3"/>
  <c r="BL511" i="3"/>
  <c r="AZ511" i="3"/>
  <c r="BO511" i="3"/>
  <c r="BP511" i="3"/>
  <c r="BQ511" i="3"/>
  <c r="BR511" i="3"/>
  <c r="BS511" i="3"/>
  <c r="BT511" i="3"/>
  <c r="BB512" i="3"/>
  <c r="BC512" i="3"/>
  <c r="BA512" i="3"/>
  <c r="AZ512" i="3"/>
  <c r="BD512" i="3"/>
  <c r="BE512" i="3"/>
  <c r="BF512" i="3"/>
  <c r="BG512" i="3"/>
  <c r="BH512" i="3"/>
  <c r="BI512" i="3"/>
  <c r="BJ512" i="3"/>
  <c r="BK512" i="3"/>
  <c r="BM512" i="3"/>
  <c r="BN512" i="3"/>
  <c r="BO512" i="3"/>
  <c r="BP512" i="3"/>
  <c r="BQ512" i="3"/>
  <c r="BR512" i="3"/>
  <c r="BS512" i="3"/>
  <c r="BT512" i="3"/>
  <c r="BL512" i="3"/>
  <c r="BB513" i="3"/>
  <c r="BC513" i="3"/>
  <c r="BD513" i="3"/>
  <c r="BE513" i="3"/>
  <c r="BF513" i="3"/>
  <c r="BG513" i="3"/>
  <c r="BH513" i="3"/>
  <c r="BI513" i="3"/>
  <c r="BJ513" i="3"/>
  <c r="BK513" i="3"/>
  <c r="BA513" i="3"/>
  <c r="BM513" i="3"/>
  <c r="BN513" i="3"/>
  <c r="BL513" i="3"/>
  <c r="AZ513" i="3"/>
  <c r="BO513" i="3"/>
  <c r="BP513" i="3"/>
  <c r="BQ513" i="3"/>
  <c r="BR513" i="3"/>
  <c r="BS513" i="3"/>
  <c r="BT513" i="3"/>
  <c r="BB514" i="3"/>
  <c r="BC514" i="3"/>
  <c r="BA514" i="3"/>
  <c r="AZ514" i="3"/>
  <c r="BD514" i="3"/>
  <c r="BE514" i="3"/>
  <c r="BF514" i="3"/>
  <c r="BG514" i="3"/>
  <c r="BH514" i="3"/>
  <c r="BI514" i="3"/>
  <c r="BJ514" i="3"/>
  <c r="BK514" i="3"/>
  <c r="BM514" i="3"/>
  <c r="BN514" i="3"/>
  <c r="BO514" i="3"/>
  <c r="BP514" i="3"/>
  <c r="BQ514" i="3"/>
  <c r="BR514" i="3"/>
  <c r="BS514" i="3"/>
  <c r="BT514" i="3"/>
  <c r="BL514" i="3"/>
  <c r="BB515" i="3"/>
  <c r="BC515" i="3"/>
  <c r="BD515" i="3"/>
  <c r="BE515" i="3"/>
  <c r="BF515" i="3"/>
  <c r="BG515" i="3"/>
  <c r="BH515" i="3"/>
  <c r="BI515" i="3"/>
  <c r="BJ515" i="3"/>
  <c r="BK515" i="3"/>
  <c r="BA515" i="3"/>
  <c r="BM515" i="3"/>
  <c r="BN515" i="3"/>
  <c r="BL515" i="3"/>
  <c r="AZ515" i="3"/>
  <c r="BO515" i="3"/>
  <c r="BP515" i="3"/>
  <c r="BQ515" i="3"/>
  <c r="BR515" i="3"/>
  <c r="BS515" i="3"/>
  <c r="BT515" i="3"/>
  <c r="BB516" i="3"/>
  <c r="BC516" i="3"/>
  <c r="BA516" i="3"/>
  <c r="AZ516" i="3"/>
  <c r="BD516" i="3"/>
  <c r="BE516" i="3"/>
  <c r="BF516" i="3"/>
  <c r="BG516" i="3"/>
  <c r="BH516" i="3"/>
  <c r="BI516" i="3"/>
  <c r="BJ516" i="3"/>
  <c r="BK516" i="3"/>
  <c r="BM516" i="3"/>
  <c r="BN516" i="3"/>
  <c r="BO516" i="3"/>
  <c r="BP516" i="3"/>
  <c r="BQ516" i="3"/>
  <c r="BR516" i="3"/>
  <c r="BS516" i="3"/>
  <c r="BT516" i="3"/>
  <c r="BL516" i="3"/>
  <c r="BB517" i="3"/>
  <c r="BC517" i="3"/>
  <c r="BD517" i="3"/>
  <c r="BE517" i="3"/>
  <c r="BF517" i="3"/>
  <c r="BG517" i="3"/>
  <c r="BH517" i="3"/>
  <c r="BI517" i="3"/>
  <c r="BJ517" i="3"/>
  <c r="BK517" i="3"/>
  <c r="BA517" i="3"/>
  <c r="BM517" i="3"/>
  <c r="BN517" i="3"/>
  <c r="BL517" i="3"/>
  <c r="AZ517" i="3"/>
  <c r="BO517" i="3"/>
  <c r="BP517" i="3"/>
  <c r="BQ517" i="3"/>
  <c r="BR517" i="3"/>
  <c r="BS517" i="3"/>
  <c r="BT517" i="3"/>
  <c r="BB518" i="3"/>
  <c r="BC518" i="3"/>
  <c r="BA518" i="3"/>
  <c r="AZ518" i="3"/>
  <c r="BD518" i="3"/>
  <c r="BE518" i="3"/>
  <c r="BF518" i="3"/>
  <c r="BG518" i="3"/>
  <c r="BH518" i="3"/>
  <c r="BI518" i="3"/>
  <c r="BJ518" i="3"/>
  <c r="BK518" i="3"/>
  <c r="BM518" i="3"/>
  <c r="BN518" i="3"/>
  <c r="BO518" i="3"/>
  <c r="BP518" i="3"/>
  <c r="BQ518" i="3"/>
  <c r="BR518" i="3"/>
  <c r="BS518" i="3"/>
  <c r="BT518" i="3"/>
  <c r="BL518" i="3"/>
  <c r="BB519" i="3"/>
  <c r="BC519" i="3"/>
  <c r="BD519" i="3"/>
  <c r="BE519" i="3"/>
  <c r="BF519" i="3"/>
  <c r="BG519" i="3"/>
  <c r="BH519" i="3"/>
  <c r="BI519" i="3"/>
  <c r="BJ519" i="3"/>
  <c r="BK519" i="3"/>
  <c r="BA519" i="3"/>
  <c r="BM519" i="3"/>
  <c r="BN519" i="3"/>
  <c r="BL519" i="3"/>
  <c r="AZ519" i="3"/>
  <c r="BO519" i="3"/>
  <c r="BP519" i="3"/>
  <c r="BQ519" i="3"/>
  <c r="BR519" i="3"/>
  <c r="BS519" i="3"/>
  <c r="BT519" i="3"/>
  <c r="BB520" i="3"/>
  <c r="BC520" i="3"/>
  <c r="BA520" i="3"/>
  <c r="AZ520" i="3"/>
  <c r="BD520" i="3"/>
  <c r="BE520" i="3"/>
  <c r="BF520" i="3"/>
  <c r="BG520" i="3"/>
  <c r="BH520" i="3"/>
  <c r="BI520" i="3"/>
  <c r="BJ520" i="3"/>
  <c r="BK520" i="3"/>
  <c r="BM520" i="3"/>
  <c r="BN520" i="3"/>
  <c r="BO520" i="3"/>
  <c r="BP520" i="3"/>
  <c r="BQ520" i="3"/>
  <c r="BR520" i="3"/>
  <c r="BS520" i="3"/>
  <c r="BT520" i="3"/>
  <c r="BL520" i="3"/>
  <c r="BB521" i="3"/>
  <c r="BC521" i="3"/>
  <c r="BD521" i="3"/>
  <c r="BE521" i="3"/>
  <c r="BF521" i="3"/>
  <c r="BG521" i="3"/>
  <c r="BH521" i="3"/>
  <c r="BI521" i="3"/>
  <c r="BJ521" i="3"/>
  <c r="BK521" i="3"/>
  <c r="BA521" i="3"/>
  <c r="BM521" i="3"/>
  <c r="BN521" i="3"/>
  <c r="BL521" i="3"/>
  <c r="AZ521" i="3"/>
  <c r="BO521" i="3"/>
  <c r="BP521" i="3"/>
  <c r="BQ521" i="3"/>
  <c r="BR521" i="3"/>
  <c r="BS521" i="3"/>
  <c r="BT521" i="3"/>
  <c r="BB522" i="3"/>
  <c r="BC522" i="3"/>
  <c r="BA522" i="3"/>
  <c r="AZ522" i="3"/>
  <c r="BD522" i="3"/>
  <c r="BE522" i="3"/>
  <c r="BF522" i="3"/>
  <c r="BG522" i="3"/>
  <c r="BH522" i="3"/>
  <c r="BI522" i="3"/>
  <c r="BJ522" i="3"/>
  <c r="BK522" i="3"/>
  <c r="BM522" i="3"/>
  <c r="BN522" i="3"/>
  <c r="BO522" i="3"/>
  <c r="BP522" i="3"/>
  <c r="BQ522" i="3"/>
  <c r="BR522" i="3"/>
  <c r="BS522" i="3"/>
  <c r="BT522" i="3"/>
  <c r="BL522" i="3"/>
  <c r="BB523" i="3"/>
  <c r="BC523" i="3"/>
  <c r="BD523" i="3"/>
  <c r="BE523" i="3"/>
  <c r="BF523" i="3"/>
  <c r="BG523" i="3"/>
  <c r="BH523" i="3"/>
  <c r="BI523" i="3"/>
  <c r="BJ523" i="3"/>
  <c r="BK523" i="3"/>
  <c r="BA523" i="3"/>
  <c r="BM523" i="3"/>
  <c r="BN523" i="3"/>
  <c r="BL523" i="3"/>
  <c r="AZ523" i="3"/>
  <c r="BO523" i="3"/>
  <c r="BP523" i="3"/>
  <c r="BQ523" i="3"/>
  <c r="BR523" i="3"/>
  <c r="BS523" i="3"/>
  <c r="BT523" i="3"/>
  <c r="BB524" i="3"/>
  <c r="BC524" i="3"/>
  <c r="BA524" i="3"/>
  <c r="AZ524" i="3"/>
  <c r="BD524" i="3"/>
  <c r="BE524" i="3"/>
  <c r="BF524" i="3"/>
  <c r="BG524" i="3"/>
  <c r="BH524" i="3"/>
  <c r="BI524" i="3"/>
  <c r="BJ524" i="3"/>
  <c r="BK524" i="3"/>
  <c r="BM524" i="3"/>
  <c r="BN524" i="3"/>
  <c r="BO524" i="3"/>
  <c r="BP524" i="3"/>
  <c r="BQ524" i="3"/>
  <c r="BR524" i="3"/>
  <c r="BS524" i="3"/>
  <c r="BT524" i="3"/>
  <c r="BL524" i="3"/>
  <c r="BB525" i="3"/>
  <c r="BC525" i="3"/>
  <c r="BD525" i="3"/>
  <c r="BE525" i="3"/>
  <c r="BF525" i="3"/>
  <c r="BG525" i="3"/>
  <c r="BH525" i="3"/>
  <c r="BI525" i="3"/>
  <c r="BJ525" i="3"/>
  <c r="BK525" i="3"/>
  <c r="BA525" i="3"/>
  <c r="BM525" i="3"/>
  <c r="BN525" i="3"/>
  <c r="BL525" i="3"/>
  <c r="AZ525" i="3"/>
  <c r="BO525" i="3"/>
  <c r="BP525" i="3"/>
  <c r="BQ525" i="3"/>
  <c r="BR525" i="3"/>
  <c r="BS525" i="3"/>
  <c r="BT525" i="3"/>
  <c r="BB526" i="3"/>
  <c r="BC526" i="3"/>
  <c r="BA526" i="3"/>
  <c r="AZ526" i="3"/>
  <c r="BD526" i="3"/>
  <c r="BE526" i="3"/>
  <c r="BF526" i="3"/>
  <c r="BG526" i="3"/>
  <c r="BH526" i="3"/>
  <c r="BI526" i="3"/>
  <c r="BJ526" i="3"/>
  <c r="BK526" i="3"/>
  <c r="BM526" i="3"/>
  <c r="BN526" i="3"/>
  <c r="BO526" i="3"/>
  <c r="BP526" i="3"/>
  <c r="BQ526" i="3"/>
  <c r="BR526" i="3"/>
  <c r="BS526" i="3"/>
  <c r="BT526" i="3"/>
  <c r="BL526" i="3"/>
  <c r="BB527" i="3"/>
  <c r="BC527" i="3"/>
  <c r="BD527" i="3"/>
  <c r="BE527" i="3"/>
  <c r="BF527" i="3"/>
  <c r="BG527" i="3"/>
  <c r="BH527" i="3"/>
  <c r="BI527" i="3"/>
  <c r="BJ527" i="3"/>
  <c r="BK527" i="3"/>
  <c r="BA527" i="3"/>
  <c r="BM527" i="3"/>
  <c r="BN527" i="3"/>
  <c r="BL527" i="3"/>
  <c r="AZ527" i="3"/>
  <c r="BO527" i="3"/>
  <c r="BP527" i="3"/>
  <c r="BQ527" i="3"/>
  <c r="BR527" i="3"/>
  <c r="BS527" i="3"/>
  <c r="BT527" i="3"/>
  <c r="BB528" i="3"/>
  <c r="BC528" i="3"/>
  <c r="BA528" i="3"/>
  <c r="AZ528" i="3"/>
  <c r="BD528" i="3"/>
  <c r="BE528" i="3"/>
  <c r="BF528" i="3"/>
  <c r="BG528" i="3"/>
  <c r="BH528" i="3"/>
  <c r="BI528" i="3"/>
  <c r="BJ528" i="3"/>
  <c r="BK528" i="3"/>
  <c r="BM528" i="3"/>
  <c r="BN528" i="3"/>
  <c r="BO528" i="3"/>
  <c r="BP528" i="3"/>
  <c r="BQ528" i="3"/>
  <c r="BR528" i="3"/>
  <c r="BS528" i="3"/>
  <c r="BT528" i="3"/>
  <c r="BL528" i="3"/>
  <c r="BB529" i="3"/>
  <c r="BC529" i="3"/>
  <c r="BD529" i="3"/>
  <c r="BE529" i="3"/>
  <c r="BF529" i="3"/>
  <c r="BG529" i="3"/>
  <c r="BH529" i="3"/>
  <c r="BI529" i="3"/>
  <c r="BJ529" i="3"/>
  <c r="BK529" i="3"/>
  <c r="BA529" i="3"/>
  <c r="BM529" i="3"/>
  <c r="BN529" i="3"/>
  <c r="BL529" i="3"/>
  <c r="AZ529" i="3"/>
  <c r="BO529" i="3"/>
  <c r="BP529" i="3"/>
  <c r="BQ529" i="3"/>
  <c r="BR529" i="3"/>
  <c r="BS529" i="3"/>
  <c r="BT529" i="3"/>
  <c r="BB530" i="3"/>
  <c r="BC530" i="3"/>
  <c r="BA530" i="3"/>
  <c r="AZ530" i="3"/>
  <c r="BD530" i="3"/>
  <c r="BE530" i="3"/>
  <c r="BF530" i="3"/>
  <c r="BG530" i="3"/>
  <c r="BH530" i="3"/>
  <c r="BI530" i="3"/>
  <c r="BJ530" i="3"/>
  <c r="BK530" i="3"/>
  <c r="BM530" i="3"/>
  <c r="BN530" i="3"/>
  <c r="BO530" i="3"/>
  <c r="BP530" i="3"/>
  <c r="BQ530" i="3"/>
  <c r="BR530" i="3"/>
  <c r="BS530" i="3"/>
  <c r="BT530" i="3"/>
  <c r="BL530" i="3"/>
  <c r="BB531" i="3"/>
  <c r="BC531" i="3"/>
  <c r="BD531" i="3"/>
  <c r="BE531" i="3"/>
  <c r="BF531" i="3"/>
  <c r="BG531" i="3"/>
  <c r="BH531" i="3"/>
  <c r="BI531" i="3"/>
  <c r="BJ531" i="3"/>
  <c r="BK531" i="3"/>
  <c r="BA531" i="3"/>
  <c r="BM531" i="3"/>
  <c r="BN531" i="3"/>
  <c r="BL531" i="3"/>
  <c r="AZ531" i="3"/>
  <c r="BO531" i="3"/>
  <c r="BP531" i="3"/>
  <c r="BQ531" i="3"/>
  <c r="BR531" i="3"/>
  <c r="BS531" i="3"/>
  <c r="BT531" i="3"/>
  <c r="BB532" i="3"/>
  <c r="BC532" i="3"/>
  <c r="BA532" i="3"/>
  <c r="AZ532" i="3"/>
  <c r="BD532" i="3"/>
  <c r="BE532" i="3"/>
  <c r="BF532" i="3"/>
  <c r="BG532" i="3"/>
  <c r="BH532" i="3"/>
  <c r="BI532" i="3"/>
  <c r="BJ532" i="3"/>
  <c r="BK532" i="3"/>
  <c r="BM532" i="3"/>
  <c r="BN532" i="3"/>
  <c r="BO532" i="3"/>
  <c r="BP532" i="3"/>
  <c r="BQ532" i="3"/>
  <c r="BR532" i="3"/>
  <c r="BS532" i="3"/>
  <c r="BT532" i="3"/>
  <c r="BL532" i="3"/>
  <c r="BB533" i="3"/>
  <c r="BC533" i="3"/>
  <c r="BD533" i="3"/>
  <c r="BE533" i="3"/>
  <c r="BF533" i="3"/>
  <c r="BG533" i="3"/>
  <c r="BH533" i="3"/>
  <c r="BI533" i="3"/>
  <c r="BJ533" i="3"/>
  <c r="BK533" i="3"/>
  <c r="BA533" i="3"/>
  <c r="BM533" i="3"/>
  <c r="BN533" i="3"/>
  <c r="BL533" i="3"/>
  <c r="AZ533" i="3"/>
  <c r="BO533" i="3"/>
  <c r="BP533" i="3"/>
  <c r="BQ533" i="3"/>
  <c r="BR533" i="3"/>
  <c r="BS533" i="3"/>
  <c r="BT533" i="3"/>
  <c r="BB534" i="3"/>
  <c r="BC534" i="3"/>
  <c r="BA534" i="3"/>
  <c r="AZ534" i="3"/>
  <c r="BD534" i="3"/>
  <c r="BE534" i="3"/>
  <c r="BF534" i="3"/>
  <c r="BG534" i="3"/>
  <c r="BH534" i="3"/>
  <c r="BI534" i="3"/>
  <c r="BJ534" i="3"/>
  <c r="BK534" i="3"/>
  <c r="BM534" i="3"/>
  <c r="BN534" i="3"/>
  <c r="BO534" i="3"/>
  <c r="BP534" i="3"/>
  <c r="BQ534" i="3"/>
  <c r="BR534" i="3"/>
  <c r="BS534" i="3"/>
  <c r="BT534" i="3"/>
  <c r="BL534" i="3"/>
  <c r="BB535" i="3"/>
  <c r="BC535" i="3"/>
  <c r="BD535" i="3"/>
  <c r="BE535" i="3"/>
  <c r="BF535" i="3"/>
  <c r="BG535" i="3"/>
  <c r="BH535" i="3"/>
  <c r="BI535" i="3"/>
  <c r="BJ535" i="3"/>
  <c r="BK535" i="3"/>
  <c r="BA535" i="3"/>
  <c r="BM535" i="3"/>
  <c r="BN535" i="3"/>
  <c r="BL535" i="3"/>
  <c r="AZ535" i="3"/>
  <c r="BO535" i="3"/>
  <c r="BP535" i="3"/>
  <c r="BQ535" i="3"/>
  <c r="BR535" i="3"/>
  <c r="BS535" i="3"/>
  <c r="BT535" i="3"/>
  <c r="BB536" i="3"/>
  <c r="BC536" i="3"/>
  <c r="BA536" i="3"/>
  <c r="AZ536" i="3"/>
  <c r="BD536" i="3"/>
  <c r="BE536" i="3"/>
  <c r="BF536" i="3"/>
  <c r="BG536" i="3"/>
  <c r="BH536" i="3"/>
  <c r="BI536" i="3"/>
  <c r="BJ536" i="3"/>
  <c r="BK536" i="3"/>
  <c r="BM536" i="3"/>
  <c r="BN536" i="3"/>
  <c r="BO536" i="3"/>
  <c r="BP536" i="3"/>
  <c r="BQ536" i="3"/>
  <c r="BR536" i="3"/>
  <c r="BS536" i="3"/>
  <c r="BT536" i="3"/>
  <c r="BL536" i="3"/>
  <c r="BB537" i="3"/>
  <c r="BC537" i="3"/>
  <c r="BD537" i="3"/>
  <c r="BE537" i="3"/>
  <c r="BF537" i="3"/>
  <c r="BG537" i="3"/>
  <c r="BH537" i="3"/>
  <c r="BI537" i="3"/>
  <c r="BJ537" i="3"/>
  <c r="BK537" i="3"/>
  <c r="BA537" i="3"/>
  <c r="BM537" i="3"/>
  <c r="BN537" i="3"/>
  <c r="BL537" i="3"/>
  <c r="AZ537" i="3"/>
  <c r="BO537" i="3"/>
  <c r="BP537" i="3"/>
  <c r="BQ537" i="3"/>
  <c r="BR537" i="3"/>
  <c r="BS537" i="3"/>
  <c r="BT537" i="3"/>
  <c r="BB538" i="3"/>
  <c r="BC538" i="3"/>
  <c r="BA538" i="3"/>
  <c r="AZ538" i="3"/>
  <c r="BD538" i="3"/>
  <c r="BE538" i="3"/>
  <c r="BF538" i="3"/>
  <c r="BG538" i="3"/>
  <c r="BH538" i="3"/>
  <c r="BI538" i="3"/>
  <c r="BJ538" i="3"/>
  <c r="BK538" i="3"/>
  <c r="BM538" i="3"/>
  <c r="BN538" i="3"/>
  <c r="BO538" i="3"/>
  <c r="BP538" i="3"/>
  <c r="BQ538" i="3"/>
  <c r="BR538" i="3"/>
  <c r="BS538" i="3"/>
  <c r="BT538" i="3"/>
  <c r="BL538" i="3"/>
  <c r="BB539" i="3"/>
  <c r="BC539" i="3"/>
  <c r="BD539" i="3"/>
  <c r="BE539" i="3"/>
  <c r="BF539" i="3"/>
  <c r="BG539" i="3"/>
  <c r="BH539" i="3"/>
  <c r="BI539" i="3"/>
  <c r="BJ539" i="3"/>
  <c r="BK539" i="3"/>
  <c r="BA539" i="3"/>
  <c r="BM539" i="3"/>
  <c r="BN539" i="3"/>
  <c r="BL539" i="3"/>
  <c r="AZ539" i="3"/>
  <c r="BO539" i="3"/>
  <c r="BP539" i="3"/>
  <c r="BQ539" i="3"/>
  <c r="BR539" i="3"/>
  <c r="BS539" i="3"/>
  <c r="BT539" i="3"/>
  <c r="BB540" i="3"/>
  <c r="BC540" i="3"/>
  <c r="BA540" i="3"/>
  <c r="AZ540" i="3"/>
  <c r="BD540" i="3"/>
  <c r="BE540" i="3"/>
  <c r="BF540" i="3"/>
  <c r="BG540" i="3"/>
  <c r="BH540" i="3"/>
  <c r="BI540" i="3"/>
  <c r="BJ540" i="3"/>
  <c r="BK540" i="3"/>
  <c r="BM540" i="3"/>
  <c r="BN540" i="3"/>
  <c r="BO540" i="3"/>
  <c r="BP540" i="3"/>
  <c r="BQ540" i="3"/>
  <c r="BR540" i="3"/>
  <c r="BS540" i="3"/>
  <c r="BT540" i="3"/>
  <c r="BL540" i="3"/>
  <c r="BB541" i="3"/>
  <c r="BC541" i="3"/>
  <c r="BD541" i="3"/>
  <c r="BE541" i="3"/>
  <c r="BF541" i="3"/>
  <c r="BG541" i="3"/>
  <c r="BH541" i="3"/>
  <c r="BI541" i="3"/>
  <c r="BJ541" i="3"/>
  <c r="BK541" i="3"/>
  <c r="BA541" i="3"/>
  <c r="BM541" i="3"/>
  <c r="BN541" i="3"/>
  <c r="BL541" i="3"/>
  <c r="AZ541" i="3"/>
  <c r="BO541" i="3"/>
  <c r="BP541" i="3"/>
  <c r="BQ541" i="3"/>
  <c r="BR541" i="3"/>
  <c r="BS541" i="3"/>
  <c r="BT541" i="3"/>
  <c r="BB542" i="3"/>
  <c r="BC542" i="3"/>
  <c r="BA542" i="3"/>
  <c r="AZ542" i="3"/>
  <c r="BD542" i="3"/>
  <c r="BE542" i="3"/>
  <c r="BF542" i="3"/>
  <c r="BG542" i="3"/>
  <c r="BH542" i="3"/>
  <c r="BI542" i="3"/>
  <c r="BJ542" i="3"/>
  <c r="BK542" i="3"/>
  <c r="BM542" i="3"/>
  <c r="BN542" i="3"/>
  <c r="BO542" i="3"/>
  <c r="BP542" i="3"/>
  <c r="BQ542" i="3"/>
  <c r="BR542" i="3"/>
  <c r="BS542" i="3"/>
  <c r="BT542" i="3"/>
  <c r="BL542" i="3"/>
  <c r="BB543" i="3"/>
  <c r="BC543" i="3"/>
  <c r="BD543" i="3"/>
  <c r="BE543" i="3"/>
  <c r="BF543" i="3"/>
  <c r="BG543" i="3"/>
  <c r="BH543" i="3"/>
  <c r="BI543" i="3"/>
  <c r="BJ543" i="3"/>
  <c r="BK543" i="3"/>
  <c r="BA543" i="3"/>
  <c r="BM543" i="3"/>
  <c r="BN543" i="3"/>
  <c r="BL543" i="3"/>
  <c r="AZ543" i="3"/>
  <c r="BO543" i="3"/>
  <c r="BP543" i="3"/>
  <c r="BQ543" i="3"/>
  <c r="BR543" i="3"/>
  <c r="BS543" i="3"/>
  <c r="BT543" i="3"/>
  <c r="BB544" i="3"/>
  <c r="BC544" i="3"/>
  <c r="BA544" i="3"/>
  <c r="AZ544" i="3"/>
  <c r="BD544" i="3"/>
  <c r="BE544" i="3"/>
  <c r="BF544" i="3"/>
  <c r="BG544" i="3"/>
  <c r="BH544" i="3"/>
  <c r="BI544" i="3"/>
  <c r="BJ544" i="3"/>
  <c r="BK544" i="3"/>
  <c r="BM544" i="3"/>
  <c r="BN544" i="3"/>
  <c r="BO544" i="3"/>
  <c r="BP544" i="3"/>
  <c r="BQ544" i="3"/>
  <c r="BR544" i="3"/>
  <c r="BS544" i="3"/>
  <c r="BT544" i="3"/>
  <c r="BL544" i="3"/>
  <c r="BB545" i="3"/>
  <c r="BC545" i="3"/>
  <c r="BD545" i="3"/>
  <c r="BE545" i="3"/>
  <c r="BF545" i="3"/>
  <c r="BG545" i="3"/>
  <c r="BH545" i="3"/>
  <c r="BI545" i="3"/>
  <c r="BJ545" i="3"/>
  <c r="BK545" i="3"/>
  <c r="BA545" i="3"/>
  <c r="BM545" i="3"/>
  <c r="BN545" i="3"/>
  <c r="BL545" i="3"/>
  <c r="AZ545" i="3"/>
  <c r="BO545" i="3"/>
  <c r="BP545" i="3"/>
  <c r="BQ545" i="3"/>
  <c r="BR545" i="3"/>
  <c r="BS545" i="3"/>
  <c r="BT545" i="3"/>
  <c r="BB546" i="3"/>
  <c r="BC546" i="3"/>
  <c r="BA546" i="3"/>
  <c r="AZ546" i="3"/>
  <c r="BD546" i="3"/>
  <c r="BE546" i="3"/>
  <c r="BF546" i="3"/>
  <c r="BG546" i="3"/>
  <c r="BH546" i="3"/>
  <c r="BI546" i="3"/>
  <c r="BJ546" i="3"/>
  <c r="BK546" i="3"/>
  <c r="BM546" i="3"/>
  <c r="BN546" i="3"/>
  <c r="BO546" i="3"/>
  <c r="BP546" i="3"/>
  <c r="BQ546" i="3"/>
  <c r="BR546" i="3"/>
  <c r="BS546" i="3"/>
  <c r="BT546" i="3"/>
  <c r="BL546" i="3"/>
  <c r="BB547" i="3"/>
  <c r="BC547" i="3"/>
  <c r="BD547" i="3"/>
  <c r="BE547" i="3"/>
  <c r="BF547" i="3"/>
  <c r="BG547" i="3"/>
  <c r="BH547" i="3"/>
  <c r="BI547" i="3"/>
  <c r="BJ547" i="3"/>
  <c r="BK547" i="3"/>
  <c r="BA547" i="3"/>
  <c r="BM547" i="3"/>
  <c r="BN547" i="3"/>
  <c r="BL547" i="3"/>
  <c r="AZ547" i="3"/>
  <c r="BO547" i="3"/>
  <c r="BP547" i="3"/>
  <c r="BQ547" i="3"/>
  <c r="BR547" i="3"/>
  <c r="BS547" i="3"/>
  <c r="BT547" i="3"/>
  <c r="BB548" i="3"/>
  <c r="BC548" i="3"/>
  <c r="BA548" i="3"/>
  <c r="AZ548" i="3"/>
  <c r="BD548" i="3"/>
  <c r="BE548" i="3"/>
  <c r="BF548" i="3"/>
  <c r="BG548" i="3"/>
  <c r="BH548" i="3"/>
  <c r="BI548" i="3"/>
  <c r="BJ548" i="3"/>
  <c r="BK548" i="3"/>
  <c r="BM548" i="3"/>
  <c r="BN548" i="3"/>
  <c r="BO548" i="3"/>
  <c r="BP548" i="3"/>
  <c r="BQ548" i="3"/>
  <c r="BR548" i="3"/>
  <c r="BS548" i="3"/>
  <c r="BT548" i="3"/>
  <c r="BL548" i="3"/>
  <c r="BB549" i="3"/>
  <c r="BC549" i="3"/>
  <c r="BD549" i="3"/>
  <c r="BE549" i="3"/>
  <c r="BF549" i="3"/>
  <c r="BG549" i="3"/>
  <c r="BH549" i="3"/>
  <c r="BI549" i="3"/>
  <c r="BJ549" i="3"/>
  <c r="BK549" i="3"/>
  <c r="BA549" i="3"/>
  <c r="BM549" i="3"/>
  <c r="BN549" i="3"/>
  <c r="BL549" i="3"/>
  <c r="AZ549" i="3"/>
  <c r="BO549" i="3"/>
  <c r="BP549" i="3"/>
  <c r="BQ549" i="3"/>
  <c r="BR549" i="3"/>
  <c r="BS549" i="3"/>
  <c r="BT549" i="3"/>
  <c r="BB550" i="3"/>
  <c r="BC550" i="3"/>
  <c r="BA550" i="3"/>
  <c r="AZ550" i="3"/>
  <c r="BD550" i="3"/>
  <c r="BE550" i="3"/>
  <c r="BF550" i="3"/>
  <c r="BG550" i="3"/>
  <c r="BH550" i="3"/>
  <c r="BI550" i="3"/>
  <c r="BJ550" i="3"/>
  <c r="BK550" i="3"/>
  <c r="BM550" i="3"/>
  <c r="BN550" i="3"/>
  <c r="BO550" i="3"/>
  <c r="BP550" i="3"/>
  <c r="BQ550" i="3"/>
  <c r="BR550" i="3"/>
  <c r="BS550" i="3"/>
  <c r="BT550" i="3"/>
  <c r="BL550" i="3"/>
  <c r="BB551" i="3"/>
  <c r="BC551" i="3"/>
  <c r="BD551" i="3"/>
  <c r="BE551" i="3"/>
  <c r="BF551" i="3"/>
  <c r="BG551" i="3"/>
  <c r="BH551" i="3"/>
  <c r="BI551" i="3"/>
  <c r="BJ551" i="3"/>
  <c r="BK551" i="3"/>
  <c r="BA551" i="3"/>
  <c r="BM551" i="3"/>
  <c r="BN551" i="3"/>
  <c r="BL551" i="3"/>
  <c r="AZ551" i="3"/>
  <c r="BO551" i="3"/>
  <c r="BP551" i="3"/>
  <c r="BQ551" i="3"/>
  <c r="BR551" i="3"/>
  <c r="BS551" i="3"/>
  <c r="BT551" i="3"/>
  <c r="BB552" i="3"/>
  <c r="BC552" i="3"/>
  <c r="BA552" i="3"/>
  <c r="AZ552" i="3"/>
  <c r="BD552" i="3"/>
  <c r="BE552" i="3"/>
  <c r="BF552" i="3"/>
  <c r="BG552" i="3"/>
  <c r="BH552" i="3"/>
  <c r="BI552" i="3"/>
  <c r="BJ552" i="3"/>
  <c r="BK552" i="3"/>
  <c r="BM552" i="3"/>
  <c r="BN552" i="3"/>
  <c r="BO552" i="3"/>
  <c r="BP552" i="3"/>
  <c r="BQ552" i="3"/>
  <c r="BR552" i="3"/>
  <c r="BS552" i="3"/>
  <c r="BT552" i="3"/>
  <c r="BL552" i="3"/>
  <c r="BB553" i="3"/>
  <c r="BC553" i="3"/>
  <c r="BD553" i="3"/>
  <c r="BE553" i="3"/>
  <c r="BF553" i="3"/>
  <c r="BG553" i="3"/>
  <c r="BH553" i="3"/>
  <c r="BI553" i="3"/>
  <c r="BJ553" i="3"/>
  <c r="BK553" i="3"/>
  <c r="BA553" i="3"/>
  <c r="BM553" i="3"/>
  <c r="BN553" i="3"/>
  <c r="BL553" i="3"/>
  <c r="AZ553" i="3"/>
  <c r="BO553" i="3"/>
  <c r="BP553" i="3"/>
  <c r="BQ553" i="3"/>
  <c r="BR553" i="3"/>
  <c r="BS553" i="3"/>
  <c r="BT553" i="3"/>
  <c r="BB554" i="3"/>
  <c r="BC554" i="3"/>
  <c r="BA554" i="3"/>
  <c r="AZ554" i="3"/>
  <c r="BD554" i="3"/>
  <c r="BE554" i="3"/>
  <c r="BF554" i="3"/>
  <c r="BG554" i="3"/>
  <c r="BH554" i="3"/>
  <c r="BI554" i="3"/>
  <c r="BJ554" i="3"/>
  <c r="BK554" i="3"/>
  <c r="BM554" i="3"/>
  <c r="BN554" i="3"/>
  <c r="BO554" i="3"/>
  <c r="BP554" i="3"/>
  <c r="BQ554" i="3"/>
  <c r="BR554" i="3"/>
  <c r="BS554" i="3"/>
  <c r="BT554" i="3"/>
  <c r="BL554" i="3"/>
  <c r="BB555" i="3"/>
  <c r="BC555" i="3"/>
  <c r="BD555" i="3"/>
  <c r="BE555" i="3"/>
  <c r="BF555" i="3"/>
  <c r="BG555" i="3"/>
  <c r="BH555" i="3"/>
  <c r="BI555" i="3"/>
  <c r="BJ555" i="3"/>
  <c r="BK555" i="3"/>
  <c r="BA555" i="3"/>
  <c r="BM555" i="3"/>
  <c r="BN555" i="3"/>
  <c r="BL555" i="3"/>
  <c r="AZ555" i="3"/>
  <c r="BO555" i="3"/>
  <c r="BP555" i="3"/>
  <c r="BQ555" i="3"/>
  <c r="BR555" i="3"/>
  <c r="BS555" i="3"/>
  <c r="BT555" i="3"/>
  <c r="BB556" i="3"/>
  <c r="BC556" i="3"/>
  <c r="BA556" i="3"/>
  <c r="AZ556" i="3"/>
  <c r="BD556" i="3"/>
  <c r="BE556" i="3"/>
  <c r="BF556" i="3"/>
  <c r="BG556" i="3"/>
  <c r="BH556" i="3"/>
  <c r="BI556" i="3"/>
  <c r="BJ556" i="3"/>
  <c r="BK556" i="3"/>
  <c r="BM556" i="3"/>
  <c r="BN556" i="3"/>
  <c r="BO556" i="3"/>
  <c r="BP556" i="3"/>
  <c r="BQ556" i="3"/>
  <c r="BR556" i="3"/>
  <c r="BS556" i="3"/>
  <c r="BT556" i="3"/>
  <c r="BL556" i="3"/>
  <c r="BB557" i="3"/>
  <c r="BC557" i="3"/>
  <c r="BD557" i="3"/>
  <c r="BE557" i="3"/>
  <c r="BF557" i="3"/>
  <c r="BG557" i="3"/>
  <c r="BH557" i="3"/>
  <c r="BI557" i="3"/>
  <c r="BJ557" i="3"/>
  <c r="BK557" i="3"/>
  <c r="BA557" i="3"/>
  <c r="BM557" i="3"/>
  <c r="BN557" i="3"/>
  <c r="BL557" i="3"/>
  <c r="AZ557" i="3"/>
  <c r="BO557" i="3"/>
  <c r="BP557" i="3"/>
  <c r="BQ557" i="3"/>
  <c r="BR557" i="3"/>
  <c r="BS557" i="3"/>
  <c r="BT557" i="3"/>
  <c r="BB558" i="3"/>
  <c r="BC558" i="3"/>
  <c r="BA558" i="3"/>
  <c r="AZ558" i="3"/>
  <c r="BD558" i="3"/>
  <c r="BE558" i="3"/>
  <c r="BF558" i="3"/>
  <c r="BG558" i="3"/>
  <c r="BH558" i="3"/>
  <c r="BI558" i="3"/>
  <c r="BJ558" i="3"/>
  <c r="BK558" i="3"/>
  <c r="BM558" i="3"/>
  <c r="BN558" i="3"/>
  <c r="BO558" i="3"/>
  <c r="BP558" i="3"/>
  <c r="BQ558" i="3"/>
  <c r="BR558" i="3"/>
  <c r="BS558" i="3"/>
  <c r="BT558" i="3"/>
  <c r="BL558" i="3"/>
  <c r="BB559" i="3"/>
  <c r="BC559" i="3"/>
  <c r="BD559" i="3"/>
  <c r="BE559" i="3"/>
  <c r="BF559" i="3"/>
  <c r="BG559" i="3"/>
  <c r="BH559" i="3"/>
  <c r="BI559" i="3"/>
  <c r="BJ559" i="3"/>
  <c r="BK559" i="3"/>
  <c r="BA559" i="3"/>
  <c r="BM559" i="3"/>
  <c r="BN559" i="3"/>
  <c r="BL559" i="3"/>
  <c r="AZ559" i="3"/>
  <c r="BO559" i="3"/>
  <c r="BP559" i="3"/>
  <c r="BQ559" i="3"/>
  <c r="BR559" i="3"/>
  <c r="BS559" i="3"/>
  <c r="BT559" i="3"/>
  <c r="BB560" i="3"/>
  <c r="BC560" i="3"/>
  <c r="BA560" i="3"/>
  <c r="AZ560" i="3"/>
  <c r="BD560" i="3"/>
  <c r="BE560" i="3"/>
  <c r="BF560" i="3"/>
  <c r="BG560" i="3"/>
  <c r="BH560" i="3"/>
  <c r="BI560" i="3"/>
  <c r="BJ560" i="3"/>
  <c r="BK560" i="3"/>
  <c r="BM560" i="3"/>
  <c r="BN560" i="3"/>
  <c r="BO560" i="3"/>
  <c r="BP560" i="3"/>
  <c r="BQ560" i="3"/>
  <c r="BR560" i="3"/>
  <c r="BS560" i="3"/>
  <c r="BT560" i="3"/>
  <c r="BL560" i="3"/>
  <c r="BB561" i="3"/>
  <c r="BC561" i="3"/>
  <c r="BD561" i="3"/>
  <c r="BE561" i="3"/>
  <c r="BF561" i="3"/>
  <c r="BG561" i="3"/>
  <c r="BH561" i="3"/>
  <c r="BI561" i="3"/>
  <c r="BJ561" i="3"/>
  <c r="BK561" i="3"/>
  <c r="BA561" i="3"/>
  <c r="BM561" i="3"/>
  <c r="BN561" i="3"/>
  <c r="BL561" i="3"/>
  <c r="AZ561" i="3"/>
  <c r="BO561" i="3"/>
  <c r="BP561" i="3"/>
  <c r="BQ561" i="3"/>
  <c r="BR561" i="3"/>
  <c r="BS561" i="3"/>
  <c r="BT561" i="3"/>
  <c r="BB562" i="3"/>
  <c r="BC562" i="3"/>
  <c r="BA562" i="3"/>
  <c r="AZ562" i="3"/>
  <c r="BD562" i="3"/>
  <c r="BE562" i="3"/>
  <c r="BF562" i="3"/>
  <c r="BG562" i="3"/>
  <c r="BH562" i="3"/>
  <c r="BI562" i="3"/>
  <c r="BJ562" i="3"/>
  <c r="BK562" i="3"/>
  <c r="BM562" i="3"/>
  <c r="BN562" i="3"/>
  <c r="BO562" i="3"/>
  <c r="BP562" i="3"/>
  <c r="BQ562" i="3"/>
  <c r="BR562" i="3"/>
  <c r="BS562" i="3"/>
  <c r="BT562" i="3"/>
  <c r="BL562" i="3"/>
  <c r="BB563" i="3"/>
  <c r="BC563" i="3"/>
  <c r="BD563" i="3"/>
  <c r="BE563" i="3"/>
  <c r="BF563" i="3"/>
  <c r="BG563" i="3"/>
  <c r="BH563" i="3"/>
  <c r="BI563" i="3"/>
  <c r="BJ563" i="3"/>
  <c r="BK563" i="3"/>
  <c r="BA563" i="3"/>
  <c r="BM563" i="3"/>
  <c r="BN563" i="3"/>
  <c r="BL563" i="3"/>
  <c r="AZ563" i="3"/>
  <c r="BO563" i="3"/>
  <c r="BP563" i="3"/>
  <c r="BQ563" i="3"/>
  <c r="BR563" i="3"/>
  <c r="BS563" i="3"/>
  <c r="BT563" i="3"/>
  <c r="BB564" i="3"/>
  <c r="BC564" i="3"/>
  <c r="BA564" i="3"/>
  <c r="AZ564" i="3"/>
  <c r="BD564" i="3"/>
  <c r="BE564" i="3"/>
  <c r="BF564" i="3"/>
  <c r="BG564" i="3"/>
  <c r="BH564" i="3"/>
  <c r="BI564" i="3"/>
  <c r="BJ564" i="3"/>
  <c r="BK564" i="3"/>
  <c r="BM564" i="3"/>
  <c r="BN564" i="3"/>
  <c r="BO564" i="3"/>
  <c r="BP564" i="3"/>
  <c r="BQ564" i="3"/>
  <c r="BR564" i="3"/>
  <c r="BS564" i="3"/>
  <c r="BT564" i="3"/>
  <c r="BL564" i="3"/>
  <c r="BB565" i="3"/>
  <c r="BC565" i="3"/>
  <c r="BD565" i="3"/>
  <c r="BE565" i="3"/>
  <c r="BF565" i="3"/>
  <c r="BG565" i="3"/>
  <c r="BH565" i="3"/>
  <c r="BI565" i="3"/>
  <c r="BJ565" i="3"/>
  <c r="BK565" i="3"/>
  <c r="BA565" i="3"/>
  <c r="BM565" i="3"/>
  <c r="BN565" i="3"/>
  <c r="BL565" i="3"/>
  <c r="AZ565" i="3"/>
  <c r="BO565" i="3"/>
  <c r="BP565" i="3"/>
  <c r="BQ565" i="3"/>
  <c r="BR565" i="3"/>
  <c r="BS565" i="3"/>
  <c r="BT565" i="3"/>
  <c r="BB566" i="3"/>
  <c r="BC566" i="3"/>
  <c r="BA566" i="3"/>
  <c r="AZ566" i="3"/>
  <c r="BD566" i="3"/>
  <c r="BE566" i="3"/>
  <c r="BF566" i="3"/>
  <c r="BG566" i="3"/>
  <c r="BH566" i="3"/>
  <c r="BI566" i="3"/>
  <c r="BJ566" i="3"/>
  <c r="BK566" i="3"/>
  <c r="BM566" i="3"/>
  <c r="BN566" i="3"/>
  <c r="BO566" i="3"/>
  <c r="BP566" i="3"/>
  <c r="BQ566" i="3"/>
  <c r="BR566" i="3"/>
  <c r="BS566" i="3"/>
  <c r="BT566" i="3"/>
  <c r="BL566" i="3"/>
  <c r="BB567" i="3"/>
  <c r="BC567" i="3"/>
  <c r="BD567" i="3"/>
  <c r="BE567" i="3"/>
  <c r="BF567" i="3"/>
  <c r="BG567" i="3"/>
  <c r="BH567" i="3"/>
  <c r="BI567" i="3"/>
  <c r="BJ567" i="3"/>
  <c r="BK567" i="3"/>
  <c r="BA567" i="3"/>
  <c r="BM567" i="3"/>
  <c r="BN567" i="3"/>
  <c r="BL567" i="3"/>
  <c r="AZ567" i="3"/>
  <c r="BO567" i="3"/>
  <c r="BP567" i="3"/>
  <c r="BQ567" i="3"/>
  <c r="BR567" i="3"/>
  <c r="BS567" i="3"/>
  <c r="BT567" i="3"/>
  <c r="BB568" i="3"/>
  <c r="BC568" i="3"/>
  <c r="BA568" i="3"/>
  <c r="AZ568" i="3"/>
  <c r="BD568" i="3"/>
  <c r="BE568" i="3"/>
  <c r="BF568" i="3"/>
  <c r="BG568" i="3"/>
  <c r="BH568" i="3"/>
  <c r="BI568" i="3"/>
  <c r="BJ568" i="3"/>
  <c r="BK568" i="3"/>
  <c r="BM568" i="3"/>
  <c r="BN568" i="3"/>
  <c r="BO568" i="3"/>
  <c r="BP568" i="3"/>
  <c r="BQ568" i="3"/>
  <c r="BR568" i="3"/>
  <c r="BS568" i="3"/>
  <c r="BT568" i="3"/>
  <c r="BL568" i="3"/>
  <c r="BB569" i="3"/>
  <c r="BC569" i="3"/>
  <c r="BD569" i="3"/>
  <c r="BE569" i="3"/>
  <c r="BF569" i="3"/>
  <c r="BG569" i="3"/>
  <c r="BH569" i="3"/>
  <c r="BI569" i="3"/>
  <c r="BJ569" i="3"/>
  <c r="BK569" i="3"/>
  <c r="BA569" i="3"/>
  <c r="BM569" i="3"/>
  <c r="BN569" i="3"/>
  <c r="BL569" i="3"/>
  <c r="AZ569" i="3"/>
  <c r="BO569" i="3"/>
  <c r="BP569" i="3"/>
  <c r="BQ569" i="3"/>
  <c r="BR569" i="3"/>
  <c r="BS569" i="3"/>
  <c r="BT569" i="3"/>
  <c r="BB570" i="3"/>
  <c r="BC570" i="3"/>
  <c r="BA570" i="3"/>
  <c r="AZ570" i="3"/>
  <c r="BD570" i="3"/>
  <c r="BE570" i="3"/>
  <c r="BF570" i="3"/>
  <c r="BG570" i="3"/>
  <c r="BH570" i="3"/>
  <c r="BI570" i="3"/>
  <c r="BJ570" i="3"/>
  <c r="BK570" i="3"/>
  <c r="BM570" i="3"/>
  <c r="BN570" i="3"/>
  <c r="BO570" i="3"/>
  <c r="BP570" i="3"/>
  <c r="BQ570" i="3"/>
  <c r="BR570" i="3"/>
  <c r="BS570" i="3"/>
  <c r="BT570" i="3"/>
  <c r="BL570" i="3"/>
  <c r="BB571" i="3"/>
  <c r="BC571" i="3"/>
  <c r="BD571" i="3"/>
  <c r="BE571" i="3"/>
  <c r="BF571" i="3"/>
  <c r="BG571" i="3"/>
  <c r="BH571" i="3"/>
  <c r="BI571" i="3"/>
  <c r="BJ571" i="3"/>
  <c r="BK571" i="3"/>
  <c r="BA571" i="3"/>
  <c r="BM571" i="3"/>
  <c r="BN571" i="3"/>
  <c r="BL571" i="3"/>
  <c r="AZ571" i="3"/>
  <c r="BO571" i="3"/>
  <c r="BP571" i="3"/>
  <c r="BQ571" i="3"/>
  <c r="BR571" i="3"/>
  <c r="BS571" i="3"/>
  <c r="BT571" i="3"/>
  <c r="BB572" i="3"/>
  <c r="BC572" i="3"/>
  <c r="BA572" i="3"/>
  <c r="AZ572" i="3"/>
  <c r="BD572" i="3"/>
  <c r="BE572" i="3"/>
  <c r="BF572" i="3"/>
  <c r="BG572" i="3"/>
  <c r="BH572" i="3"/>
  <c r="BI572" i="3"/>
  <c r="BJ572" i="3"/>
  <c r="BK572" i="3"/>
  <c r="BM572" i="3"/>
  <c r="BN572" i="3"/>
  <c r="BO572" i="3"/>
  <c r="BP572" i="3"/>
  <c r="BQ572" i="3"/>
  <c r="BR572" i="3"/>
  <c r="BS572" i="3"/>
  <c r="BT572" i="3"/>
  <c r="BL572" i="3"/>
  <c r="BB573" i="3"/>
  <c r="BC573" i="3"/>
  <c r="BD573" i="3"/>
  <c r="BE573" i="3"/>
  <c r="BF573" i="3"/>
  <c r="BG573" i="3"/>
  <c r="BH573" i="3"/>
  <c r="BI573" i="3"/>
  <c r="BJ573" i="3"/>
  <c r="BK573" i="3"/>
  <c r="BA573" i="3"/>
  <c r="BM573" i="3"/>
  <c r="BN573" i="3"/>
  <c r="BL573" i="3"/>
  <c r="AZ573" i="3"/>
  <c r="BO573" i="3"/>
  <c r="BP573" i="3"/>
  <c r="BQ573" i="3"/>
  <c r="BR573" i="3"/>
  <c r="BS573" i="3"/>
  <c r="BT573" i="3"/>
  <c r="BB574" i="3"/>
  <c r="BC574" i="3"/>
  <c r="BA574" i="3"/>
  <c r="AZ574" i="3"/>
  <c r="BD574" i="3"/>
  <c r="BE574" i="3"/>
  <c r="BF574" i="3"/>
  <c r="BG574" i="3"/>
  <c r="BH574" i="3"/>
  <c r="BI574" i="3"/>
  <c r="BJ574" i="3"/>
  <c r="BK574" i="3"/>
  <c r="BM574" i="3"/>
  <c r="BN574" i="3"/>
  <c r="BO574" i="3"/>
  <c r="BP574" i="3"/>
  <c r="BQ574" i="3"/>
  <c r="BR574" i="3"/>
  <c r="BS574" i="3"/>
  <c r="BT574" i="3"/>
  <c r="BL574" i="3"/>
  <c r="BB575" i="3"/>
  <c r="BC575" i="3"/>
  <c r="BD575" i="3"/>
  <c r="BE575" i="3"/>
  <c r="BF575" i="3"/>
  <c r="BG575" i="3"/>
  <c r="BH575" i="3"/>
  <c r="BI575" i="3"/>
  <c r="BJ575" i="3"/>
  <c r="BK575" i="3"/>
  <c r="BA575" i="3"/>
  <c r="BM575" i="3"/>
  <c r="BN575" i="3"/>
  <c r="BL575" i="3"/>
  <c r="AZ575" i="3"/>
  <c r="BO575" i="3"/>
  <c r="BP575" i="3"/>
  <c r="BQ575" i="3"/>
  <c r="BR575" i="3"/>
  <c r="BS575" i="3"/>
  <c r="BT575" i="3"/>
  <c r="BB576" i="3"/>
  <c r="BC576" i="3"/>
  <c r="BA576" i="3"/>
  <c r="AZ576" i="3"/>
  <c r="BD576" i="3"/>
  <c r="BE576" i="3"/>
  <c r="BF576" i="3"/>
  <c r="BG576" i="3"/>
  <c r="BH576" i="3"/>
  <c r="BI576" i="3"/>
  <c r="BJ576" i="3"/>
  <c r="BK576" i="3"/>
  <c r="BM576" i="3"/>
  <c r="BN576" i="3"/>
  <c r="BO576" i="3"/>
  <c r="BP576" i="3"/>
  <c r="BQ576" i="3"/>
  <c r="BR576" i="3"/>
  <c r="BS576" i="3"/>
  <c r="BT576" i="3"/>
  <c r="BL576" i="3"/>
  <c r="BB577" i="3"/>
  <c r="BC577" i="3"/>
  <c r="BD577" i="3"/>
  <c r="BE577" i="3"/>
  <c r="BF577" i="3"/>
  <c r="BG577" i="3"/>
  <c r="BH577" i="3"/>
  <c r="BI577" i="3"/>
  <c r="BJ577" i="3"/>
  <c r="BK577" i="3"/>
  <c r="BA577" i="3"/>
  <c r="BM577" i="3"/>
  <c r="BN577" i="3"/>
  <c r="BL577" i="3"/>
  <c r="AZ577" i="3"/>
  <c r="BO577" i="3"/>
  <c r="BP577" i="3"/>
  <c r="BQ577" i="3"/>
  <c r="BR577" i="3"/>
  <c r="BS577" i="3"/>
  <c r="BT577" i="3"/>
  <c r="BB578" i="3"/>
  <c r="BC578" i="3"/>
  <c r="BA578" i="3"/>
  <c r="AZ578" i="3"/>
  <c r="BD578" i="3"/>
  <c r="BE578" i="3"/>
  <c r="BF578" i="3"/>
  <c r="BG578" i="3"/>
  <c r="BH578" i="3"/>
  <c r="BI578" i="3"/>
  <c r="BJ578" i="3"/>
  <c r="BK578" i="3"/>
  <c r="BM578" i="3"/>
  <c r="BN578" i="3"/>
  <c r="BO578" i="3"/>
  <c r="BP578" i="3"/>
  <c r="BQ578" i="3"/>
  <c r="BR578" i="3"/>
  <c r="BS578" i="3"/>
  <c r="BT578" i="3"/>
  <c r="BL578" i="3"/>
  <c r="BB579" i="3"/>
  <c r="BC579" i="3"/>
  <c r="BD579" i="3"/>
  <c r="BE579" i="3"/>
  <c r="BF579" i="3"/>
  <c r="BG579" i="3"/>
  <c r="BH579" i="3"/>
  <c r="BI579" i="3"/>
  <c r="BJ579" i="3"/>
  <c r="BK579" i="3"/>
  <c r="BA579" i="3"/>
  <c r="BM579" i="3"/>
  <c r="BN579" i="3"/>
  <c r="BL579" i="3"/>
  <c r="AZ579" i="3"/>
  <c r="BO579" i="3"/>
  <c r="BP579" i="3"/>
  <c r="BQ579" i="3"/>
  <c r="BR579" i="3"/>
  <c r="BS579" i="3"/>
  <c r="BT579" i="3"/>
  <c r="BB580" i="3"/>
  <c r="BC580" i="3"/>
  <c r="BA580" i="3"/>
  <c r="AZ580" i="3"/>
  <c r="BD580" i="3"/>
  <c r="BE580" i="3"/>
  <c r="BF580" i="3"/>
  <c r="BG580" i="3"/>
  <c r="BH580" i="3"/>
  <c r="BI580" i="3"/>
  <c r="BJ580" i="3"/>
  <c r="BK580" i="3"/>
  <c r="BM580" i="3"/>
  <c r="BN580" i="3"/>
  <c r="BO580" i="3"/>
  <c r="BP580" i="3"/>
  <c r="BQ580" i="3"/>
  <c r="BR580" i="3"/>
  <c r="BS580" i="3"/>
  <c r="BT580" i="3"/>
  <c r="BL580" i="3"/>
  <c r="BB581" i="3"/>
  <c r="BC581" i="3"/>
  <c r="BD581" i="3"/>
  <c r="BE581" i="3"/>
  <c r="BF581" i="3"/>
  <c r="BG581" i="3"/>
  <c r="BH581" i="3"/>
  <c r="BI581" i="3"/>
  <c r="BJ581" i="3"/>
  <c r="BK581" i="3"/>
  <c r="BA581" i="3"/>
  <c r="BM581" i="3"/>
  <c r="BN581" i="3"/>
  <c r="BL581" i="3"/>
  <c r="AZ581" i="3"/>
  <c r="BO581" i="3"/>
  <c r="BP581" i="3"/>
  <c r="BQ581" i="3"/>
  <c r="BR581" i="3"/>
  <c r="BS581" i="3"/>
  <c r="BT581" i="3"/>
  <c r="BB582" i="3"/>
  <c r="BC582" i="3"/>
  <c r="BA582" i="3"/>
  <c r="AZ582" i="3"/>
  <c r="BD582" i="3"/>
  <c r="BE582" i="3"/>
  <c r="BF582" i="3"/>
  <c r="BG582" i="3"/>
  <c r="BH582" i="3"/>
  <c r="BI582" i="3"/>
  <c r="BJ582" i="3"/>
  <c r="BK582" i="3"/>
  <c r="BM582" i="3"/>
  <c r="BN582" i="3"/>
  <c r="BO582" i="3"/>
  <c r="BP582" i="3"/>
  <c r="BQ582" i="3"/>
  <c r="BR582" i="3"/>
  <c r="BS582" i="3"/>
  <c r="BT582" i="3"/>
  <c r="BL582" i="3"/>
  <c r="BB583" i="3"/>
  <c r="BC583" i="3"/>
  <c r="BD583" i="3"/>
  <c r="BE583" i="3"/>
  <c r="BF583" i="3"/>
  <c r="BG583" i="3"/>
  <c r="BH583" i="3"/>
  <c r="BI583" i="3"/>
  <c r="BJ583" i="3"/>
  <c r="BK583" i="3"/>
  <c r="BA583" i="3"/>
  <c r="BM583" i="3"/>
  <c r="BN583" i="3"/>
  <c r="BL583" i="3"/>
  <c r="AZ583" i="3"/>
  <c r="BO583" i="3"/>
  <c r="BP583" i="3"/>
  <c r="BQ583" i="3"/>
  <c r="BR583" i="3"/>
  <c r="BS583" i="3"/>
  <c r="BT583" i="3"/>
  <c r="BB584" i="3"/>
  <c r="BC584" i="3"/>
  <c r="BA584" i="3"/>
  <c r="AZ584" i="3"/>
  <c r="BD584" i="3"/>
  <c r="BE584" i="3"/>
  <c r="BF584" i="3"/>
  <c r="BG584" i="3"/>
  <c r="BH584" i="3"/>
  <c r="BI584" i="3"/>
  <c r="BJ584" i="3"/>
  <c r="BK584" i="3"/>
  <c r="BM584" i="3"/>
  <c r="BN584" i="3"/>
  <c r="BO584" i="3"/>
  <c r="BP584" i="3"/>
  <c r="BQ584" i="3"/>
  <c r="BR584" i="3"/>
  <c r="BS584" i="3"/>
  <c r="BT584" i="3"/>
  <c r="BL584" i="3"/>
  <c r="BB585" i="3"/>
  <c r="BC585" i="3"/>
  <c r="BD585" i="3"/>
  <c r="BE585" i="3"/>
  <c r="BF585" i="3"/>
  <c r="BG585" i="3"/>
  <c r="BH585" i="3"/>
  <c r="BI585" i="3"/>
  <c r="BJ585" i="3"/>
  <c r="BK585" i="3"/>
  <c r="BA585" i="3"/>
  <c r="BM585" i="3"/>
  <c r="BN585" i="3"/>
  <c r="BL585" i="3"/>
  <c r="AZ585" i="3"/>
  <c r="BO585" i="3"/>
  <c r="BP585" i="3"/>
  <c r="BQ585" i="3"/>
  <c r="BR585" i="3"/>
  <c r="BS585" i="3"/>
  <c r="BT585" i="3"/>
  <c r="BB586" i="3"/>
  <c r="BC586" i="3"/>
  <c r="BA586" i="3"/>
  <c r="AZ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A587" i="3"/>
  <c r="BM587" i="3"/>
  <c r="BN587" i="3"/>
  <c r="BL587" i="3"/>
  <c r="AZ587" i="3"/>
  <c r="BO587" i="3"/>
  <c r="BP587" i="3"/>
  <c r="BQ587" i="3"/>
  <c r="BR587" i="3"/>
  <c r="BS587" i="3"/>
  <c r="BT587" i="3"/>
  <c r="H13" i="3"/>
  <c r="H14" i="3"/>
  <c r="H15" i="3"/>
  <c r="H5" i="3"/>
  <c r="AC13" i="3"/>
  <c r="AC14" i="3"/>
  <c r="G14"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AD6" i="71"/>
  <c r="AG6" i="71"/>
  <c r="AH6" i="71"/>
  <c r="AE6" i="71"/>
  <c r="AF6" i="71"/>
  <c r="N7" i="71"/>
  <c r="N14" i="71"/>
  <c r="X6" i="71"/>
  <c r="N18" i="71"/>
  <c r="X5" i="71"/>
  <c r="Q7" i="71"/>
  <c r="Q14" i="71"/>
  <c r="Q18" i="71"/>
  <c r="AB5" i="71"/>
  <c r="P7" i="71"/>
  <c r="P14" i="71"/>
  <c r="P18" i="71"/>
  <c r="AA5" i="71"/>
  <c r="O7" i="71"/>
  <c r="O14" i="71"/>
  <c r="Y6" i="71"/>
  <c r="Z6" i="71"/>
  <c r="O18" i="71"/>
  <c r="Y5" i="71"/>
  <c r="Z5" i="71"/>
  <c r="T6" i="71"/>
  <c r="S6" i="71"/>
  <c r="V6" i="71"/>
  <c r="AB6" i="71"/>
  <c r="AA6" i="71"/>
  <c r="A2" i="53"/>
  <c r="K59" i="67"/>
  <c r="P61" i="67"/>
  <c r="K59" i="15"/>
  <c r="P74" i="15"/>
  <c r="D116" i="39"/>
  <c r="E116" i="39"/>
  <c r="F116" i="39"/>
  <c r="G116" i="39"/>
  <c r="H116" i="39"/>
  <c r="I116" i="39"/>
  <c r="J116" i="39"/>
  <c r="K116" i="39"/>
  <c r="L116" i="39"/>
  <c r="M116" i="39"/>
  <c r="C116" i="39"/>
  <c r="A21" i="62"/>
  <c r="A20" i="62"/>
  <c r="A22" i="51"/>
  <c r="A21" i="51"/>
  <c r="A20" i="51"/>
  <c r="A14" i="62"/>
  <c r="A13" i="62"/>
  <c r="B59" i="72"/>
  <c r="A19" i="62"/>
  <c r="A12" i="62"/>
  <c r="A120" i="9"/>
  <c r="H2" i="52"/>
  <c r="A1" i="52"/>
  <c r="A3" i="53"/>
  <c r="A15" i="51"/>
  <c r="C76" i="9"/>
  <c r="I107" i="40"/>
  <c r="K6" i="4"/>
  <c r="B22" i="31"/>
  <c r="N56" i="9"/>
  <c r="K56" i="9"/>
  <c r="E17" i="74"/>
  <c r="F17" i="74"/>
  <c r="E18" i="74"/>
  <c r="F18" i="74"/>
  <c r="E19" i="74"/>
  <c r="F19" i="74"/>
  <c r="E20" i="74"/>
  <c r="F20" i="74"/>
  <c r="E21" i="74"/>
  <c r="F21" i="74"/>
  <c r="E22" i="74"/>
  <c r="F22" i="74"/>
  <c r="E23" i="74"/>
  <c r="F23" i="74"/>
  <c r="B3" i="74"/>
  <c r="C91" i="9"/>
  <c r="B8" i="72"/>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A10" i="52"/>
  <c r="B55" i="72"/>
  <c r="B44" i="72"/>
  <c r="B42" i="72"/>
  <c r="B69" i="72"/>
  <c r="B68" i="72"/>
  <c r="B63" i="72"/>
  <c r="B62" i="72"/>
  <c r="B16" i="72"/>
  <c r="B65" i="72"/>
  <c r="B60" i="72"/>
  <c r="B58" i="72"/>
  <c r="B67" i="72"/>
  <c r="B66" i="72"/>
  <c r="B12" i="72"/>
  <c r="B10" i="72"/>
  <c r="C53" i="10"/>
  <c r="B51" i="10"/>
  <c r="B19" i="72"/>
  <c r="A18" i="51"/>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T50" i="71"/>
  <c r="B50" i="71"/>
  <c r="S50" i="71"/>
  <c r="B49" i="71"/>
  <c r="B48" i="71"/>
  <c r="D47" i="71"/>
  <c r="Q46" i="71"/>
  <c r="P46" i="71"/>
  <c r="O46" i="71"/>
  <c r="N46" i="71"/>
  <c r="Q45" i="71"/>
  <c r="P45" i="71"/>
  <c r="O45" i="71"/>
  <c r="N45" i="71"/>
  <c r="Q44" i="71"/>
  <c r="P44" i="71"/>
  <c r="O44" i="71"/>
  <c r="N44" i="71"/>
  <c r="Q43" i="71"/>
  <c r="F44" i="71"/>
  <c r="F45" i="71"/>
  <c r="F46" i="71"/>
  <c r="V46" i="71"/>
  <c r="P43" i="71"/>
  <c r="E44" i="71"/>
  <c r="O43" i="71"/>
  <c r="C44" i="71"/>
  <c r="D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F33" i="71"/>
  <c r="F34" i="71"/>
  <c r="V34"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AB21" i="71"/>
  <c r="AA21" i="71"/>
  <c r="Y21" i="71"/>
  <c r="Z21" i="71"/>
  <c r="X21" i="71"/>
  <c r="AB20" i="71"/>
  <c r="Y20" i="71"/>
  <c r="Z20" i="71"/>
  <c r="AB18" i="71"/>
  <c r="Y18" i="71"/>
  <c r="Z18" i="71"/>
  <c r="AB17" i="71"/>
  <c r="Y17" i="71"/>
  <c r="Z17" i="71"/>
  <c r="AB16" i="71"/>
  <c r="Y16" i="71"/>
  <c r="Z16" i="71"/>
  <c r="AB14" i="71"/>
  <c r="Y14" i="71"/>
  <c r="Z14" i="71"/>
  <c r="AB13" i="71"/>
  <c r="Y13" i="71"/>
  <c r="Z13" i="71"/>
  <c r="AB12" i="71"/>
  <c r="Y12" i="71"/>
  <c r="Z12" i="71"/>
  <c r="X11" i="71"/>
  <c r="U14" i="71"/>
  <c r="AA11" i="71"/>
  <c r="X15" i="71"/>
  <c r="X19" i="71"/>
  <c r="U22" i="71"/>
  <c r="AA19" i="71"/>
  <c r="N50" i="71"/>
  <c r="U18" i="71"/>
  <c r="AA15" i="71"/>
  <c r="Y11" i="71"/>
  <c r="Z11" i="71"/>
  <c r="AB11" i="71"/>
  <c r="X12" i="71"/>
  <c r="AA12" i="71"/>
  <c r="X13" i="71"/>
  <c r="AA13" i="71"/>
  <c r="X14" i="71"/>
  <c r="AA14" i="71"/>
  <c r="Y15" i="71"/>
  <c r="Z15" i="71"/>
  <c r="AB15" i="71"/>
  <c r="X16" i="71"/>
  <c r="AA16" i="71"/>
  <c r="X17" i="71"/>
  <c r="AA17" i="71"/>
  <c r="X18" i="71"/>
  <c r="AA18" i="71"/>
  <c r="Y19" i="71"/>
  <c r="Z19" i="71"/>
  <c r="AB19" i="71"/>
  <c r="X20" i="71"/>
  <c r="AA20" i="71"/>
  <c r="Y3" i="71"/>
  <c r="Z3" i="71"/>
  <c r="Y7" i="71"/>
  <c r="Z7" i="71"/>
  <c r="Y8" i="71"/>
  <c r="Z8" i="71"/>
  <c r="Y9" i="71"/>
  <c r="Z9" i="71"/>
  <c r="Y10" i="71"/>
  <c r="Z10" i="71"/>
  <c r="X7" i="71"/>
  <c r="X8" i="71"/>
  <c r="X9" i="71"/>
  <c r="X3" i="71"/>
  <c r="X10" i="71"/>
  <c r="E37" i="71"/>
  <c r="E38" i="71"/>
  <c r="U38" i="71"/>
  <c r="E45" i="71"/>
  <c r="E46" i="71"/>
  <c r="U46" i="71"/>
  <c r="U50" i="71"/>
  <c r="C45" i="71"/>
  <c r="D45" i="71"/>
  <c r="N49" i="71"/>
  <c r="O50" i="71"/>
  <c r="C49" i="71"/>
  <c r="C48" i="71"/>
  <c r="C53" i="71"/>
  <c r="C52" i="71"/>
  <c r="D52" i="71"/>
  <c r="E53" i="71"/>
  <c r="E52" i="71"/>
  <c r="D54" i="71"/>
  <c r="C57" i="71"/>
  <c r="D57" i="71"/>
  <c r="C61" i="71"/>
  <c r="D61" i="71"/>
  <c r="E61" i="71"/>
  <c r="E60" i="71"/>
  <c r="D62" i="71"/>
  <c r="C65" i="71"/>
  <c r="C64" i="71"/>
  <c r="D64" i="71"/>
  <c r="C69" i="71"/>
  <c r="T10" i="71"/>
  <c r="S10" i="71"/>
  <c r="AB3" i="71"/>
  <c r="AB7" i="71"/>
  <c r="AB8" i="71"/>
  <c r="AB9" i="71"/>
  <c r="AB10" i="71"/>
  <c r="AA3" i="71"/>
  <c r="AA7" i="71"/>
  <c r="AA8" i="71"/>
  <c r="AA9" i="71"/>
  <c r="AA10" i="71"/>
  <c r="U10" i="71"/>
  <c r="O49" i="71"/>
  <c r="C46" i="71"/>
  <c r="D46" i="71"/>
  <c r="D65" i="71"/>
  <c r="C56" i="71"/>
  <c r="D56" i="71"/>
  <c r="D69" i="71"/>
  <c r="C68" i="71"/>
  <c r="D68" i="71"/>
  <c r="C60" i="71"/>
  <c r="D60" i="71"/>
  <c r="D53" i="71"/>
  <c r="V10" i="71"/>
  <c r="T46"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94" i="40"/>
  <c r="G94" i="40"/>
  <c r="F25" i="40"/>
  <c r="AA25" i="40"/>
  <c r="Q29" i="39"/>
  <c r="Z29" i="39"/>
  <c r="D103" i="39"/>
  <c r="E103" i="39"/>
  <c r="F103" i="39"/>
  <c r="G103" i="39"/>
  <c r="F29" i="39"/>
  <c r="AA29" i="39"/>
  <c r="Q18" i="36"/>
  <c r="Z18" i="36"/>
  <c r="D66" i="36"/>
  <c r="E66" i="36"/>
  <c r="F66" i="36"/>
  <c r="G66" i="36"/>
  <c r="H18" i="36"/>
  <c r="AB18" i="36"/>
  <c r="F18" i="36"/>
  <c r="AA18" i="36"/>
  <c r="C18" i="36"/>
  <c r="Q18" i="35"/>
  <c r="Z18" i="35"/>
  <c r="D68" i="35"/>
  <c r="E68" i="35"/>
  <c r="F68" i="35"/>
  <c r="G68" i="35"/>
  <c r="F18" i="35"/>
  <c r="AA18" i="35"/>
  <c r="C18" i="35"/>
  <c r="Q21" i="37"/>
  <c r="Z21" i="37"/>
  <c r="D77" i="37"/>
  <c r="E77" i="37"/>
  <c r="C21" i="37"/>
  <c r="Q21" i="34"/>
  <c r="Z21" i="34"/>
  <c r="D84" i="34"/>
  <c r="E84" i="34"/>
  <c r="F84" i="34"/>
  <c r="G84" i="34"/>
  <c r="F21" i="34"/>
  <c r="AA21" i="34"/>
  <c r="C21" i="34"/>
  <c r="Q21" i="33"/>
  <c r="Z21" i="33"/>
  <c r="D83" i="33"/>
  <c r="E83" i="33"/>
  <c r="F83" i="33"/>
  <c r="G83" i="33"/>
  <c r="C21" i="33"/>
  <c r="C21" i="21"/>
  <c r="Q21" i="21"/>
  <c r="Z21" i="21"/>
  <c r="H19" i="21"/>
  <c r="D83" i="21"/>
  <c r="F21" i="21"/>
  <c r="AA21" i="21"/>
  <c r="D81" i="21"/>
  <c r="G20" i="20"/>
  <c r="B86" i="43"/>
  <c r="C22" i="20"/>
  <c r="B75" i="43"/>
  <c r="B55" i="43"/>
  <c r="B66" i="43"/>
  <c r="C25" i="40"/>
  <c r="C29" i="39"/>
  <c r="S29" i="39"/>
  <c r="S18" i="36"/>
  <c r="U18" i="36"/>
  <c r="H25" i="40"/>
  <c r="AB25" i="40"/>
  <c r="J25" i="40"/>
  <c r="AC25" i="40"/>
  <c r="H29" i="39"/>
  <c r="AB29" i="39"/>
  <c r="J29" i="39"/>
  <c r="AC29" i="39"/>
  <c r="J18" i="36"/>
  <c r="AC18" i="36"/>
  <c r="H18" i="35"/>
  <c r="AB18" i="35"/>
  <c r="J18" i="35"/>
  <c r="F77" i="37"/>
  <c r="G77" i="37"/>
  <c r="H21" i="37"/>
  <c r="F21" i="37"/>
  <c r="AA21" i="37"/>
  <c r="H21" i="34"/>
  <c r="AB21" i="34"/>
  <c r="H21" i="33"/>
  <c r="U21" i="33"/>
  <c r="F21" i="33"/>
  <c r="S21" i="33"/>
  <c r="E83" i="21"/>
  <c r="F83" i="21"/>
  <c r="G83" i="21"/>
  <c r="H1" i="69"/>
  <c r="W25" i="40"/>
  <c r="U25" i="40"/>
  <c r="U29" i="39"/>
  <c r="W29" i="39"/>
  <c r="W18" i="36"/>
  <c r="AB21" i="37"/>
  <c r="U21" i="37"/>
  <c r="S21" i="37"/>
  <c r="AA21" i="33"/>
  <c r="U18" i="35"/>
  <c r="AC18" i="35"/>
  <c r="W18" i="35"/>
  <c r="J21" i="37"/>
  <c r="W21" i="37"/>
  <c r="J21" i="34"/>
  <c r="W21" i="34"/>
  <c r="J21" i="33"/>
  <c r="AC21" i="33"/>
  <c r="H21" i="21"/>
  <c r="AB21" i="21"/>
  <c r="F38" i="69"/>
  <c r="E37" i="69"/>
  <c r="F36" i="69"/>
  <c r="F35" i="69"/>
  <c r="F21" i="69"/>
  <c r="C21" i="69"/>
  <c r="F20" i="69"/>
  <c r="E10" i="69"/>
  <c r="E9" i="69"/>
  <c r="F7" i="69"/>
  <c r="C7" i="69"/>
  <c r="AC21" i="37"/>
  <c r="AC21" i="34"/>
  <c r="U21" i="21"/>
  <c r="J21" i="21"/>
  <c r="AC21" i="21"/>
  <c r="C40" i="69"/>
  <c r="F38" i="68"/>
  <c r="E37" i="68"/>
  <c r="F36" i="68"/>
  <c r="F35" i="68"/>
  <c r="F21" i="68"/>
  <c r="C21" i="68"/>
  <c r="F20" i="68"/>
  <c r="E10" i="68"/>
  <c r="E9" i="68"/>
  <c r="F7" i="68"/>
  <c r="W21" i="21"/>
  <c r="C40" i="68"/>
  <c r="Q72" i="67"/>
  <c r="Q59" i="67"/>
  <c r="Q58" i="67"/>
  <c r="Q51" i="67"/>
  <c r="J50" i="67"/>
  <c r="M47" i="67"/>
  <c r="D46" i="67"/>
  <c r="F33" i="67"/>
  <c r="F61" i="67"/>
  <c r="F23" i="67"/>
  <c r="D24" i="67"/>
  <c r="F21" i="67"/>
  <c r="F20" i="67"/>
  <c r="M19" i="67"/>
  <c r="F18" i="67"/>
  <c r="F17" i="67"/>
  <c r="F15" i="67"/>
  <c r="D23" i="67"/>
  <c r="S2" i="4"/>
  <c r="C51" i="10"/>
  <c r="A13" i="51"/>
  <c r="B11" i="72"/>
  <c r="S1" i="4"/>
  <c r="B1" i="4"/>
  <c r="B37" i="48"/>
  <c r="B2" i="72"/>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E100" i="43"/>
  <c r="I100" i="43"/>
  <c r="M100" i="43"/>
  <c r="B48" i="43"/>
  <c r="B84" i="43"/>
  <c r="B83" i="43"/>
  <c r="B72" i="43"/>
  <c r="B61" i="43"/>
  <c r="B50"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D67" i="43"/>
  <c r="M66" i="43"/>
  <c r="N66" i="43"/>
  <c r="K66" i="43"/>
  <c r="J66" i="43"/>
  <c r="D66" i="43"/>
  <c r="M65" i="43"/>
  <c r="N65" i="43"/>
  <c r="K65" i="43"/>
  <c r="J65" i="43"/>
  <c r="D65" i="43"/>
  <c r="M64" i="43"/>
  <c r="N64" i="43"/>
  <c r="K64" i="43"/>
  <c r="J64" i="43"/>
  <c r="D64" i="43"/>
  <c r="M63" i="43"/>
  <c r="N63" i="43"/>
  <c r="K63" i="43"/>
  <c r="J63" i="43"/>
  <c r="M62" i="43"/>
  <c r="N62" i="43"/>
  <c r="K62" i="43"/>
  <c r="D62" i="43"/>
  <c r="M61" i="43"/>
  <c r="N61" i="43"/>
  <c r="K61" i="43"/>
  <c r="D61" i="43"/>
  <c r="M60" i="43"/>
  <c r="N60" i="43"/>
  <c r="K60" i="43"/>
  <c r="J60" i="43"/>
  <c r="D60" i="43"/>
  <c r="M59" i="43"/>
  <c r="N59" i="43"/>
  <c r="K59" i="43"/>
  <c r="J59" i="43"/>
  <c r="D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G11" i="1"/>
  <c r="D12" i="1"/>
  <c r="D13" i="1"/>
  <c r="D7" i="1"/>
  <c r="D8" i="1"/>
  <c r="A7" i="1"/>
  <c r="A8" i="1"/>
  <c r="B8" i="1"/>
  <c r="E8" i="1"/>
  <c r="A9" i="1"/>
  <c r="A10" i="1"/>
  <c r="A11" i="1"/>
  <c r="B11" i="1"/>
  <c r="E11" i="1"/>
  <c r="A12" i="1"/>
  <c r="A13" i="1"/>
  <c r="A6" i="1"/>
  <c r="F3" i="35"/>
  <c r="B7" i="1"/>
  <c r="E7" i="1"/>
  <c r="K10" i="1"/>
  <c r="M10" i="1"/>
  <c r="B13" i="1"/>
  <c r="E13" i="1"/>
  <c r="K13" i="1"/>
  <c r="M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L22" i="4"/>
  <c r="L20" i="4"/>
  <c r="A15" i="62"/>
  <c r="B61" i="72"/>
  <c r="A5" i="62"/>
  <c r="B72" i="72"/>
  <c r="A4" i="62"/>
  <c r="B70" i="72"/>
  <c r="F33" i="9"/>
  <c r="B13" i="53"/>
  <c r="B29" i="72"/>
  <c r="R35" i="4"/>
  <c r="Q35" i="4"/>
  <c r="P35" i="4"/>
  <c r="O35" i="4"/>
  <c r="N35" i="4"/>
  <c r="M35" i="4"/>
  <c r="L35" i="4"/>
  <c r="K34" i="4"/>
  <c r="T34" i="4"/>
  <c r="G13" i="1"/>
  <c r="I15" i="4"/>
  <c r="H15" i="4"/>
  <c r="F8" i="1"/>
  <c r="G15" i="4"/>
  <c r="E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9" i="43"/>
  <c r="A7" i="43"/>
  <c r="F33" i="15"/>
  <c r="F61" i="15"/>
  <c r="M19" i="15"/>
  <c r="O10" i="1"/>
  <c r="B22" i="1"/>
  <c r="B23" i="1"/>
  <c r="B24" i="1"/>
  <c r="B43" i="1"/>
  <c r="F23" i="15"/>
  <c r="D24" i="15"/>
  <c r="O8" i="1"/>
  <c r="P8"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H7" i="12"/>
  <c r="I7" i="12"/>
  <c r="J7" i="12"/>
  <c r="K7" i="12"/>
  <c r="H111" i="21"/>
  <c r="B110" i="39"/>
  <c r="B112" i="39"/>
  <c r="F36" i="39"/>
  <c r="S36" i="39"/>
  <c r="J30" i="36"/>
  <c r="H30" i="36"/>
  <c r="F30" i="36"/>
  <c r="AA30" i="36"/>
  <c r="C26" i="35"/>
  <c r="C79" i="35"/>
  <c r="J31" i="35"/>
  <c r="W31" i="35"/>
  <c r="H31" i="35"/>
  <c r="F31" i="35"/>
  <c r="AA31" i="35"/>
  <c r="D87" i="35"/>
  <c r="E87" i="35"/>
  <c r="F87" i="35"/>
  <c r="G87" i="35"/>
  <c r="H87" i="35"/>
  <c r="I87" i="35"/>
  <c r="J87" i="35"/>
  <c r="K87" i="35"/>
  <c r="L87" i="35"/>
  <c r="M87" i="35"/>
  <c r="H34" i="37"/>
  <c r="D101" i="37"/>
  <c r="E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F40" i="33"/>
  <c r="J41" i="33"/>
  <c r="AC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AC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U45" i="39"/>
  <c r="B129" i="39"/>
  <c r="H44" i="39"/>
  <c r="AB44" i="39"/>
  <c r="B127" i="39"/>
  <c r="J43" i="39"/>
  <c r="AC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H40" i="37"/>
  <c r="D107" i="37"/>
  <c r="E107" i="37"/>
  <c r="D105" i="37"/>
  <c r="E105" i="37"/>
  <c r="F105" i="37"/>
  <c r="D103" i="37"/>
  <c r="J35" i="37"/>
  <c r="W35" i="37"/>
  <c r="F97" i="37"/>
  <c r="E97" i="37"/>
  <c r="D97" i="37"/>
  <c r="C97" i="37"/>
  <c r="D96" i="37"/>
  <c r="E96" i="37"/>
  <c r="D94" i="37"/>
  <c r="E94" i="37"/>
  <c r="F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B59" i="36"/>
  <c r="B57" i="36"/>
  <c r="B55" i="36"/>
  <c r="J11" i="36"/>
  <c r="W11"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F23" i="35"/>
  <c r="S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AC27" i="34"/>
  <c r="D88" i="34"/>
  <c r="E88" i="34"/>
  <c r="F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J8" i="34"/>
  <c r="AC8" i="34"/>
  <c r="H8" i="34"/>
  <c r="U8" i="34"/>
  <c r="F8" i="34"/>
  <c r="D121" i="33"/>
  <c r="E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B92" i="33"/>
  <c r="B90" i="33"/>
  <c r="D87" i="33"/>
  <c r="E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F54" i="33"/>
  <c r="P49" i="33"/>
  <c r="P48" i="33"/>
  <c r="V47" i="33"/>
  <c r="T47" i="33"/>
  <c r="R47" i="33"/>
  <c r="P47" i="33"/>
  <c r="Q46" i="33"/>
  <c r="Z46" i="33"/>
  <c r="Q45" i="33"/>
  <c r="Z45" i="33"/>
  <c r="Q44" i="33"/>
  <c r="Z44" i="33"/>
  <c r="Q43" i="33"/>
  <c r="Z43" i="33"/>
  <c r="Q42" i="33"/>
  <c r="Z42"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B92" i="21"/>
  <c r="B90" i="21"/>
  <c r="J27" i="21"/>
  <c r="W27" i="21"/>
  <c r="B74" i="21"/>
  <c r="B72" i="21"/>
  <c r="H13" i="21"/>
  <c r="U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J35" i="39"/>
  <c r="AC35" i="39"/>
  <c r="F35" i="39"/>
  <c r="AA35"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22" i="35"/>
  <c r="U34" i="35"/>
  <c r="F36" i="34"/>
  <c r="J35" i="34"/>
  <c r="H39" i="33"/>
  <c r="AB39" i="33"/>
  <c r="U33" i="33"/>
  <c r="S40" i="33"/>
  <c r="W33" i="33"/>
  <c r="H39" i="37"/>
  <c r="AB39" i="37"/>
  <c r="S27" i="35"/>
  <c r="F11" i="40"/>
  <c r="AA11" i="40"/>
  <c r="H11" i="40"/>
  <c r="AB11" i="40"/>
  <c r="W8" i="40"/>
  <c r="AC40" i="40"/>
  <c r="AA9" i="40"/>
  <c r="AC9" i="40"/>
  <c r="U9" i="40"/>
  <c r="S34" i="40"/>
  <c r="S40" i="40"/>
  <c r="W31" i="40"/>
  <c r="U34"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G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AB8" i="39"/>
  <c r="AC12" i="34"/>
  <c r="AA12" i="34"/>
  <c r="AB12" i="35"/>
  <c r="W32" i="40"/>
  <c r="S44" i="39"/>
  <c r="F37" i="39"/>
  <c r="J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F12" i="36"/>
  <c r="AA12" i="36"/>
  <c r="F24" i="36"/>
  <c r="AA24" i="36"/>
  <c r="F34" i="36"/>
  <c r="S34" i="36"/>
  <c r="S10" i="36"/>
  <c r="AB8" i="36"/>
  <c r="S8" i="36"/>
  <c r="U8" i="35"/>
  <c r="F14" i="35"/>
  <c r="AA14" i="35"/>
  <c r="AA23" i="35"/>
  <c r="J32" i="35"/>
  <c r="AC32" i="35"/>
  <c r="J16" i="35"/>
  <c r="AC16" i="35"/>
  <c r="H16" i="35"/>
  <c r="U16" i="35"/>
  <c r="F16" i="35"/>
  <c r="S16" i="35"/>
  <c r="H14" i="35"/>
  <c r="AB14" i="35"/>
  <c r="J29" i="35"/>
  <c r="H33" i="35"/>
  <c r="AC8" i="35"/>
  <c r="J20" i="35"/>
  <c r="W20" i="35"/>
  <c r="F35" i="37"/>
  <c r="S35" i="37"/>
  <c r="F101" i="37"/>
  <c r="G101" i="37"/>
  <c r="H101" i="37"/>
  <c r="I101" i="37"/>
  <c r="J101" i="37"/>
  <c r="K101" i="37"/>
  <c r="L101" i="37"/>
  <c r="M101" i="37"/>
  <c r="J34" i="37"/>
  <c r="W34" i="37"/>
  <c r="S10" i="37"/>
  <c r="AA39" i="37"/>
  <c r="AB34" i="37"/>
  <c r="J33" i="37"/>
  <c r="AC33" i="37"/>
  <c r="U42" i="34"/>
  <c r="H40" i="34"/>
  <c r="U40" i="34"/>
  <c r="E114" i="34"/>
  <c r="H36" i="34"/>
  <c r="U36" i="34"/>
  <c r="S35" i="34"/>
  <c r="F28" i="34"/>
  <c r="AA28" i="34"/>
  <c r="F27" i="34"/>
  <c r="AA27" i="34"/>
  <c r="H23" i="34"/>
  <c r="U23" i="34"/>
  <c r="J23" i="34"/>
  <c r="F19" i="34"/>
  <c r="S19" i="34"/>
  <c r="H17" i="34"/>
  <c r="U17" i="34"/>
  <c r="F15" i="34"/>
  <c r="J15" i="34"/>
  <c r="W15" i="34"/>
  <c r="H15" i="34"/>
  <c r="W8" i="34"/>
  <c r="J28" i="34"/>
  <c r="W28" i="34"/>
  <c r="F41" i="33"/>
  <c r="AA41" i="33"/>
  <c r="S38" i="33"/>
  <c r="E113" i="33"/>
  <c r="J19" i="33"/>
  <c r="AC19" i="33"/>
  <c r="J15" i="33"/>
  <c r="AC15" i="33"/>
  <c r="F11" i="33"/>
  <c r="AA11" i="33"/>
  <c r="U40" i="33"/>
  <c r="W40" i="33"/>
  <c r="S8" i="33"/>
  <c r="F37" i="40"/>
  <c r="AA37" i="40"/>
  <c r="F36" i="40"/>
  <c r="AA36" i="40"/>
  <c r="H28" i="40"/>
  <c r="U28" i="40"/>
  <c r="F23" i="40"/>
  <c r="AA23" i="40"/>
  <c r="F17" i="40"/>
  <c r="AA17" i="40"/>
  <c r="J17" i="40"/>
  <c r="W17" i="40"/>
  <c r="F15" i="40"/>
  <c r="S15" i="40"/>
  <c r="H15" i="40"/>
  <c r="AB15" i="40"/>
  <c r="AB30" i="36"/>
  <c r="U30" i="35"/>
  <c r="F29" i="35"/>
  <c r="S29" i="35"/>
  <c r="H29" i="35"/>
  <c r="AB29" i="35"/>
  <c r="H33" i="37"/>
  <c r="F33" i="37"/>
  <c r="U34" i="37"/>
  <c r="W33" i="37"/>
  <c r="S34" i="37"/>
  <c r="AA34" i="37"/>
  <c r="AB42" i="34"/>
  <c r="J40" i="34"/>
  <c r="F114" i="34"/>
  <c r="G114" i="34"/>
  <c r="H114" i="34"/>
  <c r="I114" i="34"/>
  <c r="J114" i="34"/>
  <c r="K114" i="34"/>
  <c r="L114" i="34"/>
  <c r="M114" i="34"/>
  <c r="H38" i="34"/>
  <c r="AB38" i="34"/>
  <c r="J36" i="34"/>
  <c r="W36" i="34"/>
  <c r="F23" i="34"/>
  <c r="AA23" i="34"/>
  <c r="J19" i="34"/>
  <c r="AC19" i="34"/>
  <c r="F17" i="34"/>
  <c r="AA17" i="34"/>
  <c r="J17" i="34"/>
  <c r="W17" i="34"/>
  <c r="F113" i="33"/>
  <c r="G113" i="33"/>
  <c r="H113" i="33"/>
  <c r="I113" i="33"/>
  <c r="J113" i="33"/>
  <c r="K113" i="33"/>
  <c r="L113" i="33"/>
  <c r="M113" i="33"/>
  <c r="H37" i="33"/>
  <c r="AB37" i="33"/>
  <c r="H15" i="33"/>
  <c r="AB15" i="33"/>
  <c r="H11" i="33"/>
  <c r="AB11" i="33"/>
  <c r="F28" i="40"/>
  <c r="AA29" i="35"/>
  <c r="AA42" i="34"/>
  <c r="S42" i="34"/>
  <c r="AC38" i="34"/>
  <c r="AA38" i="34"/>
  <c r="J11" i="33"/>
  <c r="W11" i="33"/>
  <c r="U23" i="40"/>
  <c r="J42" i="21"/>
  <c r="H42" i="21"/>
  <c r="J44" i="34"/>
  <c r="W44" i="34"/>
  <c r="F44" i="34"/>
  <c r="AA44" i="34"/>
  <c r="J10" i="35"/>
  <c r="J14" i="21"/>
  <c r="W14" i="21"/>
  <c r="F14" i="21"/>
  <c r="S14" i="21"/>
  <c r="H14" i="21"/>
  <c r="H28" i="21"/>
  <c r="AB28" i="21"/>
  <c r="F28" i="21"/>
  <c r="J28" i="21"/>
  <c r="W28" i="21"/>
  <c r="H30" i="21"/>
  <c r="F30" i="21"/>
  <c r="J30" i="21"/>
  <c r="J44" i="21"/>
  <c r="AC44" i="21"/>
  <c r="H44" i="21"/>
  <c r="U44" i="21"/>
  <c r="F44" i="21"/>
  <c r="AA44" i="21"/>
  <c r="H46" i="21"/>
  <c r="U46" i="21"/>
  <c r="J46" i="21"/>
  <c r="W46" i="21"/>
  <c r="F46" i="21"/>
  <c r="AA46" i="21"/>
  <c r="E119" i="21"/>
  <c r="F119" i="21"/>
  <c r="G119" i="21"/>
  <c r="H119" i="21"/>
  <c r="I119" i="21"/>
  <c r="J119" i="21"/>
  <c r="K119" i="21"/>
  <c r="L119" i="21"/>
  <c r="M119" i="21"/>
  <c r="H28" i="33"/>
  <c r="F28" i="33"/>
  <c r="AA28" i="33"/>
  <c r="J28" i="33"/>
  <c r="F33" i="35"/>
  <c r="S33" i="35"/>
  <c r="J33" i="35"/>
  <c r="AC33" i="35"/>
  <c r="F30" i="35"/>
  <c r="S30" i="35"/>
  <c r="E89" i="35"/>
  <c r="F89" i="35"/>
  <c r="G89" i="35"/>
  <c r="H89" i="35"/>
  <c r="I89" i="35"/>
  <c r="J89" i="35"/>
  <c r="K89" i="35"/>
  <c r="L89" i="35"/>
  <c r="M89" i="35"/>
  <c r="H10" i="36"/>
  <c r="AB10" i="36"/>
  <c r="J14" i="36"/>
  <c r="H14" i="36"/>
  <c r="U14" i="36"/>
  <c r="F28" i="36"/>
  <c r="J13" i="21"/>
  <c r="AC13" i="21"/>
  <c r="H27" i="21"/>
  <c r="AB27" i="21"/>
  <c r="F27" i="21"/>
  <c r="H29" i="21"/>
  <c r="U29" i="21"/>
  <c r="J31" i="21"/>
  <c r="AC31" i="21"/>
  <c r="F31" i="21"/>
  <c r="F45" i="21"/>
  <c r="AA45" i="21"/>
  <c r="F27" i="33"/>
  <c r="AA27" i="33"/>
  <c r="J13" i="33"/>
  <c r="H13" i="33"/>
  <c r="F13" i="33"/>
  <c r="S13" i="33"/>
  <c r="J29" i="33"/>
  <c r="AC29" i="33"/>
  <c r="H29" i="33"/>
  <c r="U29" i="33"/>
  <c r="F29" i="33"/>
  <c r="J31" i="33"/>
  <c r="H31" i="33"/>
  <c r="U31" i="33"/>
  <c r="F31" i="33"/>
  <c r="H45" i="33"/>
  <c r="J45" i="33"/>
  <c r="W45" i="33"/>
  <c r="F45" i="33"/>
  <c r="AA45" i="33"/>
  <c r="J14" i="34"/>
  <c r="F14" i="34"/>
  <c r="H14" i="34"/>
  <c r="AB14" i="34"/>
  <c r="H30" i="34"/>
  <c r="F30" i="34"/>
  <c r="J30" i="34"/>
  <c r="W30" i="34"/>
  <c r="H32" i="34"/>
  <c r="AB32" i="34"/>
  <c r="F32" i="34"/>
  <c r="J32" i="34"/>
  <c r="W32" i="34"/>
  <c r="H46" i="34"/>
  <c r="F46" i="34"/>
  <c r="J46" i="34"/>
  <c r="W46" i="34"/>
  <c r="H11" i="35"/>
  <c r="U11" i="35"/>
  <c r="J11" i="35"/>
  <c r="AC11" i="35"/>
  <c r="F11" i="35"/>
  <c r="S11" i="35"/>
  <c r="J26" i="36"/>
  <c r="W26" i="36"/>
  <c r="H28" i="36"/>
  <c r="U28" i="36"/>
  <c r="H32" i="36"/>
  <c r="AB32" i="36"/>
  <c r="J32" i="36"/>
  <c r="W32" i="36"/>
  <c r="H13" i="36"/>
  <c r="AB13" i="36"/>
  <c r="J13" i="36"/>
  <c r="F13" i="36"/>
  <c r="E89" i="37"/>
  <c r="F89" i="37"/>
  <c r="G89" i="37"/>
  <c r="H89" i="37"/>
  <c r="I89" i="37"/>
  <c r="J89" i="37"/>
  <c r="K89" i="37"/>
  <c r="L89" i="37"/>
  <c r="M89" i="37"/>
  <c r="J29" i="37"/>
  <c r="W29" i="37"/>
  <c r="F29" i="37"/>
  <c r="S29" i="37"/>
  <c r="H36" i="37"/>
  <c r="F107" i="37"/>
  <c r="G107" i="37"/>
  <c r="J37" i="37"/>
  <c r="AC37" i="37"/>
  <c r="H37" i="37"/>
  <c r="U37" i="37"/>
  <c r="U40" i="37"/>
  <c r="W12" i="40"/>
  <c r="H14" i="33"/>
  <c r="U14" i="33"/>
  <c r="F14" i="33"/>
  <c r="S14" i="33"/>
  <c r="J14" i="33"/>
  <c r="H30" i="33"/>
  <c r="F30" i="33"/>
  <c r="AA30" i="33"/>
  <c r="J30" i="33"/>
  <c r="H44" i="33"/>
  <c r="AB44" i="33"/>
  <c r="J44" i="33"/>
  <c r="AC44" i="33"/>
  <c r="F44" i="33"/>
  <c r="S44" i="33"/>
  <c r="J46" i="33"/>
  <c r="AC46" i="33"/>
  <c r="F46" i="33"/>
  <c r="H46" i="33"/>
  <c r="AB46" i="33"/>
  <c r="H13" i="34"/>
  <c r="J13" i="34"/>
  <c r="W13" i="34"/>
  <c r="F13" i="34"/>
  <c r="J29" i="34"/>
  <c r="AC29" i="34"/>
  <c r="F29" i="34"/>
  <c r="S29" i="34"/>
  <c r="H29" i="34"/>
  <c r="AB29" i="34"/>
  <c r="J31" i="34"/>
  <c r="AC31" i="34"/>
  <c r="H31" i="34"/>
  <c r="AB31" i="34"/>
  <c r="F31" i="34"/>
  <c r="S31" i="34"/>
  <c r="H45" i="34"/>
  <c r="U45" i="34"/>
  <c r="J45" i="34"/>
  <c r="F45" i="34"/>
  <c r="S45" i="34"/>
  <c r="H47" i="34"/>
  <c r="F47" i="34"/>
  <c r="J47" i="34"/>
  <c r="AC47" i="34"/>
  <c r="F13" i="35"/>
  <c r="J13" i="35"/>
  <c r="H13" i="35"/>
  <c r="J25" i="35"/>
  <c r="F25" i="35"/>
  <c r="S25" i="35"/>
  <c r="H25" i="35"/>
  <c r="AB25" i="35"/>
  <c r="J35" i="35"/>
  <c r="AC35" i="35"/>
  <c r="F35" i="35"/>
  <c r="H35" i="35"/>
  <c r="AB35" i="35"/>
  <c r="J25" i="36"/>
  <c r="W25" i="36"/>
  <c r="F25" i="36"/>
  <c r="H25" i="36"/>
  <c r="H13" i="37"/>
  <c r="F13" i="37"/>
  <c r="S13" i="37"/>
  <c r="J13" i="37"/>
  <c r="W13" i="37"/>
  <c r="F28" i="37"/>
  <c r="J28" i="37"/>
  <c r="AC28" i="37"/>
  <c r="H28" i="37"/>
  <c r="U28" i="37"/>
  <c r="H38" i="37"/>
  <c r="J38" i="37"/>
  <c r="F38" i="37"/>
  <c r="F43" i="39"/>
  <c r="AA43" i="39"/>
  <c r="H43" i="39"/>
  <c r="U43" i="39"/>
  <c r="J14" i="39"/>
  <c r="AC14" i="39"/>
  <c r="F14" i="39"/>
  <c r="H14" i="39"/>
  <c r="AB14" i="39"/>
  <c r="F12" i="40"/>
  <c r="H12" i="40"/>
  <c r="AB12" i="40"/>
  <c r="H30" i="40"/>
  <c r="AB30" i="40"/>
  <c r="F33" i="40"/>
  <c r="AA33" i="40"/>
  <c r="H33" i="40"/>
  <c r="J35" i="40"/>
  <c r="J37" i="40"/>
  <c r="H13" i="40"/>
  <c r="U13" i="40"/>
  <c r="J13" i="40"/>
  <c r="W13" i="40"/>
  <c r="F13" i="40"/>
  <c r="F14" i="37"/>
  <c r="S14" i="37"/>
  <c r="F27" i="37"/>
  <c r="AA27" i="37"/>
  <c r="F13" i="39"/>
  <c r="AA13" i="39"/>
  <c r="J13" i="39"/>
  <c r="W13" i="39"/>
  <c r="H13" i="39"/>
  <c r="H14" i="40"/>
  <c r="J14" i="40"/>
  <c r="W14" i="40"/>
  <c r="F14" i="40"/>
  <c r="J14" i="37"/>
  <c r="J27" i="37"/>
  <c r="AC27" i="37"/>
  <c r="AA44" i="33"/>
  <c r="U31" i="34"/>
  <c r="AA14" i="33"/>
  <c r="J36" i="37"/>
  <c r="G105" i="37"/>
  <c r="AB11" i="35"/>
  <c r="J10" i="36"/>
  <c r="AC10" i="36"/>
  <c r="W31" i="34"/>
  <c r="AC13" i="36"/>
  <c r="W13" i="36"/>
  <c r="W11" i="35"/>
  <c r="S45" i="33"/>
  <c r="W29" i="33"/>
  <c r="S44" i="34"/>
  <c r="F17" i="21"/>
  <c r="AA17" i="21"/>
  <c r="H17" i="21"/>
  <c r="AB17" i="21"/>
  <c r="F15" i="21"/>
  <c r="AB11" i="21"/>
  <c r="J41" i="39"/>
  <c r="W41" i="39"/>
  <c r="AC45" i="39"/>
  <c r="W44" i="39"/>
  <c r="W35"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c r="H43" i="33"/>
  <c r="H17" i="37"/>
  <c r="U17" i="37"/>
  <c r="AA36" i="39"/>
  <c r="F39" i="33"/>
  <c r="AA39" i="33"/>
  <c r="E123" i="33"/>
  <c r="H28" i="34"/>
  <c r="AB28" i="34"/>
  <c r="F14" i="36"/>
  <c r="AA14" i="36"/>
  <c r="F22" i="36"/>
  <c r="S22" i="36"/>
  <c r="F26" i="36"/>
  <c r="S26" i="36"/>
  <c r="H27" i="34"/>
  <c r="AB27" i="34"/>
  <c r="H35" i="34"/>
  <c r="U35" i="34"/>
  <c r="H41" i="34"/>
  <c r="U41" i="34"/>
  <c r="F10" i="35"/>
  <c r="S10" i="35"/>
  <c r="F24" i="35"/>
  <c r="H24" i="35"/>
  <c r="AB24" i="35"/>
  <c r="H23" i="37"/>
  <c r="AB23" i="37"/>
  <c r="J32" i="37"/>
  <c r="AC32" i="37"/>
  <c r="F36" i="37"/>
  <c r="AA36" i="37"/>
  <c r="F37" i="37"/>
  <c r="F31" i="40"/>
  <c r="H31" i="40"/>
  <c r="F32" i="40"/>
  <c r="H32" i="40"/>
  <c r="AB32" i="40"/>
  <c r="J36" i="40"/>
  <c r="H19" i="37"/>
  <c r="AB19" i="37"/>
  <c r="F123" i="33"/>
  <c r="J43" i="33"/>
  <c r="AC43" i="33"/>
  <c r="S28" i="31"/>
  <c r="S27" i="31"/>
  <c r="S26" i="31"/>
  <c r="AC32" i="36"/>
  <c r="U35" i="35"/>
  <c r="AA12" i="35"/>
  <c r="U39" i="37"/>
  <c r="W26" i="37"/>
  <c r="AC8" i="37"/>
  <c r="U26" i="37"/>
  <c r="W47" i="34"/>
  <c r="AA13" i="33"/>
  <c r="AC45" i="33"/>
  <c r="W44" i="33"/>
  <c r="U11" i="33"/>
  <c r="U19" i="21"/>
  <c r="W44" i="21"/>
  <c r="U26" i="21"/>
  <c r="AC46" i="21"/>
  <c r="AB38" i="21"/>
  <c r="F43" i="33"/>
  <c r="AA43" i="33"/>
  <c r="AC15" i="34"/>
  <c r="W16" i="35"/>
  <c r="H107" i="37"/>
  <c r="I107" i="37"/>
  <c r="J107" i="37"/>
  <c r="K107" i="37"/>
  <c r="L107" i="37"/>
  <c r="M107" i="37"/>
  <c r="H37" i="21"/>
  <c r="S42" i="21"/>
  <c r="H19" i="34"/>
  <c r="AB19" i="34"/>
  <c r="F36" i="35"/>
  <c r="S36" i="35"/>
  <c r="J9" i="37"/>
  <c r="W9" i="37"/>
  <c r="H9" i="37"/>
  <c r="F9" i="37"/>
  <c r="S9" i="37"/>
  <c r="J12" i="37"/>
  <c r="W12" i="37"/>
  <c r="H12" i="37"/>
  <c r="F12" i="37"/>
  <c r="E71" i="37"/>
  <c r="F71" i="37"/>
  <c r="F15" i="37"/>
  <c r="AA15" i="37"/>
  <c r="F31" i="37"/>
  <c r="F12" i="39"/>
  <c r="S12" i="39"/>
  <c r="J42" i="39"/>
  <c r="H21" i="40"/>
  <c r="AC12" i="37"/>
  <c r="G94" i="37"/>
  <c r="H94" i="37"/>
  <c r="I94" i="37"/>
  <c r="J94" i="37"/>
  <c r="K94" i="37"/>
  <c r="L94" i="37"/>
  <c r="M94" i="37"/>
  <c r="H31" i="37"/>
  <c r="U31" i="37"/>
  <c r="G71" i="37"/>
  <c r="J15" i="37"/>
  <c r="W15" i="37"/>
  <c r="AT6" i="3"/>
  <c r="AA25" i="21"/>
  <c r="H19" i="40"/>
  <c r="U19" i="40"/>
  <c r="F88" i="40"/>
  <c r="G88" i="40"/>
  <c r="F19" i="40"/>
  <c r="S19" i="40"/>
  <c r="W23" i="39"/>
  <c r="W43" i="39"/>
  <c r="AB45" i="39"/>
  <c r="U44" i="39"/>
  <c r="H37" i="39"/>
  <c r="AB37" i="39"/>
  <c r="AC37" i="39"/>
  <c r="H25" i="39"/>
  <c r="AB25" i="39"/>
  <c r="J25" i="39"/>
  <c r="W25" i="39"/>
  <c r="F25" i="39"/>
  <c r="AA25" i="39"/>
  <c r="F15" i="39"/>
  <c r="AA15" i="39"/>
  <c r="H15" i="39"/>
  <c r="U15" i="39"/>
  <c r="J15" i="39"/>
  <c r="W15" i="39"/>
  <c r="H41" i="39"/>
  <c r="W27" i="39"/>
  <c r="AB34" i="39"/>
  <c r="U40" i="39"/>
  <c r="S42" i="39"/>
  <c r="W14" i="39"/>
  <c r="AA41" i="39"/>
  <c r="W9" i="39"/>
  <c r="W8" i="39"/>
  <c r="J19" i="40"/>
  <c r="AC19" i="40"/>
  <c r="J50" i="40"/>
  <c r="B54" i="72"/>
  <c r="H103" i="9"/>
  <c r="B16" i="53"/>
  <c r="B33" i="72"/>
  <c r="C7" i="37"/>
  <c r="C7" i="34"/>
  <c r="C7" i="36"/>
  <c r="C46" i="36"/>
  <c r="A118" i="9"/>
  <c r="A4" i="52"/>
  <c r="B41" i="72"/>
  <c r="J11" i="39"/>
  <c r="W11" i="39"/>
  <c r="F11" i="39"/>
  <c r="AA11" i="39"/>
  <c r="A12" i="52"/>
  <c r="B56" i="72"/>
  <c r="S11" i="39"/>
  <c r="G4" i="4"/>
  <c r="I4" i="4"/>
  <c r="K5" i="4"/>
  <c r="B47" i="48"/>
  <c r="A2" i="9"/>
  <c r="N2" i="43"/>
  <c r="BO5" i="3"/>
  <c r="BM5" i="3"/>
  <c r="F29" i="6"/>
  <c r="BJ5" i="3"/>
  <c r="BH5" i="3"/>
  <c r="BF5" i="3"/>
  <c r="BD5" i="3"/>
  <c r="BQ5" i="3"/>
  <c r="AC5" i="3"/>
  <c r="BS5" i="3"/>
  <c r="BP5" i="3"/>
  <c r="BN5" i="3"/>
  <c r="G29" i="6"/>
  <c r="E29" i="6"/>
  <c r="K15" i="1"/>
  <c r="BK5" i="3"/>
  <c r="BI5" i="3"/>
  <c r="BG5" i="3"/>
  <c r="BE5" i="3"/>
  <c r="BT5" i="3"/>
  <c r="BB5" i="3"/>
  <c r="BR5" i="3"/>
  <c r="G28" i="6"/>
  <c r="U36" i="40"/>
  <c r="N4" i="43"/>
  <c r="F81" i="43"/>
  <c r="F48" i="43"/>
  <c r="N7" i="43"/>
  <c r="F70" i="43"/>
  <c r="H73" i="43"/>
  <c r="M6" i="43"/>
  <c r="M11" i="43"/>
  <c r="E17" i="43"/>
  <c r="F6" i="1"/>
  <c r="I20" i="43"/>
  <c r="U17" i="39"/>
  <c r="S14" i="35"/>
  <c r="U43" i="21"/>
  <c r="U35" i="21"/>
  <c r="U10" i="21"/>
  <c r="G8" i="1"/>
  <c r="G9" i="1"/>
  <c r="G10" i="1"/>
  <c r="F48" i="9"/>
  <c r="O52" i="9"/>
  <c r="AC11" i="39"/>
  <c r="W37" i="37"/>
  <c r="S15" i="37"/>
  <c r="U12" i="40"/>
  <c r="J37" i="33"/>
  <c r="W37" i="33"/>
  <c r="J34" i="33"/>
  <c r="W34" i="33"/>
  <c r="F33" i="34"/>
  <c r="S33" i="34"/>
  <c r="H20" i="36"/>
  <c r="U20" i="36"/>
  <c r="J20" i="36"/>
  <c r="W20" i="36"/>
  <c r="J27" i="36"/>
  <c r="AB25" i="37"/>
  <c r="AC33" i="40"/>
  <c r="F111" i="40"/>
  <c r="G111" i="40"/>
  <c r="H111" i="40"/>
  <c r="I111" i="40"/>
  <c r="J111" i="40"/>
  <c r="K111" i="40"/>
  <c r="L111" i="40"/>
  <c r="M111" i="40"/>
  <c r="H35" i="40"/>
  <c r="AB35" i="40"/>
  <c r="AC29" i="35"/>
  <c r="W29" i="35"/>
  <c r="H35" i="37"/>
  <c r="AC14" i="35"/>
  <c r="H20" i="35"/>
  <c r="U20" i="35"/>
  <c r="F20" i="35"/>
  <c r="AA20" i="35"/>
  <c r="AB29" i="36"/>
  <c r="U29" i="36"/>
  <c r="H32" i="37"/>
  <c r="AB32" i="37"/>
  <c r="F96" i="37"/>
  <c r="H27" i="40"/>
  <c r="U27" i="40"/>
  <c r="J27" i="40"/>
  <c r="AC27" i="40"/>
  <c r="F27" i="40"/>
  <c r="S27" i="40"/>
  <c r="J30" i="40"/>
  <c r="AC30" i="40"/>
  <c r="F30" i="40"/>
  <c r="AA30" i="40"/>
  <c r="AC21" i="40"/>
  <c r="S31" i="39"/>
  <c r="E98" i="40"/>
  <c r="F98" i="40"/>
  <c r="G98" i="40"/>
  <c r="H98" i="40"/>
  <c r="I98" i="40"/>
  <c r="J98" i="40"/>
  <c r="K98" i="40"/>
  <c r="L98" i="40"/>
  <c r="M98" i="40"/>
  <c r="F10" i="33"/>
  <c r="S10" i="33"/>
  <c r="F34" i="33"/>
  <c r="H34" i="33"/>
  <c r="U34" i="33"/>
  <c r="F35" i="33"/>
  <c r="F39" i="34"/>
  <c r="S39" i="34"/>
  <c r="J39" i="34"/>
  <c r="W39" i="34"/>
  <c r="F40" i="34"/>
  <c r="S40" i="34"/>
  <c r="H44" i="34"/>
  <c r="AB44" i="34"/>
  <c r="AC38" i="39"/>
  <c r="F39" i="39"/>
  <c r="J39" i="39"/>
  <c r="E97" i="39"/>
  <c r="F97" i="39"/>
  <c r="G97" i="39"/>
  <c r="C40" i="11"/>
  <c r="H75" i="43"/>
  <c r="H74" i="43"/>
  <c r="H50" i="43"/>
  <c r="F23" i="39"/>
  <c r="AA23" i="39"/>
  <c r="H27" i="36"/>
  <c r="U27" i="36"/>
  <c r="F27" i="36"/>
  <c r="AA27" i="36"/>
  <c r="H33" i="34"/>
  <c r="U33" i="34"/>
  <c r="F32" i="37"/>
  <c r="G96" i="37"/>
  <c r="H96" i="37"/>
  <c r="I96" i="37"/>
  <c r="J96" i="37"/>
  <c r="K96" i="37"/>
  <c r="L96" i="37"/>
  <c r="M96" i="37"/>
  <c r="F20" i="36"/>
  <c r="AA20" i="36"/>
  <c r="J33" i="34"/>
  <c r="AC33" i="34"/>
  <c r="H23" i="39"/>
  <c r="U23" i="39"/>
  <c r="D48" i="9"/>
  <c r="M52" i="9"/>
  <c r="H86" i="43"/>
  <c r="H87" i="43"/>
  <c r="K9" i="1"/>
  <c r="M9" i="1"/>
  <c r="O9" i="1"/>
  <c r="P9" i="1"/>
  <c r="AE9" i="1"/>
  <c r="D93" i="9"/>
  <c r="W27" i="34"/>
  <c r="AB34" i="36"/>
  <c r="U34" i="36"/>
  <c r="AB33" i="36"/>
  <c r="U33" i="36"/>
  <c r="AC12" i="39"/>
  <c r="W12" i="39"/>
  <c r="W12" i="33"/>
  <c r="AC12" i="33"/>
  <c r="AA32" i="36"/>
  <c r="S32" i="36"/>
  <c r="AA39" i="34"/>
  <c r="F28" i="6"/>
  <c r="F30" i="6"/>
  <c r="AC13" i="34"/>
  <c r="W28" i="37"/>
  <c r="S19" i="39"/>
  <c r="F12" i="33"/>
  <c r="AA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H100" i="43"/>
  <c r="C30" i="66"/>
  <c r="E26" i="66"/>
  <c r="AC34" i="33"/>
  <c r="B41" i="1"/>
  <c r="S22" i="31"/>
  <c r="R22" i="31"/>
  <c r="J100" i="43"/>
  <c r="AB37" i="40"/>
  <c r="U35" i="40"/>
  <c r="S17" i="40"/>
  <c r="S23" i="40"/>
  <c r="AC17" i="40"/>
  <c r="AB27" i="40"/>
  <c r="S30" i="40"/>
  <c r="AA19" i="40"/>
  <c r="AA27" i="40"/>
  <c r="AB19" i="40"/>
  <c r="U37" i="39"/>
  <c r="S43" i="39"/>
  <c r="U35" i="39"/>
  <c r="F32" i="39"/>
  <c r="F107" i="39"/>
  <c r="G107" i="39"/>
  <c r="H107" i="39"/>
  <c r="U25" i="39"/>
  <c r="AB27" i="39"/>
  <c r="U31" i="39"/>
  <c r="S25" i="39"/>
  <c r="J21" i="39"/>
  <c r="W21" i="39"/>
  <c r="F21" i="39"/>
  <c r="G95" i="39"/>
  <c r="H21" i="39"/>
  <c r="W19" i="39"/>
  <c r="U19" i="39"/>
  <c r="S17" i="39"/>
  <c r="AC15" i="39"/>
  <c r="S15" i="39"/>
  <c r="AB15" i="39"/>
  <c r="AA12" i="39"/>
  <c r="S9" i="39"/>
  <c r="U14" i="39"/>
  <c r="AC13" i="39"/>
  <c r="U12" i="39"/>
  <c r="S23" i="36"/>
  <c r="U13" i="36"/>
  <c r="AB27" i="36"/>
  <c r="U26" i="36"/>
  <c r="S33" i="36"/>
  <c r="S27" i="36"/>
  <c r="AA26" i="36"/>
  <c r="AA34" i="36"/>
  <c r="S29" i="36"/>
  <c r="AC26" i="36"/>
  <c r="AA22" i="36"/>
  <c r="AB14" i="36"/>
  <c r="U22" i="36"/>
  <c r="S16" i="36"/>
  <c r="S24" i="36"/>
  <c r="U23" i="36"/>
  <c r="AB20" i="36"/>
  <c r="U16" i="36"/>
  <c r="S14" i="36"/>
  <c r="U10" i="36"/>
  <c r="W10" i="36"/>
  <c r="AA25" i="35"/>
  <c r="W24" i="35"/>
  <c r="U29" i="35"/>
  <c r="U28" i="35"/>
  <c r="AB27" i="35"/>
  <c r="U36" i="35"/>
  <c r="U32" i="35"/>
  <c r="AA33" i="35"/>
  <c r="AC30" i="35"/>
  <c r="S32" i="35"/>
  <c r="AA36" i="35"/>
  <c r="W32" i="35"/>
  <c r="S28" i="35"/>
  <c r="AB16" i="35"/>
  <c r="U22" i="35"/>
  <c r="S20" i="35"/>
  <c r="AC20" i="35"/>
  <c r="S22" i="35"/>
  <c r="U14" i="35"/>
  <c r="AA10" i="35"/>
  <c r="AB10" i="35"/>
  <c r="AA11" i="35"/>
  <c r="S8" i="35"/>
  <c r="AC9" i="35"/>
  <c r="W9" i="35"/>
  <c r="AC12" i="35"/>
  <c r="F9" i="35"/>
  <c r="AA9" i="35"/>
  <c r="H9" i="35"/>
  <c r="F26" i="35"/>
  <c r="AA26" i="35"/>
  <c r="J26" i="35"/>
  <c r="AC26" i="35"/>
  <c r="H26" i="35"/>
  <c r="AB40" i="37"/>
  <c r="S25" i="37"/>
  <c r="W27" i="37"/>
  <c r="S26" i="37"/>
  <c r="AC9" i="37"/>
  <c r="AC29" i="37"/>
  <c r="U29" i="37"/>
  <c r="AB31" i="37"/>
  <c r="W30" i="37"/>
  <c r="S36" i="37"/>
  <c r="U32" i="37"/>
  <c r="AC35" i="37"/>
  <c r="W39" i="37"/>
  <c r="S30" i="37"/>
  <c r="AC15" i="37"/>
  <c r="J17" i="37"/>
  <c r="W17" i="37"/>
  <c r="G73" i="37"/>
  <c r="F17" i="37"/>
  <c r="AA17" i="37"/>
  <c r="AB17" i="37"/>
  <c r="F75" i="37"/>
  <c r="F19" i="37"/>
  <c r="S19" i="37"/>
  <c r="F79" i="37"/>
  <c r="F23" i="37"/>
  <c r="U23" i="37"/>
  <c r="U15" i="37"/>
  <c r="AC13" i="37"/>
  <c r="AA13" i="37"/>
  <c r="AA9" i="37"/>
  <c r="H10" i="37"/>
  <c r="H60" i="37"/>
  <c r="I60" i="37"/>
  <c r="F63" i="37"/>
  <c r="F11" i="37"/>
  <c r="S11" i="37"/>
  <c r="S27" i="34"/>
  <c r="AB8" i="34"/>
  <c r="AA33" i="34"/>
  <c r="AC42" i="34"/>
  <c r="AB35" i="34"/>
  <c r="U39" i="34"/>
  <c r="AA45" i="34"/>
  <c r="W34" i="34"/>
  <c r="U28" i="34"/>
  <c r="S17" i="34"/>
  <c r="AA29" i="34"/>
  <c r="U27" i="34"/>
  <c r="S23" i="34"/>
  <c r="S10" i="34"/>
  <c r="H67" i="34"/>
  <c r="H10" i="34"/>
  <c r="U10" i="34"/>
  <c r="F11" i="34"/>
  <c r="S11" i="34"/>
  <c r="F70" i="34"/>
  <c r="S27" i="33"/>
  <c r="AB29" i="33"/>
  <c r="W38" i="33"/>
  <c r="H41" i="33"/>
  <c r="AB41" i="33"/>
  <c r="F121" i="33"/>
  <c r="G121" i="33"/>
  <c r="H121" i="33"/>
  <c r="I121" i="33"/>
  <c r="J121" i="33"/>
  <c r="K121" i="33"/>
  <c r="L121" i="33"/>
  <c r="M121" i="33"/>
  <c r="J35" i="33"/>
  <c r="W35" i="33"/>
  <c r="S37" i="33"/>
  <c r="AA37" i="33"/>
  <c r="S39" i="33"/>
  <c r="W43" i="33"/>
  <c r="S43" i="33"/>
  <c r="H27" i="33"/>
  <c r="U27" i="33"/>
  <c r="J23" i="33"/>
  <c r="H23" i="33"/>
  <c r="U23" i="33"/>
  <c r="F19" i="33"/>
  <c r="S19" i="33"/>
  <c r="W19" i="33"/>
  <c r="J17" i="33"/>
  <c r="W17" i="33"/>
  <c r="S15" i="33"/>
  <c r="W15" i="33"/>
  <c r="U9" i="33"/>
  <c r="J10" i="33"/>
  <c r="AC10" i="33"/>
  <c r="H10" i="33"/>
  <c r="AA10" i="33"/>
  <c r="AC11" i="33"/>
  <c r="AB14" i="33"/>
  <c r="W43" i="21"/>
  <c r="W36" i="21"/>
  <c r="W41" i="21"/>
  <c r="AB39" i="21"/>
  <c r="AA43" i="21"/>
  <c r="S39" i="21"/>
  <c r="AA38" i="21"/>
  <c r="AA36" i="21"/>
  <c r="AC40" i="21"/>
  <c r="J15" i="21"/>
  <c r="W15" i="21"/>
  <c r="F77" i="21"/>
  <c r="G77" i="21"/>
  <c r="F23" i="21"/>
  <c r="E85" i="21"/>
  <c r="AA14" i="21"/>
  <c r="AB8" i="21"/>
  <c r="S8" i="21"/>
  <c r="M3" i="43"/>
  <c r="N10" i="43"/>
  <c r="M1" i="43"/>
  <c r="M8" i="43"/>
  <c r="N8" i="43"/>
  <c r="N9" i="43"/>
  <c r="C18" i="9"/>
  <c r="D18" i="9"/>
  <c r="F34" i="67"/>
  <c r="F62" i="67"/>
  <c r="M20" i="67"/>
  <c r="F34" i="15"/>
  <c r="F62" i="15"/>
  <c r="J56" i="9"/>
  <c r="J57" i="9"/>
  <c r="J59" i="9"/>
  <c r="A24" i="51"/>
  <c r="B18" i="72"/>
  <c r="U29" i="34"/>
  <c r="E5" i="6"/>
  <c r="D9" i="11"/>
  <c r="C9" i="11"/>
  <c r="P10" i="1"/>
  <c r="E32" i="6"/>
  <c r="L19" i="6"/>
  <c r="G1" i="68"/>
  <c r="K1" i="12"/>
  <c r="AR10" i="1"/>
  <c r="E19" i="69"/>
  <c r="E19" i="68"/>
  <c r="E19" i="11"/>
  <c r="E1" i="73"/>
  <c r="K1" i="73"/>
  <c r="G41" i="69"/>
  <c r="G22" i="69"/>
  <c r="G41" i="68"/>
  <c r="G22" i="68"/>
  <c r="G27" i="12"/>
  <c r="G26" i="12"/>
  <c r="G41" i="11"/>
  <c r="G22" i="11"/>
  <c r="G25" i="12"/>
  <c r="E81" i="43"/>
  <c r="B79" i="43"/>
  <c r="E48" i="43"/>
  <c r="B46" i="43"/>
  <c r="E70" i="43"/>
  <c r="B68" i="43"/>
  <c r="F100" i="43"/>
  <c r="G6" i="1"/>
  <c r="H81" i="43"/>
  <c r="H88" i="43"/>
  <c r="H54" i="43"/>
  <c r="H78" i="43"/>
  <c r="H70" i="43"/>
  <c r="H71" i="43"/>
  <c r="M7" i="43"/>
  <c r="N6" i="43"/>
  <c r="F59" i="43"/>
  <c r="M2" i="43"/>
  <c r="M10" i="43"/>
  <c r="N3" i="43"/>
  <c r="N11" i="43"/>
  <c r="M9" i="43"/>
  <c r="N12" i="43"/>
  <c r="N5" i="43"/>
  <c r="M5" i="43"/>
  <c r="M12" i="43"/>
  <c r="M4" i="43"/>
  <c r="B19" i="53"/>
  <c r="B37" i="72"/>
  <c r="C7" i="39"/>
  <c r="C68" i="39"/>
  <c r="C70" i="39"/>
  <c r="C7" i="35"/>
  <c r="C7" i="33"/>
  <c r="C58" i="33"/>
  <c r="D58" i="33"/>
  <c r="E58" i="33"/>
  <c r="F58" i="33"/>
  <c r="C7" i="21"/>
  <c r="C58" i="21"/>
  <c r="C7" i="40"/>
  <c r="C63" i="40"/>
  <c r="D63" i="40"/>
  <c r="D65" i="40"/>
  <c r="M47" i="9"/>
  <c r="T35" i="4"/>
  <c r="A19" i="51"/>
  <c r="B14" i="72"/>
  <c r="D46" i="36"/>
  <c r="E46" i="36"/>
  <c r="F46" i="36"/>
  <c r="C59" i="34"/>
  <c r="D59" i="34"/>
  <c r="C52" i="37"/>
  <c r="A4" i="51"/>
  <c r="B6" i="72"/>
  <c r="C48" i="35"/>
  <c r="C94" i="9"/>
  <c r="C4" i="12"/>
  <c r="C92" i="9"/>
  <c r="H51" i="43"/>
  <c r="H76" i="43"/>
  <c r="H72" i="43"/>
  <c r="H77" i="43"/>
  <c r="L20" i="6"/>
  <c r="B6" i="1"/>
  <c r="E6" i="1"/>
  <c r="K11" i="1"/>
  <c r="M11" i="1"/>
  <c r="O11" i="1"/>
  <c r="P11" i="1"/>
  <c r="AP6" i="1"/>
  <c r="B9" i="1"/>
  <c r="E9" i="1"/>
  <c r="G1" i="15"/>
  <c r="G1" i="69"/>
  <c r="G1" i="67"/>
  <c r="W23" i="40"/>
  <c r="U32" i="40"/>
  <c r="S37" i="40"/>
  <c r="AB28" i="40"/>
  <c r="W28" i="40"/>
  <c r="W34" i="40"/>
  <c r="W19" i="40"/>
  <c r="W27" i="40"/>
  <c r="S36" i="40"/>
  <c r="AC14" i="40"/>
  <c r="S33" i="40"/>
  <c r="AA15" i="40"/>
  <c r="U11" i="40"/>
  <c r="AB13" i="40"/>
  <c r="U15" i="40"/>
  <c r="AB17" i="40"/>
  <c r="U8" i="40"/>
  <c r="S8" i="40"/>
  <c r="AC41" i="39"/>
  <c r="U42" i="39"/>
  <c r="AB23" i="39"/>
  <c r="U41" i="39"/>
  <c r="AB41" i="39"/>
  <c r="AC25" i="39"/>
  <c r="U13" i="39"/>
  <c r="AB13" i="39"/>
  <c r="S13" i="39"/>
  <c r="S14" i="39"/>
  <c r="AA14" i="39"/>
  <c r="AB43" i="39"/>
  <c r="AB11" i="39"/>
  <c r="U11" i="39"/>
  <c r="AA27" i="39"/>
  <c r="S27" i="39"/>
  <c r="W17" i="39"/>
  <c r="AC17" i="39"/>
  <c r="W31" i="39"/>
  <c r="AC31" i="39"/>
  <c r="S23" i="39"/>
  <c r="AA45" i="39"/>
  <c r="AB39" i="39"/>
  <c r="W34" i="39"/>
  <c r="U38" i="39"/>
  <c r="S8" i="39"/>
  <c r="S20" i="36"/>
  <c r="AC25" i="36"/>
  <c r="U32" i="36"/>
  <c r="AC20" i="36"/>
  <c r="AB28" i="36"/>
  <c r="W9" i="36"/>
  <c r="W22" i="36"/>
  <c r="W23" i="36"/>
  <c r="S9" i="36"/>
  <c r="AB20" i="35"/>
  <c r="U25" i="35"/>
  <c r="W33" i="35"/>
  <c r="AA30" i="35"/>
  <c r="U24" i="35"/>
  <c r="W35" i="35"/>
  <c r="AA16" i="35"/>
  <c r="AA35" i="37"/>
  <c r="S27" i="37"/>
  <c r="W32" i="37"/>
  <c r="AB37" i="37"/>
  <c r="AC34" i="37"/>
  <c r="AA11" i="37"/>
  <c r="U19" i="37"/>
  <c r="AA29" i="37"/>
  <c r="AA8" i="37"/>
  <c r="U8" i="37"/>
  <c r="AB40" i="34"/>
  <c r="U19" i="34"/>
  <c r="W19" i="34"/>
  <c r="AA31" i="34"/>
  <c r="AB45" i="34"/>
  <c r="AB36" i="34"/>
  <c r="AC32" i="34"/>
  <c r="W29" i="34"/>
  <c r="AC46" i="34"/>
  <c r="S32" i="34"/>
  <c r="AA32" i="34"/>
  <c r="U30" i="34"/>
  <c r="AB30" i="34"/>
  <c r="U38" i="34"/>
  <c r="AC40" i="34"/>
  <c r="W40" i="34"/>
  <c r="AA19" i="34"/>
  <c r="AA36" i="34"/>
  <c r="S36" i="34"/>
  <c r="AA8" i="34"/>
  <c r="S8" i="34"/>
  <c r="AB9" i="34"/>
  <c r="U9" i="34"/>
  <c r="S46" i="34"/>
  <c r="AA46" i="34"/>
  <c r="U32" i="34"/>
  <c r="U14" i="34"/>
  <c r="AA11" i="34"/>
  <c r="W23" i="34"/>
  <c r="AC23" i="34"/>
  <c r="AC35" i="34"/>
  <c r="W35" i="34"/>
  <c r="U12" i="34"/>
  <c r="AB12" i="34"/>
  <c r="AC37" i="33"/>
  <c r="W46" i="33"/>
  <c r="U39" i="33"/>
  <c r="U38" i="33"/>
  <c r="S33" i="33"/>
  <c r="AB34" i="33"/>
  <c r="U44" i="33"/>
  <c r="S30" i="33"/>
  <c r="AC14" i="33"/>
  <c r="W14" i="33"/>
  <c r="AC30" i="33"/>
  <c r="W30" i="33"/>
  <c r="S31" i="33"/>
  <c r="AA31" i="33"/>
  <c r="W13" i="33"/>
  <c r="AC13" i="33"/>
  <c r="U15" i="33"/>
  <c r="S11" i="33"/>
  <c r="U37" i="33"/>
  <c r="W9" i="33"/>
  <c r="W8" i="33"/>
  <c r="S44" i="21"/>
  <c r="U28" i="21"/>
  <c r="AA11" i="21"/>
  <c r="S45" i="21"/>
  <c r="J101" i="21"/>
  <c r="K101" i="21"/>
  <c r="L101" i="21"/>
  <c r="M101" i="21"/>
  <c r="F33" i="21"/>
  <c r="S33" i="21"/>
  <c r="J33" i="21"/>
  <c r="H33" i="21"/>
  <c r="F37" i="21"/>
  <c r="AA37" i="21"/>
  <c r="AA26" i="21"/>
  <c r="AB46" i="21"/>
  <c r="U40" i="21"/>
  <c r="AB31" i="21"/>
  <c r="U31" i="21"/>
  <c r="AB13" i="21"/>
  <c r="W8" i="21"/>
  <c r="S35" i="21"/>
  <c r="J37" i="21"/>
  <c r="W37" i="21"/>
  <c r="H15" i="21"/>
  <c r="U15" i="21"/>
  <c r="J17" i="21"/>
  <c r="AC19" i="21"/>
  <c r="W39" i="21"/>
  <c r="AC14" i="21"/>
  <c r="S46" i="21"/>
  <c r="H45" i="21"/>
  <c r="U45" i="21"/>
  <c r="F29" i="21"/>
  <c r="S29" i="21"/>
  <c r="F13" i="21"/>
  <c r="AA13" i="21"/>
  <c r="AC38" i="21"/>
  <c r="H32" i="21"/>
  <c r="AB32" i="21"/>
  <c r="H9" i="21"/>
  <c r="J9" i="21"/>
  <c r="W9" i="21"/>
  <c r="J32" i="21"/>
  <c r="F32" i="21"/>
  <c r="AA32" i="21"/>
  <c r="U17" i="21"/>
  <c r="S19" i="21"/>
  <c r="S9" i="21"/>
  <c r="AA9" i="21"/>
  <c r="K141" i="21"/>
  <c r="K144" i="21"/>
  <c r="K143" i="21"/>
  <c r="U27" i="21"/>
  <c r="AB25" i="21"/>
  <c r="AB44" i="21"/>
  <c r="W13" i="21"/>
  <c r="AC45" i="21"/>
  <c r="F10" i="21"/>
  <c r="K145" i="21"/>
  <c r="W25" i="21"/>
  <c r="AA29" i="21"/>
  <c r="W31" i="21"/>
  <c r="S17" i="21"/>
  <c r="AC27" i="21"/>
  <c r="AC26" i="21"/>
  <c r="AB29" i="21"/>
  <c r="AC34" i="21"/>
  <c r="W10" i="21"/>
  <c r="W12" i="21"/>
  <c r="AB36" i="21"/>
  <c r="W30" i="40"/>
  <c r="C19" i="39"/>
  <c r="C15" i="40"/>
  <c r="C17" i="40"/>
  <c r="C23" i="40"/>
  <c r="C21" i="40"/>
  <c r="U30" i="40"/>
  <c r="B54" i="43"/>
  <c r="B65" i="43"/>
  <c r="B49" i="43"/>
  <c r="B52" i="43"/>
  <c r="B56" i="43"/>
  <c r="B60" i="43"/>
  <c r="B63" i="43"/>
  <c r="B67" i="43"/>
  <c r="D23" i="15"/>
  <c r="D22" i="15"/>
  <c r="J53" i="67"/>
  <c r="F1" i="67"/>
  <c r="O6" i="1"/>
  <c r="P6" i="1"/>
  <c r="F52" i="9"/>
  <c r="M18" i="67"/>
  <c r="F28" i="15"/>
  <c r="C28" i="15"/>
  <c r="D68" i="39"/>
  <c r="D70" i="39"/>
  <c r="C77" i="9"/>
  <c r="AA39" i="40"/>
  <c r="S39" i="40"/>
  <c r="S12" i="33"/>
  <c r="D68" i="9"/>
  <c r="J32" i="39"/>
  <c r="W32" i="39"/>
  <c r="I107" i="39"/>
  <c r="J107" i="39"/>
  <c r="K107" i="39"/>
  <c r="L107" i="39"/>
  <c r="M107" i="39"/>
  <c r="H32" i="39"/>
  <c r="AA32" i="39"/>
  <c r="S32" i="39"/>
  <c r="AB21" i="39"/>
  <c r="U21" i="39"/>
  <c r="AA21" i="39"/>
  <c r="S21" i="39"/>
  <c r="AC21" i="39"/>
  <c r="S26" i="35"/>
  <c r="U9" i="35"/>
  <c r="AB9" i="35"/>
  <c r="S9" i="35"/>
  <c r="W26" i="35"/>
  <c r="AB26" i="35"/>
  <c r="U26" i="35"/>
  <c r="AC17" i="37"/>
  <c r="S17" i="37"/>
  <c r="J19" i="37"/>
  <c r="G75" i="37"/>
  <c r="AA19" i="37"/>
  <c r="J23" i="37"/>
  <c r="AC23" i="37"/>
  <c r="G79" i="37"/>
  <c r="J10" i="37"/>
  <c r="W10" i="37"/>
  <c r="G63" i="37"/>
  <c r="H11" i="37"/>
  <c r="AB10" i="37"/>
  <c r="U10" i="37"/>
  <c r="G70" i="34"/>
  <c r="H11" i="34"/>
  <c r="AB10" i="34"/>
  <c r="J10" i="34"/>
  <c r="W10" i="34"/>
  <c r="I67" i="34"/>
  <c r="U41" i="33"/>
  <c r="AC35" i="33"/>
  <c r="AB27" i="33"/>
  <c r="J27" i="33"/>
  <c r="AC27" i="33"/>
  <c r="AB23" i="33"/>
  <c r="F23" i="33"/>
  <c r="S23" i="33"/>
  <c r="AC23" i="33"/>
  <c r="W23" i="33"/>
  <c r="AA19" i="33"/>
  <c r="H19" i="33"/>
  <c r="AB19" i="33"/>
  <c r="H17" i="33"/>
  <c r="U17" i="33"/>
  <c r="F17" i="33"/>
  <c r="AA17" i="33"/>
  <c r="U10" i="33"/>
  <c r="AB10" i="33"/>
  <c r="AC37" i="21"/>
  <c r="S37" i="21"/>
  <c r="AB15" i="21"/>
  <c r="J23" i="21"/>
  <c r="F85" i="21"/>
  <c r="G85" i="21"/>
  <c r="H23" i="21"/>
  <c r="U23" i="21"/>
  <c r="S13" i="21"/>
  <c r="O14" i="1"/>
  <c r="P14" i="1"/>
  <c r="J61" i="9"/>
  <c r="B21" i="31"/>
  <c r="G46" i="36"/>
  <c r="H46" i="36"/>
  <c r="I46" i="36"/>
  <c r="E59" i="34"/>
  <c r="F59" i="34"/>
  <c r="C65" i="40"/>
  <c r="AP7" i="1"/>
  <c r="O7" i="1"/>
  <c r="AB45" i="21"/>
  <c r="AC33" i="21"/>
  <c r="W33" i="21"/>
  <c r="AA33" i="21"/>
  <c r="W32" i="21"/>
  <c r="AC32" i="21"/>
  <c r="AB9" i="21"/>
  <c r="U9" i="21"/>
  <c r="S32" i="21"/>
  <c r="AC9" i="21"/>
  <c r="U32" i="21"/>
  <c r="AA10" i="21"/>
  <c r="S10" i="21"/>
  <c r="F31" i="15"/>
  <c r="M17" i="15"/>
  <c r="F59" i="67"/>
  <c r="F59" i="15"/>
  <c r="F31" i="67"/>
  <c r="M17" i="67"/>
  <c r="U32" i="39"/>
  <c r="AB32" i="39"/>
  <c r="W19" i="37"/>
  <c r="AC19" i="37"/>
  <c r="W23" i="37"/>
  <c r="AB11" i="37"/>
  <c r="U11" i="37"/>
  <c r="H63" i="37"/>
  <c r="I63" i="37"/>
  <c r="J63" i="37"/>
  <c r="K63" i="37"/>
  <c r="L63" i="37"/>
  <c r="M63" i="37"/>
  <c r="J11" i="37"/>
  <c r="W11" i="37"/>
  <c r="U11" i="34"/>
  <c r="AB11" i="34"/>
  <c r="AC10" i="34"/>
  <c r="H70" i="34"/>
  <c r="I70" i="34"/>
  <c r="J70" i="34"/>
  <c r="K70" i="34"/>
  <c r="L70" i="34"/>
  <c r="M70" i="34"/>
  <c r="J11" i="34"/>
  <c r="W11" i="34"/>
  <c r="AA23" i="33"/>
  <c r="S17" i="33"/>
  <c r="AB23" i="21"/>
  <c r="AC23" i="21"/>
  <c r="W23" i="21"/>
  <c r="P7" i="1"/>
  <c r="G59" i="34"/>
  <c r="H59" i="34"/>
  <c r="I59" i="34"/>
  <c r="G39" i="43"/>
  <c r="I39" i="43"/>
  <c r="E68" i="39"/>
  <c r="F68" i="39"/>
  <c r="G68" i="39"/>
  <c r="Q52" i="67"/>
  <c r="C13" i="12"/>
  <c r="F34" i="11"/>
  <c r="C36" i="11"/>
  <c r="F11" i="12"/>
  <c r="F34" i="68"/>
  <c r="E70" i="39"/>
  <c r="AG6" i="1"/>
  <c r="H109" i="9"/>
  <c r="H110" i="9"/>
  <c r="D18" i="53"/>
  <c r="B35" i="72"/>
  <c r="D124" i="9"/>
  <c r="D16" i="53"/>
  <c r="B34" i="72"/>
  <c r="D10" i="52"/>
  <c r="H14" i="74"/>
  <c r="D17" i="53"/>
  <c r="B36" i="72"/>
  <c r="D125" i="9"/>
  <c r="D11" i="52"/>
  <c r="B7" i="74"/>
  <c r="H112" i="9"/>
  <c r="D21" i="53"/>
  <c r="B39" i="72"/>
  <c r="H111" i="9"/>
  <c r="D126" i="9"/>
  <c r="D19" i="53"/>
  <c r="B38" i="72"/>
  <c r="D59" i="9"/>
  <c r="M55" i="9"/>
  <c r="D20" i="53"/>
  <c r="B40" i="72"/>
  <c r="AD3" i="71"/>
  <c r="E7" i="76"/>
  <c r="F36" i="15"/>
  <c r="J15" i="15"/>
  <c r="D2" i="35"/>
  <c r="M26" i="67"/>
  <c r="M23" i="15"/>
  <c r="D2" i="21"/>
  <c r="B8" i="76"/>
  <c r="F8" i="15"/>
  <c r="E12" i="76"/>
  <c r="AO13" i="1"/>
  <c r="M23" i="67"/>
  <c r="D34" i="9"/>
  <c r="E9" i="76"/>
  <c r="F13" i="15"/>
  <c r="F40" i="67"/>
  <c r="E2" i="68"/>
  <c r="D2" i="36"/>
  <c r="D2" i="34"/>
  <c r="F7" i="15"/>
  <c r="F6" i="67"/>
  <c r="M22" i="15"/>
  <c r="F13" i="67"/>
  <c r="E2" i="69"/>
  <c r="M28" i="15"/>
  <c r="F38" i="15"/>
  <c r="G1" i="82"/>
  <c r="L48" i="82"/>
  <c r="J53" i="82"/>
  <c r="F1" i="82"/>
  <c r="AE7" i="1"/>
  <c r="F41" i="67"/>
  <c r="M6" i="67"/>
  <c r="M8" i="15"/>
  <c r="D3" i="73"/>
  <c r="D5" i="73"/>
  <c r="F38" i="67"/>
  <c r="E10" i="76"/>
  <c r="E13" i="76"/>
  <c r="L47" i="15"/>
  <c r="M29" i="15"/>
  <c r="AO11" i="1"/>
  <c r="M9" i="15"/>
  <c r="D2" i="33"/>
  <c r="L48" i="67"/>
  <c r="B10" i="76"/>
  <c r="F16" i="15"/>
  <c r="J15" i="67"/>
  <c r="B7" i="76"/>
  <c r="F40" i="15"/>
  <c r="F7" i="73"/>
  <c r="R7" i="1"/>
  <c r="F35" i="67"/>
  <c r="K7" i="1"/>
  <c r="M29" i="67"/>
  <c r="B13" i="76"/>
  <c r="M28" i="67"/>
  <c r="F9" i="15"/>
  <c r="D2" i="37"/>
  <c r="F7" i="67"/>
  <c r="F5" i="73"/>
  <c r="B12" i="76"/>
  <c r="F42" i="15"/>
  <c r="F43" i="67"/>
  <c r="C76" i="15"/>
  <c r="C36" i="68"/>
  <c r="M24" i="67"/>
  <c r="M9" i="67"/>
  <c r="F20" i="31"/>
  <c r="D6" i="73"/>
  <c r="AO10" i="1"/>
  <c r="F37" i="67"/>
  <c r="AO9" i="1"/>
  <c r="M26" i="15"/>
  <c r="B9" i="76"/>
  <c r="AO12" i="1"/>
  <c r="M8" i="67"/>
  <c r="M27" i="67"/>
  <c r="F4" i="73"/>
  <c r="D7" i="73"/>
  <c r="F36" i="67"/>
  <c r="F43" i="15"/>
  <c r="M6" i="15"/>
  <c r="F37" i="15"/>
  <c r="M27" i="15"/>
  <c r="L47" i="67"/>
  <c r="B11" i="76"/>
  <c r="F26" i="15"/>
  <c r="E11" i="76"/>
  <c r="C76" i="67"/>
  <c r="F3" i="73"/>
  <c r="D4" i="73"/>
  <c r="M24" i="15"/>
  <c r="M21" i="67"/>
  <c r="F42" i="67"/>
  <c r="F6" i="73"/>
  <c r="L48" i="15"/>
  <c r="F8" i="67"/>
  <c r="F26" i="67"/>
  <c r="F16" i="67"/>
  <c r="D35" i="9"/>
  <c r="E8" i="76"/>
  <c r="M22" i="67"/>
  <c r="F9" i="67"/>
  <c r="W26" i="33"/>
  <c r="S34" i="34"/>
  <c r="B22" i="49"/>
  <c r="G13" i="3"/>
  <c r="E11" i="6"/>
  <c r="E61" i="39"/>
  <c r="E14" i="6"/>
  <c r="E64" i="39"/>
  <c r="E10" i="6"/>
  <c r="AQ13" i="1"/>
  <c r="T11" i="1"/>
  <c r="E8" i="6"/>
  <c r="H68" i="39"/>
  <c r="G70" i="39"/>
  <c r="J59" i="34"/>
  <c r="K59" i="34"/>
  <c r="L59" i="34"/>
  <c r="M59" i="34"/>
  <c r="N59" i="34"/>
  <c r="O59" i="34"/>
  <c r="J7" i="34"/>
  <c r="F7" i="34"/>
  <c r="I14" i="74"/>
  <c r="B8" i="74"/>
  <c r="D127" i="9"/>
  <c r="D13" i="52"/>
  <c r="D12" i="52"/>
  <c r="D58" i="21"/>
  <c r="E58" i="21"/>
  <c r="F58" i="21"/>
  <c r="G58" i="21"/>
  <c r="H58" i="21"/>
  <c r="I58" i="21"/>
  <c r="J58" i="21"/>
  <c r="K58" i="21"/>
  <c r="L58" i="21"/>
  <c r="M58" i="21"/>
  <c r="N58" i="21"/>
  <c r="O58" i="21"/>
  <c r="J7" i="21"/>
  <c r="H7" i="21"/>
  <c r="J46" i="36"/>
  <c r="K46" i="36"/>
  <c r="L46" i="36"/>
  <c r="M46" i="36"/>
  <c r="N46" i="36"/>
  <c r="O46" i="36"/>
  <c r="J7" i="36"/>
  <c r="G58" i="33"/>
  <c r="H58" i="33"/>
  <c r="I58" i="33"/>
  <c r="J58" i="33"/>
  <c r="K58" i="33"/>
  <c r="L58" i="33"/>
  <c r="M58" i="33"/>
  <c r="N58" i="33"/>
  <c r="O58" i="33"/>
  <c r="J7" i="33"/>
  <c r="W7" i="33"/>
  <c r="H7" i="33"/>
  <c r="F7" i="33"/>
  <c r="AA7" i="33"/>
  <c r="AB33" i="21"/>
  <c r="U33" i="21"/>
  <c r="D48" i="35"/>
  <c r="D52" i="37"/>
  <c r="E52" i="37"/>
  <c r="F52" i="37"/>
  <c r="G52" i="37"/>
  <c r="H52" i="37"/>
  <c r="I52" i="37"/>
  <c r="J52" i="37"/>
  <c r="K52" i="37"/>
  <c r="L52" i="37"/>
  <c r="M52" i="37"/>
  <c r="N52" i="37"/>
  <c r="O52" i="37"/>
  <c r="H7" i="37"/>
  <c r="F7" i="37"/>
  <c r="J7" i="37"/>
  <c r="S23" i="21"/>
  <c r="AA23" i="21"/>
  <c r="S23" i="37"/>
  <c r="AA23" i="37"/>
  <c r="AR12" i="1"/>
  <c r="AQ12" i="1"/>
  <c r="AC39" i="39"/>
  <c r="W39" i="39"/>
  <c r="H52" i="43"/>
  <c r="H49" i="43"/>
  <c r="H53" i="43"/>
  <c r="H55" i="43"/>
  <c r="H56" i="43"/>
  <c r="F7" i="36"/>
  <c r="H7" i="36"/>
  <c r="D8" i="53"/>
  <c r="D120" i="9"/>
  <c r="AC42" i="39"/>
  <c r="W42" i="39"/>
  <c r="S31" i="37"/>
  <c r="AA31" i="37"/>
  <c r="S12" i="37"/>
  <c r="AA12" i="37"/>
  <c r="AB9" i="37"/>
  <c r="U9" i="37"/>
  <c r="G123" i="33"/>
  <c r="H123" i="33"/>
  <c r="I123" i="33"/>
  <c r="J123" i="33"/>
  <c r="K123" i="33"/>
  <c r="L123" i="33"/>
  <c r="M123" i="33"/>
  <c r="H42" i="33"/>
  <c r="W36" i="40"/>
  <c r="AC36" i="40"/>
  <c r="S32" i="40"/>
  <c r="AA32" i="40"/>
  <c r="AA31" i="40"/>
  <c r="S31" i="40"/>
  <c r="AA24" i="35"/>
  <c r="S24" i="35"/>
  <c r="AB43" i="33"/>
  <c r="U43" i="33"/>
  <c r="AC36" i="37"/>
  <c r="W36" i="37"/>
  <c r="AA14" i="40"/>
  <c r="S14" i="40"/>
  <c r="AB14" i="40"/>
  <c r="U14" i="40"/>
  <c r="AC37" i="40"/>
  <c r="W37" i="40"/>
  <c r="U33" i="40"/>
  <c r="AB33" i="40"/>
  <c r="S12" i="40"/>
  <c r="AA12" i="40"/>
  <c r="AC38" i="37"/>
  <c r="W38" i="37"/>
  <c r="AA28" i="37"/>
  <c r="S28" i="37"/>
  <c r="AB25" i="36"/>
  <c r="U25" i="36"/>
  <c r="AA35" i="35"/>
  <c r="S35" i="35"/>
  <c r="W25" i="35"/>
  <c r="AC25" i="35"/>
  <c r="AC13" i="35"/>
  <c r="W13" i="35"/>
  <c r="U47" i="34"/>
  <c r="AB47" i="34"/>
  <c r="W45" i="34"/>
  <c r="AC45" i="34"/>
  <c r="AB30" i="33"/>
  <c r="U30" i="33"/>
  <c r="U46" i="34"/>
  <c r="AB46" i="34"/>
  <c r="S14" i="34"/>
  <c r="AA14" i="34"/>
  <c r="U45" i="33"/>
  <c r="AB45" i="33"/>
  <c r="S29" i="33"/>
  <c r="AA29" i="33"/>
  <c r="AB13" i="33"/>
  <c r="U13" i="33"/>
  <c r="S31" i="21"/>
  <c r="AA31" i="21"/>
  <c r="AA28" i="36"/>
  <c r="S28" i="36"/>
  <c r="AC14" i="36"/>
  <c r="W14" i="36"/>
  <c r="S30" i="21"/>
  <c r="AA30" i="21"/>
  <c r="W10" i="35"/>
  <c r="AC10" i="35"/>
  <c r="AC42" i="21"/>
  <c r="W42" i="21"/>
  <c r="AB33" i="37"/>
  <c r="U33" i="37"/>
  <c r="AB15" i="34"/>
  <c r="U15" i="34"/>
  <c r="S15" i="34"/>
  <c r="AA15" i="34"/>
  <c r="AA37" i="39"/>
  <c r="S37" i="39"/>
  <c r="F70" i="39"/>
  <c r="H7" i="34"/>
  <c r="AC11" i="34"/>
  <c r="AC11" i="37"/>
  <c r="E63" i="40"/>
  <c r="AB17" i="33"/>
  <c r="AC10" i="37"/>
  <c r="AC32" i="39"/>
  <c r="AC17" i="21"/>
  <c r="W17" i="21"/>
  <c r="AC15" i="21"/>
  <c r="F32" i="82"/>
  <c r="F60" i="82"/>
  <c r="F28" i="82"/>
  <c r="C28" i="82"/>
  <c r="F52" i="80"/>
  <c r="D68" i="79"/>
  <c r="F54" i="79"/>
  <c r="F53" i="79"/>
  <c r="M18" i="82"/>
  <c r="F32" i="81"/>
  <c r="F60" i="81"/>
  <c r="F28" i="81"/>
  <c r="C28" i="81"/>
  <c r="M18" i="81"/>
  <c r="D68" i="80"/>
  <c r="F54" i="80"/>
  <c r="F53" i="80"/>
  <c r="F52" i="79"/>
  <c r="F53" i="9"/>
  <c r="F30" i="68"/>
  <c r="F30" i="11"/>
  <c r="F28" i="67"/>
  <c r="C28" i="67"/>
  <c r="F31" i="12"/>
  <c r="C31" i="12"/>
  <c r="F32" i="67"/>
  <c r="F60" i="67"/>
  <c r="F30" i="69"/>
  <c r="F32" i="15"/>
  <c r="F60" i="15"/>
  <c r="M18" i="15"/>
  <c r="F54" i="9"/>
  <c r="C77" i="80"/>
  <c r="C74" i="80"/>
  <c r="C77" i="79"/>
  <c r="C74" i="79"/>
  <c r="C74" i="9"/>
  <c r="C24" i="12"/>
  <c r="AA32" i="37"/>
  <c r="S32" i="37"/>
  <c r="H48" i="43"/>
  <c r="S39" i="39"/>
  <c r="AA39" i="39"/>
  <c r="S35" i="33"/>
  <c r="AA35" i="33"/>
  <c r="S34" i="33"/>
  <c r="AA34" i="33"/>
  <c r="U35" i="37"/>
  <c r="AB35" i="37"/>
  <c r="W27" i="36"/>
  <c r="AC27" i="36"/>
  <c r="H83" i="43"/>
  <c r="H82" i="43"/>
  <c r="H85" i="43"/>
  <c r="H84" i="43"/>
  <c r="AC13" i="40"/>
  <c r="AB21" i="40"/>
  <c r="U21" i="40"/>
  <c r="AB12" i="37"/>
  <c r="U12" i="37"/>
  <c r="U37" i="21"/>
  <c r="AB37" i="21"/>
  <c r="AB28" i="37"/>
  <c r="U31" i="40"/>
  <c r="AB31" i="40"/>
  <c r="AA37" i="37"/>
  <c r="S37" i="37"/>
  <c r="S15" i="21"/>
  <c r="AA15" i="21"/>
  <c r="AC28" i="21"/>
  <c r="AB31" i="33"/>
  <c r="AC30" i="34"/>
  <c r="AA14" i="37"/>
  <c r="AC14" i="37"/>
  <c r="W14" i="37"/>
  <c r="AA13" i="40"/>
  <c r="S13" i="40"/>
  <c r="AC35" i="40"/>
  <c r="W35" i="40"/>
  <c r="S38" i="37"/>
  <c r="AA38" i="37"/>
  <c r="AB38" i="37"/>
  <c r="U38" i="37"/>
  <c r="AB13" i="37"/>
  <c r="U13" i="37"/>
  <c r="S25" i="36"/>
  <c r="AA25" i="36"/>
  <c r="U13" i="35"/>
  <c r="AB13" i="35"/>
  <c r="S13" i="35"/>
  <c r="AA13" i="35"/>
  <c r="S47" i="34"/>
  <c r="AA47" i="34"/>
  <c r="AA13" i="34"/>
  <c r="S13" i="34"/>
  <c r="U13" i="34"/>
  <c r="AB13" i="34"/>
  <c r="AA46" i="33"/>
  <c r="S46" i="33"/>
  <c r="AB36" i="37"/>
  <c r="U36" i="37"/>
  <c r="S13" i="36"/>
  <c r="AA13" i="36"/>
  <c r="AC11" i="36"/>
  <c r="S30" i="34"/>
  <c r="AA30" i="34"/>
  <c r="W14" i="34"/>
  <c r="AC14" i="34"/>
  <c r="W31" i="33"/>
  <c r="AC31" i="33"/>
  <c r="AA27" i="21"/>
  <c r="S27" i="21"/>
  <c r="W28" i="33"/>
  <c r="AC28" i="33"/>
  <c r="U28" i="33"/>
  <c r="AB28" i="33"/>
  <c r="AC30" i="21"/>
  <c r="W30" i="21"/>
  <c r="U30" i="21"/>
  <c r="AB30" i="21"/>
  <c r="AA28" i="21"/>
  <c r="S28" i="21"/>
  <c r="U14" i="21"/>
  <c r="AB14" i="21"/>
  <c r="U42" i="21"/>
  <c r="AB42" i="21"/>
  <c r="AA28" i="40"/>
  <c r="S28" i="40"/>
  <c r="AA33" i="37"/>
  <c r="S33" i="37"/>
  <c r="S12" i="36"/>
  <c r="AB33" i="35"/>
  <c r="U33" i="35"/>
  <c r="AC29" i="36"/>
  <c r="W29" i="36"/>
  <c r="W34" i="36"/>
  <c r="AC34" i="36"/>
  <c r="W11" i="40"/>
  <c r="AC11" i="40"/>
  <c r="AC29" i="21"/>
  <c r="W29" i="21"/>
  <c r="AC11" i="21"/>
  <c r="AC15" i="40"/>
  <c r="S35" i="40"/>
  <c r="S11" i="40"/>
  <c r="AC35" i="21"/>
  <c r="U12" i="21"/>
  <c r="AC33" i="36"/>
  <c r="AB27" i="37"/>
  <c r="F40" i="37"/>
  <c r="J40" i="37"/>
  <c r="F11" i="36"/>
  <c r="H11" i="36"/>
  <c r="H26" i="33"/>
  <c r="U26" i="33"/>
  <c r="U8" i="33"/>
  <c r="AB12" i="33"/>
  <c r="F26" i="33"/>
  <c r="S31" i="35"/>
  <c r="W36" i="35"/>
  <c r="J36" i="39"/>
  <c r="H36" i="39"/>
  <c r="F9" i="34"/>
  <c r="J12" i="36"/>
  <c r="H12" i="36"/>
  <c r="J24" i="36"/>
  <c r="H24" i="36"/>
  <c r="J39" i="40"/>
  <c r="H39" i="40"/>
  <c r="D36" i="71"/>
  <c r="C37" i="71"/>
  <c r="N48" i="71"/>
  <c r="N47" i="71"/>
  <c r="H23" i="35"/>
  <c r="J23" i="35"/>
  <c r="F38" i="40"/>
  <c r="J38" i="40"/>
  <c r="H38" i="40"/>
  <c r="D48" i="71"/>
  <c r="O48" i="71"/>
  <c r="O47" i="71"/>
  <c r="C25" i="71"/>
  <c r="D24" i="71"/>
  <c r="C29" i="71"/>
  <c r="D29" i="71"/>
  <c r="D28" i="71"/>
  <c r="D32" i="71"/>
  <c r="C33" i="71"/>
  <c r="D40" i="71"/>
  <c r="C41" i="71"/>
  <c r="D93" i="80"/>
  <c r="D78" i="79"/>
  <c r="D78" i="80"/>
  <c r="D93" i="79"/>
  <c r="M56" i="80"/>
  <c r="J56" i="80"/>
  <c r="J57" i="80"/>
  <c r="J59" i="80"/>
  <c r="J61" i="80"/>
  <c r="N56" i="79"/>
  <c r="K56" i="79"/>
  <c r="N56" i="80"/>
  <c r="K56" i="80"/>
  <c r="M56" i="79"/>
  <c r="J56" i="79"/>
  <c r="J57" i="79"/>
  <c r="J59" i="79"/>
  <c r="J61" i="79"/>
  <c r="F34" i="82"/>
  <c r="F62" i="82"/>
  <c r="M20" i="82"/>
  <c r="M20" i="81"/>
  <c r="F34" i="81"/>
  <c r="F62" i="81"/>
  <c r="D78" i="9"/>
  <c r="G1" i="81"/>
  <c r="K100" i="43"/>
  <c r="G100" i="43"/>
  <c r="L100" i="43"/>
  <c r="A118" i="80"/>
  <c r="A2" i="80"/>
  <c r="A2" i="79"/>
  <c r="A118" i="79"/>
  <c r="D22" i="67"/>
  <c r="AB21" i="33"/>
  <c r="S21" i="21"/>
  <c r="S18" i="35"/>
  <c r="S25" i="40"/>
  <c r="D49" i="71"/>
  <c r="D58" i="71"/>
  <c r="E57" i="71"/>
  <c r="E56" i="71"/>
  <c r="Q50" i="71"/>
  <c r="D50" i="71"/>
  <c r="E49" i="71"/>
  <c r="F49" i="71"/>
  <c r="M56" i="9"/>
  <c r="P74" i="67"/>
  <c r="BA376" i="3"/>
  <c r="AZ376" i="3"/>
  <c r="BL373" i="3"/>
  <c r="AZ373" i="3"/>
  <c r="BA372" i="3"/>
  <c r="AZ372" i="3"/>
  <c r="BL369" i="3"/>
  <c r="AZ369" i="3"/>
  <c r="BA368" i="3"/>
  <c r="AZ368" i="3"/>
  <c r="BL365" i="3"/>
  <c r="AZ365" i="3"/>
  <c r="BA364" i="3"/>
  <c r="AZ364" i="3"/>
  <c r="BL361" i="3"/>
  <c r="AZ361" i="3"/>
  <c r="BA360" i="3"/>
  <c r="AZ360" i="3"/>
  <c r="BL357" i="3"/>
  <c r="AZ357" i="3"/>
  <c r="BA356" i="3"/>
  <c r="AZ356" i="3"/>
  <c r="BL353" i="3"/>
  <c r="AZ353" i="3"/>
  <c r="BA352" i="3"/>
  <c r="AZ352" i="3"/>
  <c r="BL349" i="3"/>
  <c r="AZ349" i="3"/>
  <c r="BA348" i="3"/>
  <c r="AZ348" i="3"/>
  <c r="BL345" i="3"/>
  <c r="AZ345" i="3"/>
  <c r="BA344" i="3"/>
  <c r="AZ344" i="3"/>
  <c r="BL341" i="3"/>
  <c r="AZ341" i="3"/>
  <c r="BA340" i="3"/>
  <c r="AZ340" i="3"/>
  <c r="BL337" i="3"/>
  <c r="AZ337" i="3"/>
  <c r="BA336" i="3"/>
  <c r="AZ336" i="3"/>
  <c r="BL333" i="3"/>
  <c r="AZ333" i="3"/>
  <c r="BA332" i="3"/>
  <c r="AZ332" i="3"/>
  <c r="BL329" i="3"/>
  <c r="AZ329" i="3"/>
  <c r="BA328" i="3"/>
  <c r="AZ328" i="3"/>
  <c r="BL325" i="3"/>
  <c r="AZ325" i="3"/>
  <c r="BA324" i="3"/>
  <c r="AZ324" i="3"/>
  <c r="BL321" i="3"/>
  <c r="AZ321" i="3"/>
  <c r="BA320" i="3"/>
  <c r="AZ320" i="3"/>
  <c r="BL317" i="3"/>
  <c r="AZ317" i="3"/>
  <c r="BA316" i="3"/>
  <c r="AZ316" i="3"/>
  <c r="BL313" i="3"/>
  <c r="AZ313" i="3"/>
  <c r="BA312" i="3"/>
  <c r="AZ312" i="3"/>
  <c r="BL309" i="3"/>
  <c r="AZ309" i="3"/>
  <c r="BA308" i="3"/>
  <c r="AZ308" i="3"/>
  <c r="BL305" i="3"/>
  <c r="AZ305" i="3"/>
  <c r="BA304" i="3"/>
  <c r="AZ304" i="3"/>
  <c r="BL301" i="3"/>
  <c r="AZ301" i="3"/>
  <c r="BA300" i="3"/>
  <c r="AZ300" i="3"/>
  <c r="BL297" i="3"/>
  <c r="AZ297" i="3"/>
  <c r="BA296" i="3"/>
  <c r="AZ296" i="3"/>
  <c r="BL293" i="3"/>
  <c r="AZ293" i="3"/>
  <c r="BA292" i="3"/>
  <c r="AZ292" i="3"/>
  <c r="BL289" i="3"/>
  <c r="AZ289" i="3"/>
  <c r="BA288" i="3"/>
  <c r="AZ288" i="3"/>
  <c r="BL285" i="3"/>
  <c r="AZ285" i="3"/>
  <c r="BA284" i="3"/>
  <c r="AZ284" i="3"/>
  <c r="BL281" i="3"/>
  <c r="AZ281" i="3"/>
  <c r="BA280" i="3"/>
  <c r="AZ280" i="3"/>
  <c r="BL277" i="3"/>
  <c r="AZ277" i="3"/>
  <c r="BA276" i="3"/>
  <c r="AZ276" i="3"/>
  <c r="BL273" i="3"/>
  <c r="AZ273" i="3"/>
  <c r="BA272" i="3"/>
  <c r="AZ272" i="3"/>
  <c r="BL269" i="3"/>
  <c r="AZ269" i="3"/>
  <c r="BA268" i="3"/>
  <c r="AZ268" i="3"/>
  <c r="BL265" i="3"/>
  <c r="AZ265" i="3"/>
  <c r="BA264" i="3"/>
  <c r="AZ264" i="3"/>
  <c r="BL261" i="3"/>
  <c r="AZ261" i="3"/>
  <c r="BA260" i="3"/>
  <c r="AZ260" i="3"/>
  <c r="BL257" i="3"/>
  <c r="AZ257" i="3"/>
  <c r="BA256" i="3"/>
  <c r="AZ256" i="3"/>
  <c r="BL253" i="3"/>
  <c r="AZ253" i="3"/>
  <c r="BA252" i="3"/>
  <c r="AZ252" i="3"/>
  <c r="BL249" i="3"/>
  <c r="AZ249" i="3"/>
  <c r="BA248" i="3"/>
  <c r="AZ248" i="3"/>
  <c r="BL245" i="3"/>
  <c r="AZ245" i="3"/>
  <c r="BA244" i="3"/>
  <c r="AZ244" i="3"/>
  <c r="BL241" i="3"/>
  <c r="AZ241" i="3"/>
  <c r="BA240" i="3"/>
  <c r="AZ240" i="3"/>
  <c r="BL237" i="3"/>
  <c r="AZ237" i="3"/>
  <c r="BA236" i="3"/>
  <c r="AZ236" i="3"/>
  <c r="BL233" i="3"/>
  <c r="AZ233" i="3"/>
  <c r="BA232" i="3"/>
  <c r="AZ232" i="3"/>
  <c r="BL229" i="3"/>
  <c r="AZ229" i="3"/>
  <c r="BA228" i="3"/>
  <c r="AZ228" i="3"/>
  <c r="BL225" i="3"/>
  <c r="AZ225" i="3"/>
  <c r="BA224" i="3"/>
  <c r="AZ224" i="3"/>
  <c r="BL221" i="3"/>
  <c r="AZ221" i="3"/>
  <c r="BA220" i="3"/>
  <c r="AZ220" i="3"/>
  <c r="BL217" i="3"/>
  <c r="AZ217" i="3"/>
  <c r="BA216" i="3"/>
  <c r="AZ216" i="3"/>
  <c r="BL213" i="3"/>
  <c r="AZ213" i="3"/>
  <c r="BA212" i="3"/>
  <c r="AZ212" i="3"/>
  <c r="BL209" i="3"/>
  <c r="AZ209" i="3"/>
  <c r="BA208" i="3"/>
  <c r="AZ208" i="3"/>
  <c r="BL204" i="3"/>
  <c r="AZ204" i="3"/>
  <c r="BA203" i="3"/>
  <c r="AZ203" i="3"/>
  <c r="BL196" i="3"/>
  <c r="AZ196" i="3"/>
  <c r="BA195" i="3"/>
  <c r="AZ195" i="3"/>
  <c r="BL188" i="3"/>
  <c r="AZ188" i="3"/>
  <c r="BA187" i="3"/>
  <c r="AZ187" i="3"/>
  <c r="BL180" i="3"/>
  <c r="AZ180" i="3"/>
  <c r="BA179" i="3"/>
  <c r="AZ179" i="3"/>
  <c r="BL172" i="3"/>
  <c r="AZ172" i="3"/>
  <c r="BA171" i="3"/>
  <c r="AZ171" i="3"/>
  <c r="BL164" i="3"/>
  <c r="AZ164" i="3"/>
  <c r="BA163" i="3"/>
  <c r="AZ163" i="3"/>
  <c r="BL156" i="3"/>
  <c r="AZ156" i="3"/>
  <c r="BA155" i="3"/>
  <c r="AZ155" i="3"/>
  <c r="BL148" i="3"/>
  <c r="AZ148" i="3"/>
  <c r="BA147" i="3"/>
  <c r="AZ147" i="3"/>
  <c r="BL140" i="3"/>
  <c r="AZ140" i="3"/>
  <c r="BA139" i="3"/>
  <c r="AZ139" i="3"/>
  <c r="BL123" i="3"/>
  <c r="AZ123" i="3"/>
  <c r="BA122" i="3"/>
  <c r="AZ122" i="3"/>
  <c r="BL97" i="3"/>
  <c r="AZ97" i="3"/>
  <c r="BA96" i="3"/>
  <c r="AZ96" i="3"/>
  <c r="BL65" i="3"/>
  <c r="AZ65" i="3"/>
  <c r="BA64" i="3"/>
  <c r="AZ64" i="3"/>
  <c r="BL32" i="3"/>
  <c r="AZ32" i="3"/>
  <c r="BA31" i="3"/>
  <c r="AZ31" i="3"/>
  <c r="BL375" i="3"/>
  <c r="AZ375" i="3"/>
  <c r="BA374" i="3"/>
  <c r="AZ374" i="3"/>
  <c r="BL371" i="3"/>
  <c r="AZ371" i="3"/>
  <c r="BA370" i="3"/>
  <c r="AZ370" i="3"/>
  <c r="BL367" i="3"/>
  <c r="AZ367" i="3"/>
  <c r="BA366" i="3"/>
  <c r="AZ366" i="3"/>
  <c r="BL363" i="3"/>
  <c r="AZ363" i="3"/>
  <c r="BA362" i="3"/>
  <c r="AZ362" i="3"/>
  <c r="BL359" i="3"/>
  <c r="AZ359" i="3"/>
  <c r="BA358" i="3"/>
  <c r="AZ358" i="3"/>
  <c r="BL355" i="3"/>
  <c r="AZ355" i="3"/>
  <c r="BA354" i="3"/>
  <c r="AZ354" i="3"/>
  <c r="BL351" i="3"/>
  <c r="AZ351" i="3"/>
  <c r="BA350" i="3"/>
  <c r="AZ350" i="3"/>
  <c r="BL347" i="3"/>
  <c r="AZ347" i="3"/>
  <c r="BA346" i="3"/>
  <c r="AZ346" i="3"/>
  <c r="BL343" i="3"/>
  <c r="AZ343" i="3"/>
  <c r="BA342" i="3"/>
  <c r="AZ342" i="3"/>
  <c r="BL339" i="3"/>
  <c r="AZ339" i="3"/>
  <c r="BA338" i="3"/>
  <c r="AZ338" i="3"/>
  <c r="BL335" i="3"/>
  <c r="AZ335" i="3"/>
  <c r="BA334" i="3"/>
  <c r="AZ334" i="3"/>
  <c r="BL331" i="3"/>
  <c r="AZ331" i="3"/>
  <c r="BA330" i="3"/>
  <c r="AZ330" i="3"/>
  <c r="BL327" i="3"/>
  <c r="AZ327" i="3"/>
  <c r="BA326" i="3"/>
  <c r="AZ326" i="3"/>
  <c r="BL323" i="3"/>
  <c r="AZ323" i="3"/>
  <c r="BA322" i="3"/>
  <c r="AZ322" i="3"/>
  <c r="BL319" i="3"/>
  <c r="AZ319" i="3"/>
  <c r="BA318" i="3"/>
  <c r="AZ318" i="3"/>
  <c r="BL315" i="3"/>
  <c r="AZ315" i="3"/>
  <c r="BA314" i="3"/>
  <c r="AZ314" i="3"/>
  <c r="BL311" i="3"/>
  <c r="AZ311" i="3"/>
  <c r="BA310" i="3"/>
  <c r="AZ310" i="3"/>
  <c r="BL307" i="3"/>
  <c r="AZ307" i="3"/>
  <c r="BA306" i="3"/>
  <c r="AZ306" i="3"/>
  <c r="BL303" i="3"/>
  <c r="AZ303" i="3"/>
  <c r="BA302" i="3"/>
  <c r="AZ302" i="3"/>
  <c r="BL299" i="3"/>
  <c r="AZ299" i="3"/>
  <c r="BA298" i="3"/>
  <c r="AZ298" i="3"/>
  <c r="BL295" i="3"/>
  <c r="AZ295" i="3"/>
  <c r="BA294" i="3"/>
  <c r="AZ294" i="3"/>
  <c r="BL291" i="3"/>
  <c r="AZ291" i="3"/>
  <c r="BA290" i="3"/>
  <c r="AZ290" i="3"/>
  <c r="BL287" i="3"/>
  <c r="AZ287" i="3"/>
  <c r="BA286" i="3"/>
  <c r="AZ286" i="3"/>
  <c r="BL283" i="3"/>
  <c r="AZ283" i="3"/>
  <c r="BA282" i="3"/>
  <c r="AZ282" i="3"/>
  <c r="BL279" i="3"/>
  <c r="AZ279" i="3"/>
  <c r="BA278" i="3"/>
  <c r="AZ278" i="3"/>
  <c r="BL275" i="3"/>
  <c r="AZ275" i="3"/>
  <c r="BA274" i="3"/>
  <c r="AZ274" i="3"/>
  <c r="BL271" i="3"/>
  <c r="AZ271" i="3"/>
  <c r="BA270" i="3"/>
  <c r="AZ270" i="3"/>
  <c r="BL267" i="3"/>
  <c r="AZ267" i="3"/>
  <c r="BA266" i="3"/>
  <c r="AZ266" i="3"/>
  <c r="BL263" i="3"/>
  <c r="AZ263" i="3"/>
  <c r="BA262" i="3"/>
  <c r="AZ262" i="3"/>
  <c r="BL259" i="3"/>
  <c r="AZ259" i="3"/>
  <c r="BA258" i="3"/>
  <c r="AZ258" i="3"/>
  <c r="BL255" i="3"/>
  <c r="AZ255" i="3"/>
  <c r="BA254" i="3"/>
  <c r="AZ254" i="3"/>
  <c r="BL251" i="3"/>
  <c r="AZ251" i="3"/>
  <c r="BA250" i="3"/>
  <c r="AZ250" i="3"/>
  <c r="BL247" i="3"/>
  <c r="AZ247" i="3"/>
  <c r="BA246" i="3"/>
  <c r="AZ246" i="3"/>
  <c r="BL243" i="3"/>
  <c r="AZ243" i="3"/>
  <c r="BA242" i="3"/>
  <c r="AZ242" i="3"/>
  <c r="BL239" i="3"/>
  <c r="AZ239" i="3"/>
  <c r="BA238" i="3"/>
  <c r="AZ238" i="3"/>
  <c r="BL235" i="3"/>
  <c r="AZ235" i="3"/>
  <c r="BA234" i="3"/>
  <c r="AZ234" i="3"/>
  <c r="BL231" i="3"/>
  <c r="AZ231" i="3"/>
  <c r="BA230" i="3"/>
  <c r="AZ230" i="3"/>
  <c r="BL227" i="3"/>
  <c r="AZ227" i="3"/>
  <c r="BA226" i="3"/>
  <c r="AZ226" i="3"/>
  <c r="BL223" i="3"/>
  <c r="AZ223" i="3"/>
  <c r="BA222" i="3"/>
  <c r="AZ222" i="3"/>
  <c r="BL219" i="3"/>
  <c r="AZ219" i="3"/>
  <c r="BA218" i="3"/>
  <c r="AZ218" i="3"/>
  <c r="BL215" i="3"/>
  <c r="AZ215" i="3"/>
  <c r="BA214" i="3"/>
  <c r="AZ214" i="3"/>
  <c r="BL211" i="3"/>
  <c r="AZ211" i="3"/>
  <c r="BA210" i="3"/>
  <c r="AZ210" i="3"/>
  <c r="BL207" i="3"/>
  <c r="BA207" i="3"/>
  <c r="BL200" i="3"/>
  <c r="AZ200" i="3"/>
  <c r="BA199" i="3"/>
  <c r="AZ199" i="3"/>
  <c r="BL192" i="3"/>
  <c r="AZ192" i="3"/>
  <c r="BA191" i="3"/>
  <c r="AZ191" i="3"/>
  <c r="BL184" i="3"/>
  <c r="AZ184" i="3"/>
  <c r="BA183" i="3"/>
  <c r="AZ183" i="3"/>
  <c r="BL176" i="3"/>
  <c r="AZ176" i="3"/>
  <c r="BA175" i="3"/>
  <c r="AZ175" i="3"/>
  <c r="BL168" i="3"/>
  <c r="AZ168" i="3"/>
  <c r="BA167" i="3"/>
  <c r="AZ167" i="3"/>
  <c r="BL160" i="3"/>
  <c r="AZ160" i="3"/>
  <c r="BA159" i="3"/>
  <c r="AZ159" i="3"/>
  <c r="BL152" i="3"/>
  <c r="AZ152" i="3"/>
  <c r="BA151" i="3"/>
  <c r="AZ151" i="3"/>
  <c r="BL144" i="3"/>
  <c r="AZ144" i="3"/>
  <c r="BA143" i="3"/>
  <c r="AZ143" i="3"/>
  <c r="BL136" i="3"/>
  <c r="AZ136" i="3"/>
  <c r="BA135" i="3"/>
  <c r="AZ135" i="3"/>
  <c r="BL131" i="3"/>
  <c r="AZ131" i="3"/>
  <c r="BA130" i="3"/>
  <c r="AZ130" i="3"/>
  <c r="BL113" i="3"/>
  <c r="AZ113" i="3"/>
  <c r="BA112" i="3"/>
  <c r="AZ112" i="3"/>
  <c r="BL81" i="3"/>
  <c r="AZ81" i="3"/>
  <c r="BA80" i="3"/>
  <c r="AZ80" i="3"/>
  <c r="BL49" i="3"/>
  <c r="AZ49" i="3"/>
  <c r="BA48" i="3"/>
  <c r="AZ48" i="3"/>
  <c r="BL206" i="3"/>
  <c r="AZ206" i="3"/>
  <c r="BA205" i="3"/>
  <c r="AZ205" i="3"/>
  <c r="BL202" i="3"/>
  <c r="AZ202" i="3"/>
  <c r="BA201" i="3"/>
  <c r="AZ201" i="3"/>
  <c r="BL198" i="3"/>
  <c r="AZ198" i="3"/>
  <c r="BA197" i="3"/>
  <c r="AZ197" i="3"/>
  <c r="BL194" i="3"/>
  <c r="AZ194" i="3"/>
  <c r="BA193" i="3"/>
  <c r="AZ193" i="3"/>
  <c r="BL190" i="3"/>
  <c r="AZ190" i="3"/>
  <c r="BA189" i="3"/>
  <c r="AZ189" i="3"/>
  <c r="BL186" i="3"/>
  <c r="AZ186" i="3"/>
  <c r="BA185" i="3"/>
  <c r="AZ185" i="3"/>
  <c r="BL182" i="3"/>
  <c r="AZ182" i="3"/>
  <c r="BA181" i="3"/>
  <c r="AZ181" i="3"/>
  <c r="BL178" i="3"/>
  <c r="AZ178" i="3"/>
  <c r="BA177" i="3"/>
  <c r="AZ177" i="3"/>
  <c r="BL174" i="3"/>
  <c r="AZ174" i="3"/>
  <c r="BA173" i="3"/>
  <c r="AZ173" i="3"/>
  <c r="BL170" i="3"/>
  <c r="AZ170" i="3"/>
  <c r="BA169" i="3"/>
  <c r="AZ169" i="3"/>
  <c r="BL166" i="3"/>
  <c r="AZ166" i="3"/>
  <c r="BA165" i="3"/>
  <c r="AZ165" i="3"/>
  <c r="BL162" i="3"/>
  <c r="AZ162" i="3"/>
  <c r="BA161" i="3"/>
  <c r="AZ161" i="3"/>
  <c r="BL158" i="3"/>
  <c r="AZ158" i="3"/>
  <c r="BA157" i="3"/>
  <c r="AZ157" i="3"/>
  <c r="BL154" i="3"/>
  <c r="AZ154" i="3"/>
  <c r="BA153" i="3"/>
  <c r="AZ153" i="3"/>
  <c r="BL150" i="3"/>
  <c r="AZ150" i="3"/>
  <c r="BA149" i="3"/>
  <c r="AZ149" i="3"/>
  <c r="BL146" i="3"/>
  <c r="AZ146" i="3"/>
  <c r="BA145" i="3"/>
  <c r="AZ145" i="3"/>
  <c r="BL142" i="3"/>
  <c r="AZ142" i="3"/>
  <c r="BA141" i="3"/>
  <c r="AZ141" i="3"/>
  <c r="BL138" i="3"/>
  <c r="AZ138" i="3"/>
  <c r="BA137" i="3"/>
  <c r="AZ137" i="3"/>
  <c r="BL134" i="3"/>
  <c r="AZ134" i="3"/>
  <c r="BA133" i="3"/>
  <c r="AZ133" i="3"/>
  <c r="BL127" i="3"/>
  <c r="AZ127" i="3"/>
  <c r="BA126" i="3"/>
  <c r="AZ126" i="3"/>
  <c r="BL119" i="3"/>
  <c r="AZ119" i="3"/>
  <c r="BA118" i="3"/>
  <c r="AZ118" i="3"/>
  <c r="BL105" i="3"/>
  <c r="AZ105" i="3"/>
  <c r="BA104" i="3"/>
  <c r="AZ104" i="3"/>
  <c r="BL89" i="3"/>
  <c r="AZ89" i="3"/>
  <c r="BA88" i="3"/>
  <c r="AZ88" i="3"/>
  <c r="BL73" i="3"/>
  <c r="AZ73" i="3"/>
  <c r="BA72" i="3"/>
  <c r="AZ72" i="3"/>
  <c r="BL57" i="3"/>
  <c r="AZ57" i="3"/>
  <c r="BA56" i="3"/>
  <c r="AZ56" i="3"/>
  <c r="BL41" i="3"/>
  <c r="AZ41" i="3"/>
  <c r="BA40" i="3"/>
  <c r="AZ40" i="3"/>
  <c r="BL16" i="3"/>
  <c r="AZ16" i="3"/>
  <c r="BA132" i="3"/>
  <c r="AZ132" i="3"/>
  <c r="BL129" i="3"/>
  <c r="AZ129" i="3"/>
  <c r="BA128" i="3"/>
  <c r="AZ128" i="3"/>
  <c r="BL125" i="3"/>
  <c r="AZ125" i="3"/>
  <c r="BA124" i="3"/>
  <c r="AZ124" i="3"/>
  <c r="BL121" i="3"/>
  <c r="AZ121" i="3"/>
  <c r="BA120" i="3"/>
  <c r="AZ120" i="3"/>
  <c r="BL117" i="3"/>
  <c r="AZ117" i="3"/>
  <c r="BA116" i="3"/>
  <c r="AZ116" i="3"/>
  <c r="BL109" i="3"/>
  <c r="AZ109" i="3"/>
  <c r="BA108" i="3"/>
  <c r="AZ108" i="3"/>
  <c r="BL101" i="3"/>
  <c r="AZ101" i="3"/>
  <c r="BA100" i="3"/>
  <c r="AZ100" i="3"/>
  <c r="BL93" i="3"/>
  <c r="AZ93" i="3"/>
  <c r="BA92" i="3"/>
  <c r="AZ92" i="3"/>
  <c r="BL85" i="3"/>
  <c r="AZ85" i="3"/>
  <c r="BA84" i="3"/>
  <c r="AZ84" i="3"/>
  <c r="BL77" i="3"/>
  <c r="AZ77" i="3"/>
  <c r="BA76" i="3"/>
  <c r="AZ76" i="3"/>
  <c r="BL69" i="3"/>
  <c r="AZ69" i="3"/>
  <c r="BA68" i="3"/>
  <c r="AZ68" i="3"/>
  <c r="BL61" i="3"/>
  <c r="AZ61" i="3"/>
  <c r="BA60" i="3"/>
  <c r="AZ60" i="3"/>
  <c r="BL53" i="3"/>
  <c r="AZ53" i="3"/>
  <c r="BA52" i="3"/>
  <c r="AZ52" i="3"/>
  <c r="BL45" i="3"/>
  <c r="AZ45" i="3"/>
  <c r="BA44" i="3"/>
  <c r="AZ44" i="3"/>
  <c r="BL37" i="3"/>
  <c r="AZ37" i="3"/>
  <c r="BA36" i="3"/>
  <c r="AZ36" i="3"/>
  <c r="BL24" i="3"/>
  <c r="AZ24" i="3"/>
  <c r="BA23" i="3"/>
  <c r="AZ23" i="3"/>
  <c r="BL115" i="3"/>
  <c r="AZ115" i="3"/>
  <c r="BA114" i="3"/>
  <c r="AZ114" i="3"/>
  <c r="BL111" i="3"/>
  <c r="AZ111" i="3"/>
  <c r="BA110" i="3"/>
  <c r="AZ110" i="3"/>
  <c r="BL107" i="3"/>
  <c r="AZ107" i="3"/>
  <c r="BA106" i="3"/>
  <c r="AZ106" i="3"/>
  <c r="BL103" i="3"/>
  <c r="AZ103" i="3"/>
  <c r="BA102" i="3"/>
  <c r="AZ102" i="3"/>
  <c r="BL99" i="3"/>
  <c r="AZ99" i="3"/>
  <c r="BA98" i="3"/>
  <c r="AZ98" i="3"/>
  <c r="BL95" i="3"/>
  <c r="AZ95" i="3"/>
  <c r="BA94" i="3"/>
  <c r="AZ94" i="3"/>
  <c r="BL91" i="3"/>
  <c r="AZ91" i="3"/>
  <c r="BA90" i="3"/>
  <c r="AZ90" i="3"/>
  <c r="BL87" i="3"/>
  <c r="AZ87" i="3"/>
  <c r="BA86" i="3"/>
  <c r="AZ86" i="3"/>
  <c r="BL83" i="3"/>
  <c r="AZ83" i="3"/>
  <c r="BA82" i="3"/>
  <c r="AZ82" i="3"/>
  <c r="BL79" i="3"/>
  <c r="AZ79" i="3"/>
  <c r="BA78" i="3"/>
  <c r="AZ78" i="3"/>
  <c r="BL75" i="3"/>
  <c r="AZ75" i="3"/>
  <c r="BA74" i="3"/>
  <c r="AZ74" i="3"/>
  <c r="BL71" i="3"/>
  <c r="AZ71" i="3"/>
  <c r="BA70" i="3"/>
  <c r="AZ70" i="3"/>
  <c r="BL67" i="3"/>
  <c r="AZ67" i="3"/>
  <c r="BA66" i="3"/>
  <c r="AZ66" i="3"/>
  <c r="BL63" i="3"/>
  <c r="AZ63" i="3"/>
  <c r="BA62" i="3"/>
  <c r="AZ62" i="3"/>
  <c r="BL59" i="3"/>
  <c r="AZ59" i="3"/>
  <c r="BA58" i="3"/>
  <c r="AZ58" i="3"/>
  <c r="BL55" i="3"/>
  <c r="AZ55" i="3"/>
  <c r="BA54" i="3"/>
  <c r="AZ54" i="3"/>
  <c r="BL51" i="3"/>
  <c r="AZ51" i="3"/>
  <c r="BA50" i="3"/>
  <c r="AZ50" i="3"/>
  <c r="BL47" i="3"/>
  <c r="AZ47" i="3"/>
  <c r="BA46" i="3"/>
  <c r="AZ46" i="3"/>
  <c r="BL43" i="3"/>
  <c r="AZ43" i="3"/>
  <c r="BA42" i="3"/>
  <c r="AZ42" i="3"/>
  <c r="BL39" i="3"/>
  <c r="AZ39" i="3"/>
  <c r="BA38" i="3"/>
  <c r="AZ38" i="3"/>
  <c r="BL35" i="3"/>
  <c r="BA35" i="3"/>
  <c r="BL28" i="3"/>
  <c r="AZ28" i="3"/>
  <c r="BA27" i="3"/>
  <c r="AZ27" i="3"/>
  <c r="BL20" i="3"/>
  <c r="AZ20" i="3"/>
  <c r="BA19" i="3"/>
  <c r="AZ19" i="3"/>
  <c r="F22" i="71"/>
  <c r="V22" i="71"/>
  <c r="F18" i="71"/>
  <c r="V18" i="71"/>
  <c r="F14" i="71"/>
  <c r="V14" i="71"/>
  <c r="E8" i="71"/>
  <c r="C5" i="71"/>
  <c r="D5" i="71"/>
  <c r="D6" i="71"/>
  <c r="U6" i="71"/>
  <c r="BL34" i="3"/>
  <c r="AZ34" i="3"/>
  <c r="BA33" i="3"/>
  <c r="AZ33" i="3"/>
  <c r="BL30" i="3"/>
  <c r="AZ30" i="3"/>
  <c r="BA29" i="3"/>
  <c r="AZ29" i="3"/>
  <c r="BL26" i="3"/>
  <c r="AZ26" i="3"/>
  <c r="BA25" i="3"/>
  <c r="AZ25" i="3"/>
  <c r="BL22" i="3"/>
  <c r="AZ22" i="3"/>
  <c r="BA21" i="3"/>
  <c r="AZ21" i="3"/>
  <c r="BL18" i="3"/>
  <c r="AZ18" i="3"/>
  <c r="BA17" i="3"/>
  <c r="AZ17" i="3"/>
  <c r="BL15" i="3"/>
  <c r="BA13" i="3"/>
  <c r="AZ13" i="3"/>
  <c r="D20" i="71"/>
  <c r="C21" i="71"/>
  <c r="B21" i="71"/>
  <c r="B22" i="71"/>
  <c r="S22" i="71"/>
  <c r="D16" i="71"/>
  <c r="C17" i="71"/>
  <c r="B17" i="71"/>
  <c r="B18" i="71"/>
  <c r="S18" i="71"/>
  <c r="D12" i="71"/>
  <c r="C13" i="71"/>
  <c r="B13" i="71"/>
  <c r="B14" i="71"/>
  <c r="S14" i="71"/>
  <c r="F9" i="71"/>
  <c r="F8" i="71"/>
  <c r="C7" i="84"/>
  <c r="C58" i="84"/>
  <c r="C7" i="83"/>
  <c r="C59" i="83"/>
  <c r="M47" i="79"/>
  <c r="M47" i="80"/>
  <c r="J51" i="82"/>
  <c r="J51" i="81"/>
  <c r="G19" i="43"/>
  <c r="E9" i="43"/>
  <c r="C7" i="43"/>
  <c r="E11" i="43"/>
  <c r="C17" i="43"/>
  <c r="I17" i="43"/>
  <c r="E9" i="49"/>
  <c r="B5" i="49"/>
  <c r="S43" i="83"/>
  <c r="L27" i="6"/>
  <c r="F27" i="6"/>
  <c r="C36" i="69"/>
  <c r="G5" i="3"/>
  <c r="B3" i="3"/>
  <c r="E99" i="3"/>
  <c r="E12" i="6"/>
  <c r="E62" i="39"/>
  <c r="E20" i="6"/>
  <c r="M7" i="1"/>
  <c r="D38" i="43"/>
  <c r="E21" i="6"/>
  <c r="K8" i="1"/>
  <c r="H16" i="1"/>
  <c r="J62" i="43"/>
  <c r="J61" i="43"/>
  <c r="E59" i="43"/>
  <c r="B57" i="43"/>
  <c r="C24" i="43"/>
  <c r="U46" i="33"/>
  <c r="P61" i="15"/>
  <c r="G16" i="1"/>
  <c r="H10" i="40"/>
  <c r="M18" i="9"/>
  <c r="B118" i="9"/>
  <c r="B14" i="74"/>
  <c r="B1" i="74"/>
  <c r="C8" i="74"/>
  <c r="P16" i="1"/>
  <c r="C11" i="12"/>
  <c r="C12" i="12"/>
  <c r="BA15" i="3"/>
  <c r="AZ15" i="3"/>
  <c r="AR11" i="1"/>
  <c r="BA14" i="3"/>
  <c r="AZ14" i="3"/>
  <c r="D19" i="12"/>
  <c r="C19" i="12"/>
  <c r="I4" i="6"/>
  <c r="G3" i="43"/>
  <c r="E56" i="40"/>
  <c r="O16" i="1"/>
  <c r="T9" i="1"/>
  <c r="E59" i="40"/>
  <c r="AQ9" i="1"/>
  <c r="D9" i="69"/>
  <c r="C9" i="69"/>
  <c r="E15" i="6"/>
  <c r="T13" i="1"/>
  <c r="T10" i="1"/>
  <c r="T12" i="1"/>
  <c r="E13" i="6"/>
  <c r="F31" i="6"/>
  <c r="E28" i="6"/>
  <c r="G30" i="6"/>
  <c r="C6" i="43"/>
  <c r="H62" i="43"/>
  <c r="H61" i="43"/>
  <c r="H60" i="43"/>
  <c r="H59" i="43"/>
  <c r="H67" i="43"/>
  <c r="H66" i="43"/>
  <c r="H65" i="43"/>
  <c r="H64" i="43"/>
  <c r="H63" i="43"/>
  <c r="F42" i="33"/>
  <c r="J42" i="33"/>
  <c r="F87" i="33"/>
  <c r="G87" i="33"/>
  <c r="H87" i="33"/>
  <c r="I87" i="33"/>
  <c r="J87" i="33"/>
  <c r="K87" i="33"/>
  <c r="L87" i="33"/>
  <c r="M87" i="33"/>
  <c r="F25" i="33"/>
  <c r="J25" i="33"/>
  <c r="W25" i="33"/>
  <c r="H25" i="33"/>
  <c r="W27" i="33"/>
  <c r="S41" i="33"/>
  <c r="W39" i="33"/>
  <c r="F32" i="33"/>
  <c r="AA32" i="33"/>
  <c r="F101" i="33"/>
  <c r="S32" i="33"/>
  <c r="AC25" i="33"/>
  <c r="W21" i="33"/>
  <c r="U19" i="33"/>
  <c r="AC17" i="33"/>
  <c r="U35" i="33"/>
  <c r="S28" i="33"/>
  <c r="G111" i="33"/>
  <c r="F36" i="33"/>
  <c r="W10" i="33"/>
  <c r="S9" i="33"/>
  <c r="AC7" i="33"/>
  <c r="S7" i="33"/>
  <c r="B8" i="49"/>
  <c r="B11" i="49"/>
  <c r="B14" i="49"/>
  <c r="J43" i="34"/>
  <c r="F124" i="34"/>
  <c r="G124" i="34"/>
  <c r="H124" i="34"/>
  <c r="I124" i="34"/>
  <c r="J124" i="34"/>
  <c r="K124" i="34"/>
  <c r="L124" i="34"/>
  <c r="M124" i="34"/>
  <c r="H43" i="34"/>
  <c r="F43" i="34"/>
  <c r="E11" i="49"/>
  <c r="B6" i="49"/>
  <c r="E21" i="49"/>
  <c r="B13" i="49"/>
  <c r="E22" i="49"/>
  <c r="B7" i="49"/>
  <c r="J41" i="34"/>
  <c r="F41" i="34"/>
  <c r="S41" i="34"/>
  <c r="H37" i="34"/>
  <c r="J37" i="34"/>
  <c r="H112" i="34"/>
  <c r="I112" i="34"/>
  <c r="J112" i="34"/>
  <c r="K112" i="34"/>
  <c r="L112" i="34"/>
  <c r="M112" i="34"/>
  <c r="F37" i="34"/>
  <c r="S28" i="34"/>
  <c r="F25" i="34"/>
  <c r="H25" i="34"/>
  <c r="G88" i="34"/>
  <c r="H88" i="34"/>
  <c r="I88" i="34"/>
  <c r="J88" i="34"/>
  <c r="K88" i="34"/>
  <c r="L88" i="34"/>
  <c r="M88" i="34"/>
  <c r="J25" i="34"/>
  <c r="AC25" i="34"/>
  <c r="U21" i="34"/>
  <c r="S21" i="34"/>
  <c r="AC44" i="34"/>
  <c r="W33" i="34"/>
  <c r="E4" i="49"/>
  <c r="B4" i="49"/>
  <c r="E5" i="49"/>
  <c r="E10" i="49"/>
  <c r="E8" i="49"/>
  <c r="E16" i="49"/>
  <c r="B9" i="49"/>
  <c r="E4" i="4"/>
  <c r="B5" i="62"/>
  <c r="B73" i="72"/>
  <c r="E6" i="49"/>
  <c r="E7" i="49"/>
  <c r="B16" i="49"/>
  <c r="C4" i="4"/>
  <c r="B4" i="62"/>
  <c r="B71" i="72"/>
  <c r="B10" i="49"/>
  <c r="AC17" i="34"/>
  <c r="AB17" i="34"/>
  <c r="AB33" i="34"/>
  <c r="AA40" i="34"/>
  <c r="AB41" i="34"/>
  <c r="AC39" i="34"/>
  <c r="U44" i="34"/>
  <c r="AC36" i="34"/>
  <c r="U34" i="34"/>
  <c r="AB23" i="34"/>
  <c r="W9" i="34"/>
  <c r="S46" i="83"/>
  <c r="W25" i="83"/>
  <c r="D124" i="80"/>
  <c r="D125" i="80"/>
  <c r="H110" i="80"/>
  <c r="C16" i="43"/>
  <c r="C5" i="43"/>
  <c r="D124" i="79"/>
  <c r="D125" i="79"/>
  <c r="H110" i="79"/>
  <c r="C23" i="12"/>
  <c r="B20" i="31"/>
  <c r="F69" i="67"/>
  <c r="J20" i="67"/>
  <c r="F63" i="67"/>
  <c r="C62" i="67"/>
  <c r="C34" i="67"/>
  <c r="F68" i="67"/>
  <c r="F66" i="67"/>
  <c r="C27" i="15"/>
  <c r="L58" i="67"/>
  <c r="L59" i="67"/>
  <c r="N59" i="67"/>
  <c r="M59" i="67"/>
  <c r="F51" i="15"/>
  <c r="F68" i="15"/>
  <c r="M59" i="15"/>
  <c r="L58" i="15"/>
  <c r="N59" i="15"/>
  <c r="L59" i="15"/>
  <c r="F64" i="15"/>
  <c r="F65" i="15"/>
  <c r="I54" i="67"/>
  <c r="J57" i="67"/>
  <c r="J55" i="67"/>
  <c r="J58" i="67"/>
  <c r="Q50" i="67"/>
  <c r="L56" i="67"/>
  <c r="C27" i="67"/>
  <c r="Q71" i="67"/>
  <c r="B10" i="70"/>
  <c r="B11" i="70"/>
  <c r="E20" i="43"/>
  <c r="F70" i="67"/>
  <c r="F71" i="15"/>
  <c r="F64" i="67"/>
  <c r="F65" i="67"/>
  <c r="I54" i="15"/>
  <c r="L56" i="15"/>
  <c r="J53" i="15"/>
  <c r="J57" i="15"/>
  <c r="J55" i="15"/>
  <c r="J58" i="15"/>
  <c r="Q50" i="15"/>
  <c r="L57" i="15"/>
  <c r="L60" i="15"/>
  <c r="Q71" i="15"/>
  <c r="F71" i="67"/>
  <c r="M7" i="67"/>
  <c r="J6" i="67"/>
  <c r="F50" i="67"/>
  <c r="F66" i="15"/>
  <c r="F51" i="67"/>
  <c r="C49" i="67"/>
  <c r="C6" i="67"/>
  <c r="M7" i="15"/>
  <c r="J6" i="15"/>
  <c r="F50" i="15"/>
  <c r="B12" i="70"/>
  <c r="B13" i="70"/>
  <c r="B9" i="70"/>
  <c r="I1" i="73"/>
  <c r="B39" i="1"/>
  <c r="C16" i="67"/>
  <c r="F42" i="82"/>
  <c r="G1" i="73"/>
  <c r="S7" i="1"/>
  <c r="C17" i="67"/>
  <c r="F43" i="81"/>
  <c r="M28" i="82"/>
  <c r="C14" i="67"/>
  <c r="F16" i="82"/>
  <c r="F13" i="82"/>
  <c r="F7" i="82"/>
  <c r="C76" i="82"/>
  <c r="F7" i="81"/>
  <c r="F43" i="82"/>
  <c r="F40" i="82"/>
  <c r="F36" i="82"/>
  <c r="L47" i="82"/>
  <c r="F38" i="82"/>
  <c r="M29" i="82"/>
  <c r="M9" i="82"/>
  <c r="M23" i="82"/>
  <c r="M8" i="82"/>
  <c r="D9" i="68"/>
  <c r="C16" i="15"/>
  <c r="M24" i="82"/>
  <c r="M26" i="82"/>
  <c r="J15" i="82"/>
  <c r="F8" i="82"/>
  <c r="M27" i="82"/>
  <c r="M29" i="81"/>
  <c r="F9" i="82"/>
  <c r="M22" i="82"/>
  <c r="F26" i="82"/>
  <c r="M6" i="82"/>
  <c r="F37" i="82"/>
  <c r="AB26" i="33"/>
  <c r="C7" i="74"/>
  <c r="E57" i="40"/>
  <c r="E51" i="40"/>
  <c r="E56" i="39"/>
  <c r="W25" i="34"/>
  <c r="O19" i="43"/>
  <c r="P22" i="43"/>
  <c r="P23" i="43"/>
  <c r="B71" i="39"/>
  <c r="P24" i="43"/>
  <c r="B66" i="40"/>
  <c r="P21" i="43"/>
  <c r="P25" i="43"/>
  <c r="D58" i="84"/>
  <c r="E58" i="84"/>
  <c r="F58" i="84"/>
  <c r="G58" i="84"/>
  <c r="H58" i="84"/>
  <c r="I58" i="84"/>
  <c r="J58" i="84"/>
  <c r="K58" i="84"/>
  <c r="L58" i="84"/>
  <c r="M58" i="84"/>
  <c r="N58" i="84"/>
  <c r="O58" i="84"/>
  <c r="H7" i="84"/>
  <c r="J7" i="84"/>
  <c r="F7" i="84"/>
  <c r="D17" i="71"/>
  <c r="C18" i="71"/>
  <c r="BL5" i="3"/>
  <c r="AZ35" i="3"/>
  <c r="AZ207" i="3"/>
  <c r="F48" i="71"/>
  <c r="Q49" i="71"/>
  <c r="C26" i="71"/>
  <c r="D25" i="71"/>
  <c r="AB38" i="40"/>
  <c r="U38" i="40"/>
  <c r="AA38" i="40"/>
  <c r="S38" i="40"/>
  <c r="U23" i="35"/>
  <c r="AB23" i="35"/>
  <c r="AC39" i="40"/>
  <c r="W39" i="40"/>
  <c r="AC24" i="36"/>
  <c r="W24" i="36"/>
  <c r="W12" i="36"/>
  <c r="AC12" i="36"/>
  <c r="AB36" i="39"/>
  <c r="U36" i="39"/>
  <c r="AA26" i="33"/>
  <c r="S26" i="33"/>
  <c r="AB11" i="36"/>
  <c r="U11" i="36"/>
  <c r="W40" i="37"/>
  <c r="AC40" i="37"/>
  <c r="C30" i="69"/>
  <c r="C48" i="69"/>
  <c r="C30" i="11"/>
  <c r="C48" i="11"/>
  <c r="E65" i="40"/>
  <c r="F63" i="40"/>
  <c r="D9" i="53"/>
  <c r="B25" i="72"/>
  <c r="B24" i="72"/>
  <c r="AA7" i="36"/>
  <c r="R36" i="36"/>
  <c r="S7" i="36"/>
  <c r="W7" i="37"/>
  <c r="AC7" i="37"/>
  <c r="V42" i="37"/>
  <c r="I42" i="37"/>
  <c r="U7" i="37"/>
  <c r="AB7" i="37"/>
  <c r="T42" i="37"/>
  <c r="G42" i="37"/>
  <c r="AC7" i="36"/>
  <c r="V36" i="36"/>
  <c r="I36" i="36"/>
  <c r="W7" i="36"/>
  <c r="AB7" i="21"/>
  <c r="T48" i="21"/>
  <c r="G48" i="21"/>
  <c r="U7" i="21"/>
  <c r="F7" i="21"/>
  <c r="W7" i="34"/>
  <c r="AC7" i="34"/>
  <c r="E53" i="3"/>
  <c r="C15" i="74"/>
  <c r="C16" i="74"/>
  <c r="D59" i="83"/>
  <c r="E59" i="83"/>
  <c r="F59" i="83"/>
  <c r="G59" i="83"/>
  <c r="H59" i="83"/>
  <c r="I59" i="83"/>
  <c r="J59" i="83"/>
  <c r="K59" i="83"/>
  <c r="L59" i="83"/>
  <c r="M59" i="83"/>
  <c r="N59" i="83"/>
  <c r="O59" i="83"/>
  <c r="F7" i="83"/>
  <c r="H7" i="83"/>
  <c r="J7" i="83"/>
  <c r="D13" i="71"/>
  <c r="C14" i="71"/>
  <c r="D21" i="71"/>
  <c r="C22" i="71"/>
  <c r="P49" i="71"/>
  <c r="E48" i="71"/>
  <c r="C42" i="71"/>
  <c r="D41" i="71"/>
  <c r="C34" i="71"/>
  <c r="D33" i="71"/>
  <c r="AC38" i="40"/>
  <c r="W38" i="40"/>
  <c r="AC23" i="35"/>
  <c r="W23" i="35"/>
  <c r="C38" i="71"/>
  <c r="D37" i="71"/>
  <c r="U39" i="40"/>
  <c r="AB39" i="40"/>
  <c r="AB24" i="36"/>
  <c r="U24" i="36"/>
  <c r="U12" i="36"/>
  <c r="AB12" i="36"/>
  <c r="AA9" i="34"/>
  <c r="S9" i="34"/>
  <c r="AC36" i="39"/>
  <c r="W36" i="39"/>
  <c r="AA11" i="36"/>
  <c r="S11" i="36"/>
  <c r="AA40" i="37"/>
  <c r="S40" i="37"/>
  <c r="C48" i="68"/>
  <c r="C30" i="68"/>
  <c r="U7" i="34"/>
  <c r="AB7" i="34"/>
  <c r="AB42" i="33"/>
  <c r="U42" i="33"/>
  <c r="D121" i="9"/>
  <c r="D7" i="52"/>
  <c r="K120" i="9"/>
  <c r="A18" i="62"/>
  <c r="B64" i="72"/>
  <c r="D6" i="52"/>
  <c r="U7" i="36"/>
  <c r="AB7" i="36"/>
  <c r="T36" i="36"/>
  <c r="G36" i="36"/>
  <c r="AA7" i="37"/>
  <c r="R42" i="37"/>
  <c r="S7" i="37"/>
  <c r="E48" i="35"/>
  <c r="AB7" i="33"/>
  <c r="U7" i="33"/>
  <c r="AC7" i="21"/>
  <c r="V48" i="21"/>
  <c r="I48" i="21"/>
  <c r="W7" i="21"/>
  <c r="S7" i="34"/>
  <c r="AA7" i="34"/>
  <c r="I68" i="39"/>
  <c r="H70" i="39"/>
  <c r="AA41" i="34"/>
  <c r="B40" i="1"/>
  <c r="F24" i="81"/>
  <c r="C24" i="81"/>
  <c r="E410" i="3"/>
  <c r="E453" i="3"/>
  <c r="E461" i="3"/>
  <c r="E301" i="3"/>
  <c r="E568" i="3"/>
  <c r="E361" i="3"/>
  <c r="E322" i="3"/>
  <c r="E159" i="3"/>
  <c r="E303" i="3"/>
  <c r="E536" i="3"/>
  <c r="E143" i="3"/>
  <c r="E388" i="3"/>
  <c r="E528" i="3"/>
  <c r="E539" i="3"/>
  <c r="E526" i="3"/>
  <c r="E191" i="3"/>
  <c r="E245" i="3"/>
  <c r="E263" i="3"/>
  <c r="E382" i="3"/>
  <c r="E549" i="3"/>
  <c r="I6" i="3"/>
  <c r="E397" i="3"/>
  <c r="E337" i="3"/>
  <c r="E555" i="3"/>
  <c r="E503" i="3"/>
  <c r="E183" i="3"/>
  <c r="E261" i="3"/>
  <c r="E567" i="3"/>
  <c r="AJ6" i="3"/>
  <c r="E268" i="3"/>
  <c r="E217" i="3"/>
  <c r="E236" i="3"/>
  <c r="E156" i="3"/>
  <c r="E136" i="3"/>
  <c r="E196" i="3"/>
  <c r="E262" i="3"/>
  <c r="E244" i="3"/>
  <c r="E296" i="3"/>
  <c r="E368" i="3"/>
  <c r="E306" i="3"/>
  <c r="E434" i="3"/>
  <c r="AK6" i="3"/>
  <c r="E16" i="3"/>
  <c r="E511" i="3"/>
  <c r="E314" i="3"/>
  <c r="E97" i="3"/>
  <c r="E285" i="3"/>
  <c r="E359" i="3"/>
  <c r="E574" i="3"/>
  <c r="O6" i="3"/>
  <c r="E302" i="3"/>
  <c r="E17" i="3"/>
  <c r="E213" i="3"/>
  <c r="E565" i="3"/>
  <c r="E304" i="3"/>
  <c r="E237" i="3"/>
  <c r="E510" i="3"/>
  <c r="E545" i="3"/>
  <c r="E329" i="3"/>
  <c r="N6" i="3"/>
  <c r="E282" i="3"/>
  <c r="E553" i="3"/>
  <c r="E366" i="3"/>
  <c r="E125" i="3"/>
  <c r="E350" i="3"/>
  <c r="E423" i="3"/>
  <c r="E402" i="3"/>
  <c r="E578" i="3"/>
  <c r="E586" i="3"/>
  <c r="AI6" i="3"/>
  <c r="AN6" i="3"/>
  <c r="E518" i="3"/>
  <c r="E495" i="3"/>
  <c r="E385" i="3"/>
  <c r="E353" i="3"/>
  <c r="E151" i="3"/>
  <c r="E201" i="3"/>
  <c r="E229" i="3"/>
  <c r="E247" i="3"/>
  <c r="E396" i="3"/>
  <c r="E431" i="3"/>
  <c r="E569" i="3"/>
  <c r="E579" i="3"/>
  <c r="E516" i="3"/>
  <c r="E509" i="3"/>
  <c r="E239" i="3"/>
  <c r="E535" i="3"/>
  <c r="E550" i="3"/>
  <c r="E445" i="3"/>
  <c r="E260" i="3"/>
  <c r="E172" i="3"/>
  <c r="E395" i="3"/>
  <c r="E563" i="3"/>
  <c r="E415" i="3"/>
  <c r="E278" i="3"/>
  <c r="E114" i="3"/>
  <c r="E69" i="3"/>
  <c r="E399" i="3"/>
  <c r="X6" i="3"/>
  <c r="AA6" i="3"/>
  <c r="E583" i="3"/>
  <c r="E347" i="3"/>
  <c r="E328" i="3"/>
  <c r="E508" i="3"/>
  <c r="E426" i="3"/>
  <c r="E305" i="3"/>
  <c r="E153" i="3"/>
  <c r="E343" i="3"/>
  <c r="E501" i="3"/>
  <c r="E530" i="3"/>
  <c r="E319" i="3"/>
  <c r="E175" i="3"/>
  <c r="E336" i="3"/>
  <c r="E280" i="3"/>
  <c r="E246" i="3"/>
  <c r="E124" i="3"/>
  <c r="E293" i="3"/>
  <c r="E311" i="3"/>
  <c r="E358" i="3"/>
  <c r="E514" i="3"/>
  <c r="E559" i="3"/>
  <c r="E570" i="3"/>
  <c r="E551" i="3"/>
  <c r="M6" i="3"/>
  <c r="V6" i="3"/>
  <c r="AB6" i="3"/>
  <c r="E407" i="3"/>
  <c r="E387" i="3"/>
  <c r="E320" i="3"/>
  <c r="E335" i="3"/>
  <c r="E294" i="3"/>
  <c r="E215" i="3"/>
  <c r="E230" i="3"/>
  <c r="E189" i="3"/>
  <c r="E130" i="3"/>
  <c r="E134"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414" i="3"/>
  <c r="E400" i="3"/>
  <c r="E432"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398" i="3"/>
  <c r="E430" i="3"/>
  <c r="E416" i="3"/>
  <c r="E449"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72"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62" i="3"/>
  <c r="E14"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M18" i="80"/>
  <c r="B118" i="80"/>
  <c r="M18" i="79"/>
  <c r="B118" i="79"/>
  <c r="F50" i="81"/>
  <c r="M7" i="81"/>
  <c r="F71" i="81"/>
  <c r="BA5" i="3"/>
  <c r="E27" i="6"/>
  <c r="K20" i="6"/>
  <c r="Q16" i="1"/>
  <c r="F28" i="12"/>
  <c r="C29" i="12"/>
  <c r="D28" i="12"/>
  <c r="D1" i="43"/>
  <c r="H38" i="43"/>
  <c r="M8" i="1"/>
  <c r="G27" i="6"/>
  <c r="G31" i="6"/>
  <c r="F10" i="40"/>
  <c r="AA10" i="40"/>
  <c r="AZ5" i="3"/>
  <c r="AY6" i="3"/>
  <c r="C9" i="68"/>
  <c r="J10" i="40"/>
  <c r="AC10" i="40"/>
  <c r="F10" i="39"/>
  <c r="AA10" i="39"/>
  <c r="J10" i="39"/>
  <c r="AC10" i="39"/>
  <c r="H10" i="39"/>
  <c r="AB10" i="39"/>
  <c r="AG11" i="43"/>
  <c r="AG13" i="43"/>
  <c r="Q71" i="82"/>
  <c r="F51" i="82"/>
  <c r="F50" i="82"/>
  <c r="M7" i="82"/>
  <c r="J6" i="82"/>
  <c r="C27" i="82"/>
  <c r="F64" i="82"/>
  <c r="F66" i="82"/>
  <c r="N59" i="82"/>
  <c r="L58" i="82"/>
  <c r="Q60" i="82"/>
  <c r="L59" i="82"/>
  <c r="Q61" i="82"/>
  <c r="M59" i="82"/>
  <c r="F65" i="82"/>
  <c r="F68" i="82"/>
  <c r="F71" i="82"/>
  <c r="L56" i="82"/>
  <c r="L60" i="82"/>
  <c r="Q66" i="82"/>
  <c r="J57" i="82"/>
  <c r="J55" i="82"/>
  <c r="J58" i="82"/>
  <c r="Q50" i="82"/>
  <c r="L57" i="82"/>
  <c r="I54" i="82"/>
  <c r="Q52" i="82"/>
  <c r="C15" i="12"/>
  <c r="G22" i="43"/>
  <c r="AE11" i="43"/>
  <c r="AE13" i="43"/>
  <c r="L101" i="43"/>
  <c r="L106" i="43"/>
  <c r="H22" i="43"/>
  <c r="AH11" i="43"/>
  <c r="AH13" i="43"/>
  <c r="J22" i="43"/>
  <c r="AF11" i="43"/>
  <c r="AF13" i="43"/>
  <c r="F22" i="43"/>
  <c r="C101" i="43"/>
  <c r="C102" i="43"/>
  <c r="Y11" i="43"/>
  <c r="Y13" i="43"/>
  <c r="Z11" i="43"/>
  <c r="Z13" i="43"/>
  <c r="I101" i="43"/>
  <c r="I109" i="43"/>
  <c r="N101" i="43"/>
  <c r="N105" i="43"/>
  <c r="Z7" i="43"/>
  <c r="E101" i="43"/>
  <c r="E103" i="43"/>
  <c r="G101" i="43"/>
  <c r="G105" i="43"/>
  <c r="E22" i="43"/>
  <c r="B113" i="43"/>
  <c r="B117" i="43"/>
  <c r="C117" i="43"/>
  <c r="AC11" i="43"/>
  <c r="AC13" i="43"/>
  <c r="AD11" i="43"/>
  <c r="AD13" i="43"/>
  <c r="H101" i="43"/>
  <c r="H103" i="43"/>
  <c r="J101" i="43"/>
  <c r="J104" i="43"/>
  <c r="K101" i="43"/>
  <c r="K103" i="43"/>
  <c r="AA11" i="43"/>
  <c r="AA13" i="43"/>
  <c r="AI11" i="43"/>
  <c r="AI13" i="43"/>
  <c r="AB11" i="43"/>
  <c r="AB13" i="43"/>
  <c r="AJ11" i="43"/>
  <c r="AJ13" i="43"/>
  <c r="M101" i="43"/>
  <c r="M103" i="43"/>
  <c r="N104" i="46"/>
  <c r="F101" i="43"/>
  <c r="F102" i="43"/>
  <c r="D101" i="43"/>
  <c r="D103" i="43"/>
  <c r="E16" i="6"/>
  <c r="N102" i="43"/>
  <c r="E60" i="40"/>
  <c r="E65" i="39"/>
  <c r="E58" i="40"/>
  <c r="E63" i="39"/>
  <c r="F27" i="69"/>
  <c r="U10" i="40"/>
  <c r="AB10" i="40"/>
  <c r="E30" i="6"/>
  <c r="K14" i="1"/>
  <c r="AC42" i="33"/>
  <c r="W42" i="33"/>
  <c r="AA42" i="33"/>
  <c r="S42" i="33"/>
  <c r="U25" i="33"/>
  <c r="AB25" i="33"/>
  <c r="AA25" i="33"/>
  <c r="S25" i="33"/>
  <c r="G101" i="33"/>
  <c r="H101" i="33"/>
  <c r="I101" i="33"/>
  <c r="J101" i="33"/>
  <c r="K101" i="33"/>
  <c r="L101" i="33"/>
  <c r="M101" i="33"/>
  <c r="H32" i="33"/>
  <c r="J32" i="33"/>
  <c r="S36" i="33"/>
  <c r="AA36" i="33"/>
  <c r="H111" i="33"/>
  <c r="I111" i="33"/>
  <c r="J111" i="33"/>
  <c r="K111" i="33"/>
  <c r="L111" i="33"/>
  <c r="M111" i="33"/>
  <c r="J36" i="33"/>
  <c r="H36" i="33"/>
  <c r="AA43" i="34"/>
  <c r="S43" i="34"/>
  <c r="AB43" i="34"/>
  <c r="T49" i="34"/>
  <c r="G49" i="34"/>
  <c r="G53" i="34"/>
  <c r="H53" i="34"/>
  <c r="U43" i="34"/>
  <c r="AC43" i="34"/>
  <c r="W43" i="34"/>
  <c r="AC41" i="34"/>
  <c r="W41" i="34"/>
  <c r="AA37" i="34"/>
  <c r="S37" i="34"/>
  <c r="W37" i="34"/>
  <c r="AC37" i="34"/>
  <c r="U37" i="34"/>
  <c r="AB37" i="34"/>
  <c r="V49" i="34"/>
  <c r="I49" i="34"/>
  <c r="I53" i="34"/>
  <c r="J53" i="34"/>
  <c r="AB25" i="34"/>
  <c r="U25" i="34"/>
  <c r="S25" i="34"/>
  <c r="AA25" i="34"/>
  <c r="K4" i="4"/>
  <c r="B46" i="48"/>
  <c r="B4" i="72"/>
  <c r="F11" i="82"/>
  <c r="C53" i="82"/>
  <c r="M11" i="82"/>
  <c r="F11" i="81"/>
  <c r="C53" i="81"/>
  <c r="M11" i="81"/>
  <c r="C15" i="67"/>
  <c r="C18" i="67"/>
  <c r="M11" i="15"/>
  <c r="J10" i="15"/>
  <c r="J5" i="15"/>
  <c r="F11" i="67"/>
  <c r="M11" i="67"/>
  <c r="J10" i="67"/>
  <c r="J5" i="67"/>
  <c r="F11" i="15"/>
  <c r="C53" i="15"/>
  <c r="Q66" i="15"/>
  <c r="Q57" i="15"/>
  <c r="C49" i="15"/>
  <c r="Q73" i="67"/>
  <c r="Q60" i="67"/>
  <c r="Q52" i="15"/>
  <c r="F1" i="15"/>
  <c r="O17" i="43"/>
  <c r="M17" i="43"/>
  <c r="P17" i="43"/>
  <c r="N17" i="43"/>
  <c r="G20" i="43"/>
  <c r="C20" i="43"/>
  <c r="Q74" i="15"/>
  <c r="Q61" i="15"/>
  <c r="Q73" i="15"/>
  <c r="Q60" i="15"/>
  <c r="Q61" i="67"/>
  <c r="Q74" i="67"/>
  <c r="L48" i="81"/>
  <c r="M9" i="81"/>
  <c r="C16" i="82"/>
  <c r="F16" i="81"/>
  <c r="J15" i="81"/>
  <c r="L47" i="81"/>
  <c r="F9" i="81"/>
  <c r="M28" i="81"/>
  <c r="F13" i="81"/>
  <c r="C76" i="81"/>
  <c r="M26" i="81"/>
  <c r="M24" i="81"/>
  <c r="F27" i="68"/>
  <c r="M8" i="81"/>
  <c r="F42" i="81"/>
  <c r="F38" i="81"/>
  <c r="F26" i="81"/>
  <c r="F36" i="81"/>
  <c r="F37" i="81"/>
  <c r="AE6" i="1"/>
  <c r="F40" i="81"/>
  <c r="M22" i="81"/>
  <c r="M6" i="81"/>
  <c r="M27" i="81"/>
  <c r="M23" i="81"/>
  <c r="F8" i="81"/>
  <c r="F24" i="82"/>
  <c r="C24" i="82"/>
  <c r="K107" i="43"/>
  <c r="K21" i="6"/>
  <c r="S8" i="1"/>
  <c r="E8" i="70"/>
  <c r="E31" i="6"/>
  <c r="S10" i="40"/>
  <c r="H102" i="43"/>
  <c r="K23" i="6"/>
  <c r="M23" i="6"/>
  <c r="I23" i="6"/>
  <c r="S23" i="6"/>
  <c r="K26" i="6"/>
  <c r="M26" i="6"/>
  <c r="I26" i="6"/>
  <c r="S26" i="6"/>
  <c r="K24" i="6"/>
  <c r="M24" i="6"/>
  <c r="I24" i="6"/>
  <c r="S24" i="6"/>
  <c r="W10" i="39"/>
  <c r="C103" i="43"/>
  <c r="K102" i="43"/>
  <c r="H107" i="43"/>
  <c r="N106" i="43"/>
  <c r="F22" i="11"/>
  <c r="C26" i="11"/>
  <c r="D22" i="11"/>
  <c r="K22" i="6"/>
  <c r="M22" i="6"/>
  <c r="I22" i="6"/>
  <c r="S22" i="6"/>
  <c r="K25" i="6"/>
  <c r="M25" i="6"/>
  <c r="I25" i="6"/>
  <c r="S25" i="6"/>
  <c r="K19" i="6"/>
  <c r="M19" i="6"/>
  <c r="E3" i="6"/>
  <c r="D3" i="84"/>
  <c r="F27" i="11"/>
  <c r="C29" i="11"/>
  <c r="D27" i="11"/>
  <c r="C109" i="43"/>
  <c r="W10" i="40"/>
  <c r="K105" i="43"/>
  <c r="H105" i="43"/>
  <c r="H104" i="43"/>
  <c r="N109" i="43"/>
  <c r="N107" i="43"/>
  <c r="G102" i="43"/>
  <c r="C105" i="43"/>
  <c r="C107" i="43"/>
  <c r="K106" i="43"/>
  <c r="K109" i="43"/>
  <c r="K104" i="43"/>
  <c r="H106" i="43"/>
  <c r="H109" i="43"/>
  <c r="N104" i="43"/>
  <c r="N103" i="43"/>
  <c r="F22" i="69"/>
  <c r="C44" i="69"/>
  <c r="D41" i="69"/>
  <c r="F24" i="67"/>
  <c r="C24" i="67"/>
  <c r="F24" i="15"/>
  <c r="C24" i="15"/>
  <c r="F22" i="68"/>
  <c r="C44" i="68"/>
  <c r="D41" i="68"/>
  <c r="F25" i="12"/>
  <c r="C26" i="12"/>
  <c r="D25" i="12"/>
  <c r="N59" i="81"/>
  <c r="L58" i="81"/>
  <c r="L59" i="81"/>
  <c r="M59" i="81"/>
  <c r="F51" i="81"/>
  <c r="C49" i="81"/>
  <c r="C48" i="81"/>
  <c r="C60" i="81"/>
  <c r="F65" i="81"/>
  <c r="F64" i="81"/>
  <c r="C27" i="81"/>
  <c r="Q71" i="81"/>
  <c r="F66" i="81"/>
  <c r="L56" i="81"/>
  <c r="L60" i="81"/>
  <c r="J53" i="81"/>
  <c r="L57" i="81"/>
  <c r="I54" i="81"/>
  <c r="J57" i="81"/>
  <c r="J55" i="81"/>
  <c r="J58" i="81"/>
  <c r="Q50" i="81"/>
  <c r="F68" i="81"/>
  <c r="J6" i="81"/>
  <c r="F48" i="35"/>
  <c r="E42" i="37"/>
  <c r="R43" i="37"/>
  <c r="U7" i="83"/>
  <c r="AB7" i="83"/>
  <c r="T49" i="83"/>
  <c r="G49" i="83"/>
  <c r="S7" i="21"/>
  <c r="AA7" i="21"/>
  <c r="R48" i="21"/>
  <c r="G52" i="21"/>
  <c r="H52" i="21"/>
  <c r="G53" i="21"/>
  <c r="H53" i="21"/>
  <c r="G46" i="37"/>
  <c r="H46" i="37"/>
  <c r="G47" i="37"/>
  <c r="H47" i="37"/>
  <c r="I47" i="37"/>
  <c r="J47" i="37"/>
  <c r="I46" i="37"/>
  <c r="J46" i="37"/>
  <c r="F65" i="40"/>
  <c r="G63" i="40"/>
  <c r="W7" i="84"/>
  <c r="AC7" i="84"/>
  <c r="V48" i="84"/>
  <c r="I48" i="84"/>
  <c r="R48" i="33"/>
  <c r="E48" i="33"/>
  <c r="E52" i="33"/>
  <c r="F52" i="33"/>
  <c r="J68" i="39"/>
  <c r="I70" i="39"/>
  <c r="I52" i="21"/>
  <c r="J52" i="21"/>
  <c r="G40" i="36"/>
  <c r="H40" i="36"/>
  <c r="G41" i="36"/>
  <c r="H41" i="36"/>
  <c r="D38" i="71"/>
  <c r="T38" i="71"/>
  <c r="D34" i="71"/>
  <c r="T34" i="71"/>
  <c r="D42" i="71"/>
  <c r="T42" i="71"/>
  <c r="P48" i="71"/>
  <c r="P47" i="71"/>
  <c r="D22" i="71"/>
  <c r="M19" i="43"/>
  <c r="T22" i="71"/>
  <c r="D14" i="71"/>
  <c r="M20" i="43"/>
  <c r="C19" i="43"/>
  <c r="T14" i="71"/>
  <c r="AC7" i="83"/>
  <c r="V49" i="83"/>
  <c r="I49" i="83"/>
  <c r="I53" i="83"/>
  <c r="J53" i="83"/>
  <c r="W7" i="83"/>
  <c r="AA7" i="83"/>
  <c r="R49" i="83"/>
  <c r="S7" i="83"/>
  <c r="I40" i="36"/>
  <c r="J40" i="36"/>
  <c r="E36" i="36"/>
  <c r="R37" i="36"/>
  <c r="D26" i="71"/>
  <c r="T26" i="71"/>
  <c r="Q48" i="71"/>
  <c r="Q47" i="71"/>
  <c r="D18" i="71"/>
  <c r="T18" i="71"/>
  <c r="S7" i="84"/>
  <c r="AA7" i="84"/>
  <c r="R48" i="84"/>
  <c r="U7" i="84"/>
  <c r="AB7" i="84"/>
  <c r="T48" i="84"/>
  <c r="G48" i="84"/>
  <c r="R49" i="34"/>
  <c r="E49" i="34"/>
  <c r="E53" i="34"/>
  <c r="F53" i="34"/>
  <c r="H6" i="3"/>
  <c r="AC6" i="3"/>
  <c r="J10" i="81"/>
  <c r="J5" i="81"/>
  <c r="J26" i="81"/>
  <c r="F109" i="43"/>
  <c r="M104" i="43"/>
  <c r="F103" i="43"/>
  <c r="G107" i="43"/>
  <c r="B116" i="43"/>
  <c r="C116" i="43"/>
  <c r="F106" i="43"/>
  <c r="F104" i="43"/>
  <c r="M109" i="43"/>
  <c r="G106" i="43"/>
  <c r="I118" i="43"/>
  <c r="J118" i="43"/>
  <c r="K118" i="43"/>
  <c r="L118" i="43"/>
  <c r="M118" i="43"/>
  <c r="D115" i="43"/>
  <c r="E115" i="43"/>
  <c r="F115" i="43"/>
  <c r="G115" i="43"/>
  <c r="H115" i="43"/>
  <c r="F105" i="43"/>
  <c r="F107" i="43"/>
  <c r="M105" i="43"/>
  <c r="M107" i="43"/>
  <c r="G104" i="43"/>
  <c r="G109" i="43"/>
  <c r="G103" i="43"/>
  <c r="J10" i="82"/>
  <c r="J5" i="82"/>
  <c r="J26" i="82"/>
  <c r="D22" i="43"/>
  <c r="C21" i="43"/>
  <c r="Q73" i="82"/>
  <c r="Q57" i="82"/>
  <c r="Q74" i="82"/>
  <c r="U10" i="39"/>
  <c r="S10" i="39"/>
  <c r="J107" i="43"/>
  <c r="L102" i="43"/>
  <c r="L109" i="43"/>
  <c r="C49" i="82"/>
  <c r="C48" i="82"/>
  <c r="M20" i="6"/>
  <c r="I20" i="6"/>
  <c r="S20" i="6"/>
  <c r="M21" i="6"/>
  <c r="I21" i="6"/>
  <c r="S21" i="6"/>
  <c r="E102" i="43"/>
  <c r="D102" i="43"/>
  <c r="I102" i="43"/>
  <c r="J102" i="43"/>
  <c r="M102" i="43"/>
  <c r="I103" i="43"/>
  <c r="J103" i="43"/>
  <c r="L103" i="43"/>
  <c r="C104" i="43"/>
  <c r="D104" i="43"/>
  <c r="E104" i="43"/>
  <c r="I104" i="43"/>
  <c r="L104" i="43"/>
  <c r="D105" i="43"/>
  <c r="E105" i="43"/>
  <c r="I105" i="43"/>
  <c r="J105" i="43"/>
  <c r="L105" i="43"/>
  <c r="C106" i="43"/>
  <c r="D106" i="43"/>
  <c r="E106" i="43"/>
  <c r="I106" i="43"/>
  <c r="J106" i="43"/>
  <c r="M106" i="43"/>
  <c r="D107" i="43"/>
  <c r="E107" i="43"/>
  <c r="I107" i="43"/>
  <c r="L107" i="43"/>
  <c r="C23" i="43"/>
  <c r="I115" i="43"/>
  <c r="J115" i="43"/>
  <c r="K115" i="43"/>
  <c r="L115" i="43"/>
  <c r="M115" i="43"/>
  <c r="D116" i="43"/>
  <c r="E116" i="43"/>
  <c r="F116" i="43"/>
  <c r="G116" i="43"/>
  <c r="H116" i="43"/>
  <c r="I117" i="43"/>
  <c r="J117" i="43"/>
  <c r="K117" i="43"/>
  <c r="L117" i="43"/>
  <c r="M117" i="43"/>
  <c r="B115" i="43"/>
  <c r="C115" i="43"/>
  <c r="E109" i="43"/>
  <c r="G118" i="43"/>
  <c r="H118" i="43"/>
  <c r="D118" i="43"/>
  <c r="E118" i="43"/>
  <c r="F118" i="43"/>
  <c r="B118" i="43"/>
  <c r="C118" i="43"/>
  <c r="I116" i="43"/>
  <c r="J116" i="43"/>
  <c r="K116" i="43"/>
  <c r="L116" i="43"/>
  <c r="M116" i="43"/>
  <c r="D117" i="43"/>
  <c r="E117" i="43"/>
  <c r="F117" i="43"/>
  <c r="G117" i="43"/>
  <c r="H117" i="43"/>
  <c r="J109" i="43"/>
  <c r="D109" i="43"/>
  <c r="E66" i="39"/>
  <c r="C29" i="68"/>
  <c r="D27" i="68"/>
  <c r="C47" i="68"/>
  <c r="D45" i="68"/>
  <c r="C47" i="69"/>
  <c r="D45" i="69"/>
  <c r="C29" i="69"/>
  <c r="D27" i="69"/>
  <c r="K16" i="1"/>
  <c r="M14" i="1"/>
  <c r="C34" i="69"/>
  <c r="AY103" i="3"/>
  <c r="AY98" i="3"/>
  <c r="AY67" i="3"/>
  <c r="D3" i="6"/>
  <c r="AY83"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87"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76" i="3"/>
  <c r="AY44" i="3"/>
  <c r="AY33" i="3"/>
  <c r="AY190" i="3"/>
  <c r="AY185" i="3"/>
  <c r="AY154" i="3"/>
  <c r="AY165" i="3"/>
  <c r="AY133" i="3"/>
  <c r="AY125" i="3"/>
  <c r="AY283" i="3"/>
  <c r="AY278" i="3"/>
  <c r="AY247" i="3"/>
  <c r="AY262" i="3"/>
  <c r="AY230" i="3"/>
  <c r="AY219" i="3"/>
  <c r="AY397"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5" i="3"/>
  <c r="AY60" i="3"/>
  <c r="AY28" i="3"/>
  <c r="AY206" i="3"/>
  <c r="AY201" i="3"/>
  <c r="AY170" i="3"/>
  <c r="AY138" i="3"/>
  <c r="AY149" i="3"/>
  <c r="AY118" i="3"/>
  <c r="AY299" i="3"/>
  <c r="AY294" i="3"/>
  <c r="AY263" i="3"/>
  <c r="AY231" i="3"/>
  <c r="AY246" i="3"/>
  <c r="AY214" i="3"/>
  <c r="AY392"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415" i="3"/>
  <c r="AY505" i="3"/>
  <c r="AY538"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512"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D3" i="34"/>
  <c r="D3" i="33"/>
  <c r="D14" i="12"/>
  <c r="C17" i="4"/>
  <c r="B4" i="52"/>
  <c r="B43" i="72"/>
  <c r="W32" i="33"/>
  <c r="AC32" i="33"/>
  <c r="AB32" i="33"/>
  <c r="U32" i="33"/>
  <c r="W36" i="33"/>
  <c r="AC36" i="33"/>
  <c r="AB36" i="33"/>
  <c r="U36" i="33"/>
  <c r="G54" i="34"/>
  <c r="H54" i="34"/>
  <c r="E54" i="34"/>
  <c r="F54" i="34"/>
  <c r="C19" i="67"/>
  <c r="C20" i="67"/>
  <c r="C26" i="67"/>
  <c r="C48" i="15"/>
  <c r="C66" i="15"/>
  <c r="J18" i="67"/>
  <c r="J24" i="67"/>
  <c r="J26" i="67"/>
  <c r="J29" i="67"/>
  <c r="J18" i="15"/>
  <c r="J24" i="15"/>
  <c r="J26" i="15"/>
  <c r="C10" i="67"/>
  <c r="C5" i="67"/>
  <c r="C53" i="67"/>
  <c r="C48" i="67"/>
  <c r="F41" i="15"/>
  <c r="F6" i="81"/>
  <c r="C16" i="81"/>
  <c r="C17" i="81"/>
  <c r="C17" i="82"/>
  <c r="R50" i="34"/>
  <c r="C50" i="34"/>
  <c r="B3" i="34"/>
  <c r="I54" i="34"/>
  <c r="J54" i="34"/>
  <c r="C26" i="68"/>
  <c r="D22" i="68"/>
  <c r="C44" i="11"/>
  <c r="D41" i="11"/>
  <c r="D3" i="21"/>
  <c r="D19" i="11"/>
  <c r="C19" i="11"/>
  <c r="C24" i="11"/>
  <c r="C23" i="11"/>
  <c r="E6" i="6"/>
  <c r="D3" i="37"/>
  <c r="D37" i="11"/>
  <c r="C37" i="11"/>
  <c r="D3" i="83"/>
  <c r="C47" i="11"/>
  <c r="D45" i="11"/>
  <c r="K27" i="6"/>
  <c r="S6" i="1"/>
  <c r="AR6" i="1"/>
  <c r="C26" i="69"/>
  <c r="D22" i="69"/>
  <c r="F69" i="15"/>
  <c r="C36" i="43"/>
  <c r="G36" i="43"/>
  <c r="I36" i="43"/>
  <c r="C35" i="43"/>
  <c r="E35" i="43"/>
  <c r="T10" i="43"/>
  <c r="V10" i="43"/>
  <c r="C38" i="43"/>
  <c r="E38" i="43"/>
  <c r="T9" i="43"/>
  <c r="V9" i="43"/>
  <c r="T12" i="43"/>
  <c r="V12" i="43"/>
  <c r="T8" i="43"/>
  <c r="V8" i="43"/>
  <c r="C37" i="43"/>
  <c r="E37" i="43"/>
  <c r="C33" i="43"/>
  <c r="G33" i="43"/>
  <c r="I33" i="43"/>
  <c r="C34" i="43"/>
  <c r="G34" i="43"/>
  <c r="I34" i="43"/>
  <c r="T11" i="43"/>
  <c r="V11" i="43"/>
  <c r="T16" i="43"/>
  <c r="V16" i="43"/>
  <c r="T13" i="43"/>
  <c r="V13" i="43"/>
  <c r="C39" i="43"/>
  <c r="E39" i="43"/>
  <c r="T14" i="43"/>
  <c r="V14" i="43"/>
  <c r="T15" i="43"/>
  <c r="V15" i="43"/>
  <c r="E40" i="36"/>
  <c r="F40" i="36"/>
  <c r="E41" i="36"/>
  <c r="F41" i="36"/>
  <c r="I41" i="36"/>
  <c r="J41" i="36"/>
  <c r="E47" i="37"/>
  <c r="F47" i="37"/>
  <c r="E46" i="37"/>
  <c r="F46" i="37"/>
  <c r="Q66" i="81"/>
  <c r="Q57" i="81"/>
  <c r="Q74" i="81"/>
  <c r="Q61" i="81"/>
  <c r="J29" i="15"/>
  <c r="T48" i="33"/>
  <c r="G48" i="33"/>
  <c r="E53" i="33"/>
  <c r="F53" i="33"/>
  <c r="C29" i="43"/>
  <c r="E29" i="43"/>
  <c r="G53" i="84"/>
  <c r="H53" i="84"/>
  <c r="G52" i="84"/>
  <c r="H52" i="84"/>
  <c r="E48" i="84"/>
  <c r="I53" i="84"/>
  <c r="J53" i="84"/>
  <c r="R49" i="84"/>
  <c r="J24" i="81"/>
  <c r="V48" i="33"/>
  <c r="I48" i="33"/>
  <c r="I52" i="33"/>
  <c r="J52" i="33"/>
  <c r="C36" i="36"/>
  <c r="C37" i="36"/>
  <c r="B2" i="36"/>
  <c r="B3" i="36"/>
  <c r="R50" i="83"/>
  <c r="E49" i="83"/>
  <c r="K68" i="39"/>
  <c r="J70" i="39"/>
  <c r="I52" i="84"/>
  <c r="J52" i="84"/>
  <c r="G65" i="40"/>
  <c r="H63" i="40"/>
  <c r="E48" i="21"/>
  <c r="R49" i="21"/>
  <c r="G54" i="83"/>
  <c r="H54" i="83"/>
  <c r="G53" i="83"/>
  <c r="H53" i="83"/>
  <c r="C42" i="37"/>
  <c r="C43" i="37"/>
  <c r="B2" i="37"/>
  <c r="B3" i="37"/>
  <c r="G48" i="35"/>
  <c r="Q52" i="81"/>
  <c r="F1" i="81"/>
  <c r="Q73" i="81"/>
  <c r="Q60" i="81"/>
  <c r="E6" i="3"/>
  <c r="J18" i="81"/>
  <c r="J18" i="82"/>
  <c r="J24" i="82"/>
  <c r="E7" i="70"/>
  <c r="S6" i="43"/>
  <c r="T6" i="43"/>
  <c r="V6" i="43"/>
  <c r="S4" i="43"/>
  <c r="T4" i="43"/>
  <c r="V4" i="43"/>
  <c r="S5" i="43"/>
  <c r="T5" i="43"/>
  <c r="V5" i="43"/>
  <c r="S2" i="43"/>
  <c r="T2" i="43"/>
  <c r="V2" i="43"/>
  <c r="S3" i="43"/>
  <c r="T3" i="43"/>
  <c r="V3" i="43"/>
  <c r="S7" i="43"/>
  <c r="T7" i="43"/>
  <c r="V7" i="43"/>
  <c r="D113" i="43"/>
  <c r="C60" i="82"/>
  <c r="C66" i="82"/>
  <c r="AQ8" i="1"/>
  <c r="AR8" i="1"/>
  <c r="T8" i="1"/>
  <c r="AQ7" i="1"/>
  <c r="T7" i="1"/>
  <c r="AR7" i="1"/>
  <c r="AQ6" i="1"/>
  <c r="I19" i="6"/>
  <c r="H19" i="6"/>
  <c r="M27" i="6"/>
  <c r="D10" i="11"/>
  <c r="C10" i="11"/>
  <c r="D20" i="12"/>
  <c r="C20" i="12"/>
  <c r="C18" i="12"/>
  <c r="D10" i="69"/>
  <c r="D17" i="12"/>
  <c r="C17" i="12"/>
  <c r="C14" i="12"/>
  <c r="C16" i="12"/>
  <c r="C20" i="11"/>
  <c r="C25" i="11"/>
  <c r="M16" i="1"/>
  <c r="D19" i="6"/>
  <c r="D26" i="6"/>
  <c r="C18" i="4"/>
  <c r="D8" i="6"/>
  <c r="D23" i="6"/>
  <c r="D14" i="6"/>
  <c r="D5" i="6"/>
  <c r="D12" i="6"/>
  <c r="D11" i="6"/>
  <c r="D13" i="6"/>
  <c r="D28" i="6"/>
  <c r="E61" i="40"/>
  <c r="H23" i="6"/>
  <c r="H26" i="6"/>
  <c r="H20" i="6"/>
  <c r="D25" i="6"/>
  <c r="D15" i="6"/>
  <c r="D22" i="6"/>
  <c r="D21" i="6"/>
  <c r="D24" i="6"/>
  <c r="D20" i="6"/>
  <c r="D6" i="6"/>
  <c r="D9" i="6"/>
  <c r="D10" i="6"/>
  <c r="D29" i="6"/>
  <c r="H25" i="6"/>
  <c r="H22" i="6"/>
  <c r="H21" i="6"/>
  <c r="H24" i="6"/>
  <c r="C35" i="69"/>
  <c r="C38" i="69"/>
  <c r="I53" i="33"/>
  <c r="J53" i="33"/>
  <c r="G53" i="33"/>
  <c r="H53" i="33"/>
  <c r="C6" i="81"/>
  <c r="C10" i="81"/>
  <c r="C5" i="81"/>
  <c r="C32" i="81"/>
  <c r="C66" i="81"/>
  <c r="C60" i="15"/>
  <c r="C23" i="67"/>
  <c r="C29" i="67"/>
  <c r="C38" i="67"/>
  <c r="C32" i="67"/>
  <c r="C60" i="67"/>
  <c r="C66" i="67"/>
  <c r="C20" i="9"/>
  <c r="D10" i="68"/>
  <c r="F41" i="82"/>
  <c r="AE8" i="1"/>
  <c r="C14" i="82"/>
  <c r="C14" i="81"/>
  <c r="C17" i="15"/>
  <c r="C49" i="34"/>
  <c r="G52" i="33"/>
  <c r="H52" i="33"/>
  <c r="R49" i="33"/>
  <c r="C49" i="33"/>
  <c r="B2" i="33"/>
  <c r="E36" i="43"/>
  <c r="C103" i="9"/>
  <c r="B2" i="34"/>
  <c r="C22" i="11"/>
  <c r="S16" i="1"/>
  <c r="E6" i="70"/>
  <c r="E2" i="70"/>
  <c r="T6" i="1"/>
  <c r="T16" i="1"/>
  <c r="E33" i="43"/>
  <c r="C30" i="43"/>
  <c r="E30" i="43"/>
  <c r="E34" i="43"/>
  <c r="G35" i="43"/>
  <c r="I35" i="43"/>
  <c r="G37" i="43"/>
  <c r="I37" i="43"/>
  <c r="G38" i="43"/>
  <c r="I38" i="43"/>
  <c r="H48" i="35"/>
  <c r="E52" i="21"/>
  <c r="F52" i="21"/>
  <c r="E53" i="21"/>
  <c r="F53" i="21"/>
  <c r="I53" i="21"/>
  <c r="J53" i="21"/>
  <c r="L68" i="39"/>
  <c r="K70" i="39"/>
  <c r="C49" i="83"/>
  <c r="C50" i="83"/>
  <c r="E53" i="84"/>
  <c r="F53" i="84"/>
  <c r="E52" i="84"/>
  <c r="F52" i="84"/>
  <c r="C48" i="21"/>
  <c r="C49" i="21"/>
  <c r="B2" i="21"/>
  <c r="B3" i="21"/>
  <c r="H65" i="40"/>
  <c r="I63" i="40"/>
  <c r="I54" i="83"/>
  <c r="J54" i="83"/>
  <c r="E53" i="83"/>
  <c r="F53" i="83"/>
  <c r="E54" i="83"/>
  <c r="F54" i="83"/>
  <c r="C49" i="84"/>
  <c r="B2" i="84"/>
  <c r="B3" i="84"/>
  <c r="C48" i="84"/>
  <c r="F69" i="82"/>
  <c r="J29" i="82"/>
  <c r="C18" i="82"/>
  <c r="C15" i="82"/>
  <c r="C28" i="11"/>
  <c r="C27" i="11"/>
  <c r="R21" i="6"/>
  <c r="R8" i="1"/>
  <c r="C21" i="12"/>
  <c r="C22" i="12"/>
  <c r="C30" i="12"/>
  <c r="C28" i="12"/>
  <c r="R20" i="6"/>
  <c r="C15" i="81"/>
  <c r="C18" i="81"/>
  <c r="R24" i="6"/>
  <c r="R22" i="6"/>
  <c r="R25" i="6"/>
  <c r="H27" i="6"/>
  <c r="D30" i="6"/>
  <c r="R23" i="6"/>
  <c r="A7" i="51"/>
  <c r="B7" i="72"/>
  <c r="C4" i="52"/>
  <c r="B45" i="72"/>
  <c r="A10" i="51"/>
  <c r="B9" i="72"/>
  <c r="L19" i="80"/>
  <c r="M19" i="79"/>
  <c r="C118" i="79"/>
  <c r="M19" i="80"/>
  <c r="C118" i="80"/>
  <c r="L19" i="79"/>
  <c r="M19" i="9"/>
  <c r="C118" i="9"/>
  <c r="C14" i="74"/>
  <c r="B2" i="74"/>
  <c r="L19" i="9"/>
  <c r="R19" i="6"/>
  <c r="D27" i="6"/>
  <c r="D31" i="6"/>
  <c r="N16" i="1"/>
  <c r="L16" i="1"/>
  <c r="C34" i="11"/>
  <c r="C10" i="68"/>
  <c r="D19" i="68"/>
  <c r="L18" i="80"/>
  <c r="L18" i="79"/>
  <c r="L18" i="9"/>
  <c r="S19" i="6"/>
  <c r="S27" i="6"/>
  <c r="I27" i="6"/>
  <c r="D16" i="6"/>
  <c r="R26" i="6"/>
  <c r="D19" i="69"/>
  <c r="C10" i="69"/>
  <c r="C8" i="69"/>
  <c r="C5" i="69"/>
  <c r="C23" i="69"/>
  <c r="C48" i="33"/>
  <c r="C38" i="81"/>
  <c r="C33" i="81"/>
  <c r="Q49" i="67"/>
  <c r="J14" i="67"/>
  <c r="C13" i="67"/>
  <c r="J19" i="67"/>
  <c r="J17" i="67"/>
  <c r="C36" i="67"/>
  <c r="C33" i="67"/>
  <c r="C31" i="67"/>
  <c r="C57" i="67"/>
  <c r="J59" i="67"/>
  <c r="J60" i="67"/>
  <c r="C19" i="79"/>
  <c r="C19" i="9"/>
  <c r="F41" i="81"/>
  <c r="C34" i="68"/>
  <c r="C14" i="15"/>
  <c r="F35" i="82"/>
  <c r="M21" i="82"/>
  <c r="F6" i="82"/>
  <c r="C102" i="79"/>
  <c r="B3" i="33"/>
  <c r="C26" i="43"/>
  <c r="C6" i="68"/>
  <c r="C7" i="68"/>
  <c r="C5" i="68"/>
  <c r="C23" i="68"/>
  <c r="C102" i="9"/>
  <c r="C21" i="9"/>
  <c r="F69" i="81"/>
  <c r="J29" i="81"/>
  <c r="C31" i="11"/>
  <c r="C18" i="15"/>
  <c r="C15" i="15"/>
  <c r="C27" i="43"/>
  <c r="C6" i="82"/>
  <c r="C10" i="82"/>
  <c r="C5" i="82"/>
  <c r="J63" i="40"/>
  <c r="I65" i="40"/>
  <c r="L70" i="39"/>
  <c r="M68" i="39"/>
  <c r="U6" i="1"/>
  <c r="B2" i="83"/>
  <c r="B3" i="83"/>
  <c r="I48" i="35"/>
  <c r="C19" i="82"/>
  <c r="C20" i="82"/>
  <c r="C26" i="82"/>
  <c r="C34" i="82"/>
  <c r="F63" i="82"/>
  <c r="C62" i="82"/>
  <c r="J20" i="82"/>
  <c r="C19" i="81"/>
  <c r="C20" i="81"/>
  <c r="C26" i="81"/>
  <c r="C27" i="12"/>
  <c r="C25" i="12"/>
  <c r="C32" i="12"/>
  <c r="B2" i="12"/>
  <c r="B3" i="12"/>
  <c r="D37" i="68"/>
  <c r="C37" i="68"/>
  <c r="C19" i="68"/>
  <c r="C38" i="68"/>
  <c r="C35" i="68"/>
  <c r="I6" i="6"/>
  <c r="I5" i="6"/>
  <c r="C21" i="79"/>
  <c r="C35" i="11"/>
  <c r="C38" i="11"/>
  <c r="F50" i="11"/>
  <c r="F50" i="68"/>
  <c r="F50" i="69"/>
  <c r="R6" i="1"/>
  <c r="R27" i="6"/>
  <c r="D7" i="74"/>
  <c r="D8" i="74"/>
  <c r="D37" i="69"/>
  <c r="C37" i="69"/>
  <c r="C33" i="69"/>
  <c r="C19" i="69"/>
  <c r="Q48" i="67"/>
  <c r="C37" i="67"/>
  <c r="C30" i="67"/>
  <c r="C39" i="67"/>
  <c r="L51" i="67"/>
  <c r="L57" i="67"/>
  <c r="L60" i="67"/>
  <c r="L46" i="67"/>
  <c r="J22" i="67"/>
  <c r="J13" i="67"/>
  <c r="J23" i="67"/>
  <c r="C61" i="67"/>
  <c r="C59" i="67"/>
  <c r="C64" i="67"/>
  <c r="Q70" i="67"/>
  <c r="C56" i="67"/>
  <c r="C65" i="67"/>
  <c r="C75" i="67"/>
  <c r="C20" i="79"/>
  <c r="E6" i="76"/>
  <c r="F35" i="81"/>
  <c r="M21" i="15"/>
  <c r="F6" i="15"/>
  <c r="F35" i="15"/>
  <c r="M21" i="81"/>
  <c r="C103" i="79"/>
  <c r="B2" i="43"/>
  <c r="B3" i="43"/>
  <c r="C19" i="15"/>
  <c r="C20" i="15"/>
  <c r="C23" i="15"/>
  <c r="E2" i="76"/>
  <c r="C6" i="15"/>
  <c r="C10" i="15"/>
  <c r="C5" i="15"/>
  <c r="J48" i="35"/>
  <c r="N68" i="39"/>
  <c r="M70" i="39"/>
  <c r="J65" i="40"/>
  <c r="K63" i="40"/>
  <c r="C32" i="82"/>
  <c r="C38" i="82"/>
  <c r="C33" i="82"/>
  <c r="C23" i="82"/>
  <c r="C29" i="82"/>
  <c r="J59" i="82"/>
  <c r="J60" i="82"/>
  <c r="C33" i="68"/>
  <c r="C42" i="68"/>
  <c r="C33" i="11"/>
  <c r="C42" i="11"/>
  <c r="J20" i="81"/>
  <c r="F63" i="81"/>
  <c r="C62" i="81"/>
  <c r="C34" i="81"/>
  <c r="C31" i="81"/>
  <c r="J20" i="15"/>
  <c r="C34" i="15"/>
  <c r="F63" i="15"/>
  <c r="C62" i="15"/>
  <c r="C39" i="69"/>
  <c r="C42" i="69"/>
  <c r="C23" i="81"/>
  <c r="C29" i="81"/>
  <c r="J59" i="81"/>
  <c r="J60" i="81"/>
  <c r="C20" i="69"/>
  <c r="C24" i="69"/>
  <c r="C20" i="68"/>
  <c r="C24" i="68"/>
  <c r="R16" i="1"/>
  <c r="C58" i="67"/>
  <c r="C67" i="67"/>
  <c r="C68" i="67"/>
  <c r="C71" i="67"/>
  <c r="J16" i="67"/>
  <c r="J25" i="67"/>
  <c r="C40" i="67"/>
  <c r="Q69" i="67"/>
  <c r="Q68" i="67"/>
  <c r="C80" i="67"/>
  <c r="C79" i="67"/>
  <c r="B6" i="76"/>
  <c r="B2" i="76"/>
  <c r="B3" i="76"/>
  <c r="Q48" i="82"/>
  <c r="L46" i="82"/>
  <c r="Q48" i="81"/>
  <c r="L46" i="81"/>
  <c r="C39" i="11"/>
  <c r="C46" i="11"/>
  <c r="C45" i="11"/>
  <c r="C26" i="15"/>
  <c r="C29" i="15"/>
  <c r="C31" i="82"/>
  <c r="L63" i="40"/>
  <c r="K65" i="40"/>
  <c r="K48" i="35"/>
  <c r="O68" i="39"/>
  <c r="O70" i="39"/>
  <c r="N70" i="39"/>
  <c r="C32" i="15"/>
  <c r="C38" i="15"/>
  <c r="C33" i="15"/>
  <c r="C39" i="68"/>
  <c r="C46" i="68"/>
  <c r="C45" i="68"/>
  <c r="C13" i="82"/>
  <c r="Q49" i="82"/>
  <c r="C36" i="82"/>
  <c r="C57" i="82"/>
  <c r="J19" i="82"/>
  <c r="J17" i="82"/>
  <c r="J14" i="82"/>
  <c r="C28" i="68"/>
  <c r="C27" i="68"/>
  <c r="C25" i="68"/>
  <c r="C22" i="68"/>
  <c r="C28" i="69"/>
  <c r="C27" i="69"/>
  <c r="C25" i="69"/>
  <c r="C22" i="69"/>
  <c r="Q49" i="81"/>
  <c r="C36" i="81"/>
  <c r="C13" i="81"/>
  <c r="C57" i="81"/>
  <c r="J14" i="81"/>
  <c r="J19" i="81"/>
  <c r="J17" i="81"/>
  <c r="C46" i="69"/>
  <c r="C45" i="69"/>
  <c r="C43" i="69"/>
  <c r="C41" i="69"/>
  <c r="C45" i="67"/>
  <c r="C46" i="67"/>
  <c r="Q67" i="67"/>
  <c r="Q65" i="67"/>
  <c r="Q56" i="67"/>
  <c r="Q47" i="67"/>
  <c r="Q53" i="67"/>
  <c r="D2" i="67"/>
  <c r="C43" i="67"/>
  <c r="C83" i="67"/>
  <c r="C82" i="67"/>
  <c r="C57" i="15"/>
  <c r="C61" i="15"/>
  <c r="C59" i="15"/>
  <c r="J59" i="15"/>
  <c r="J60" i="15"/>
  <c r="C43" i="11"/>
  <c r="C41" i="11"/>
  <c r="C49" i="11"/>
  <c r="C51" i="11"/>
  <c r="C52" i="11"/>
  <c r="B2" i="11"/>
  <c r="B3" i="11"/>
  <c r="C13" i="15"/>
  <c r="Q70" i="15"/>
  <c r="J14" i="15"/>
  <c r="J22" i="15"/>
  <c r="J19" i="15"/>
  <c r="J17" i="15"/>
  <c r="Q49" i="15"/>
  <c r="C36" i="15"/>
  <c r="C31" i="15"/>
  <c r="J7" i="39"/>
  <c r="H7" i="39"/>
  <c r="F7" i="39"/>
  <c r="L48" i="35"/>
  <c r="L65" i="40"/>
  <c r="M63" i="40"/>
  <c r="C43" i="68"/>
  <c r="C41" i="68"/>
  <c r="C49" i="68"/>
  <c r="C51" i="68"/>
  <c r="Q70" i="82"/>
  <c r="C75" i="82"/>
  <c r="C37" i="82"/>
  <c r="C30" i="82"/>
  <c r="C39" i="82"/>
  <c r="C56" i="82"/>
  <c r="C65" i="82"/>
  <c r="J13" i="82"/>
  <c r="J23" i="82"/>
  <c r="J22" i="82"/>
  <c r="C64" i="82"/>
  <c r="C61" i="82"/>
  <c r="C59" i="82"/>
  <c r="C49" i="69"/>
  <c r="C51" i="69"/>
  <c r="C31" i="69"/>
  <c r="C31" i="68"/>
  <c r="C64" i="81"/>
  <c r="C61" i="81"/>
  <c r="C59" i="81"/>
  <c r="J13" i="81"/>
  <c r="J23" i="81"/>
  <c r="J22" i="81"/>
  <c r="Q70" i="81"/>
  <c r="C56" i="81"/>
  <c r="C65" i="81"/>
  <c r="C37" i="81"/>
  <c r="C30" i="81"/>
  <c r="C39" i="81"/>
  <c r="C75" i="81"/>
  <c r="C56" i="15"/>
  <c r="C65" i="15"/>
  <c r="B2" i="67"/>
  <c r="B3" i="67"/>
  <c r="Q57" i="67"/>
  <c r="Q62" i="67"/>
  <c r="Q66" i="67"/>
  <c r="Q75" i="67"/>
  <c r="L51" i="81"/>
  <c r="L51" i="82"/>
  <c r="C64" i="15"/>
  <c r="C58" i="15"/>
  <c r="C67" i="15"/>
  <c r="C68" i="15"/>
  <c r="Q48" i="15"/>
  <c r="L46" i="15"/>
  <c r="C75" i="15"/>
  <c r="J13" i="15"/>
  <c r="J23" i="15"/>
  <c r="J16" i="15"/>
  <c r="J25" i="15"/>
  <c r="C37" i="15"/>
  <c r="C30" i="15"/>
  <c r="C39" i="15"/>
  <c r="N63" i="40"/>
  <c r="M65" i="40"/>
  <c r="M48" i="35"/>
  <c r="N48" i="35"/>
  <c r="O48" i="35"/>
  <c r="H7" i="35"/>
  <c r="AB7" i="39"/>
  <c r="T47" i="39"/>
  <c r="G47" i="39"/>
  <c r="U7" i="39"/>
  <c r="S7" i="39"/>
  <c r="AA7" i="39"/>
  <c r="R47" i="39"/>
  <c r="W7" i="39"/>
  <c r="AC7" i="39"/>
  <c r="V47" i="39"/>
  <c r="I47" i="39"/>
  <c r="J16" i="82"/>
  <c r="J25" i="82"/>
  <c r="Q67" i="82"/>
  <c r="C80" i="82"/>
  <c r="C79" i="82"/>
  <c r="C40" i="82"/>
  <c r="Q69" i="82"/>
  <c r="Q68" i="82"/>
  <c r="C58" i="82"/>
  <c r="C67" i="82"/>
  <c r="C68" i="82"/>
  <c r="C52" i="68"/>
  <c r="B2" i="68"/>
  <c r="C52" i="69"/>
  <c r="C57" i="69"/>
  <c r="C56" i="69"/>
  <c r="C58" i="81"/>
  <c r="C67" i="81"/>
  <c r="C68" i="81"/>
  <c r="C71" i="81"/>
  <c r="Q67" i="81"/>
  <c r="Q69" i="81"/>
  <c r="Q68" i="81"/>
  <c r="C40" i="81"/>
  <c r="C80" i="81"/>
  <c r="C79" i="81"/>
  <c r="J16" i="81"/>
  <c r="J25" i="81"/>
  <c r="C56" i="11"/>
  <c r="C57" i="11"/>
  <c r="L51" i="15"/>
  <c r="C19" i="80"/>
  <c r="B3" i="68"/>
  <c r="C80" i="15"/>
  <c r="C79" i="15"/>
  <c r="Q69" i="15"/>
  <c r="Q68" i="15"/>
  <c r="C40" i="15"/>
  <c r="Q65" i="15"/>
  <c r="Q75" i="15"/>
  <c r="Q67" i="15"/>
  <c r="I51" i="39"/>
  <c r="J51" i="39"/>
  <c r="U7" i="35"/>
  <c r="AB7" i="35"/>
  <c r="T38" i="35"/>
  <c r="G38" i="35"/>
  <c r="R48" i="39"/>
  <c r="E47" i="39"/>
  <c r="G51" i="39"/>
  <c r="H51" i="39"/>
  <c r="G52" i="39"/>
  <c r="H52" i="39"/>
  <c r="J7" i="35"/>
  <c r="F7" i="35"/>
  <c r="O63" i="40"/>
  <c r="O65" i="40"/>
  <c r="N65" i="40"/>
  <c r="C57" i="68"/>
  <c r="C56" i="68"/>
  <c r="B2" i="69"/>
  <c r="B3" i="69"/>
  <c r="C71" i="82"/>
  <c r="C46" i="82"/>
  <c r="Q47" i="82"/>
  <c r="Q53" i="82"/>
  <c r="Q56" i="82"/>
  <c r="Q62" i="82"/>
  <c r="C83" i="82"/>
  <c r="C82" i="82"/>
  <c r="Q65" i="82"/>
  <c r="Q75" i="82"/>
  <c r="C43" i="82"/>
  <c r="B2" i="82"/>
  <c r="C102" i="80"/>
  <c r="C21" i="80"/>
  <c r="C46" i="81"/>
  <c r="C43" i="15"/>
  <c r="C71" i="15"/>
  <c r="Q47" i="81"/>
  <c r="Q53" i="81"/>
  <c r="C83" i="81"/>
  <c r="C82" i="81"/>
  <c r="Q65" i="81"/>
  <c r="Q75" i="81"/>
  <c r="Q56" i="81"/>
  <c r="Q62" i="81"/>
  <c r="B2" i="81"/>
  <c r="C43" i="81"/>
  <c r="D19" i="80"/>
  <c r="AO7" i="1"/>
  <c r="AO8" i="1"/>
  <c r="C20" i="80"/>
  <c r="D19" i="79"/>
  <c r="B2" i="15"/>
  <c r="B3" i="15"/>
  <c r="Q47" i="15"/>
  <c r="Q53" i="15"/>
  <c r="C46" i="15"/>
  <c r="C83" i="15"/>
  <c r="C82" i="15"/>
  <c r="Q56" i="15"/>
  <c r="Q62" i="15"/>
  <c r="AA7" i="35"/>
  <c r="R38" i="35"/>
  <c r="S7" i="35"/>
  <c r="E51" i="39"/>
  <c r="F51" i="39"/>
  <c r="E52" i="39"/>
  <c r="F52" i="39"/>
  <c r="G42" i="35"/>
  <c r="H42" i="35"/>
  <c r="I52" i="39"/>
  <c r="J52" i="39"/>
  <c r="H7" i="40"/>
  <c r="F7" i="40"/>
  <c r="J7" i="40"/>
  <c r="W7" i="35"/>
  <c r="AC7" i="35"/>
  <c r="V38" i="35"/>
  <c r="I38" i="35"/>
  <c r="G43" i="35"/>
  <c r="H43" i="35"/>
  <c r="C48" i="39"/>
  <c r="C47" i="39"/>
  <c r="C103" i="80"/>
  <c r="D102" i="79"/>
  <c r="D22" i="79"/>
  <c r="G19" i="79"/>
  <c r="D21" i="79"/>
  <c r="B7" i="70"/>
  <c r="B3" i="82"/>
  <c r="D102" i="80"/>
  <c r="D21" i="80"/>
  <c r="G19" i="80"/>
  <c r="D22" i="80"/>
  <c r="B8" i="70"/>
  <c r="B3" i="81"/>
  <c r="D19" i="9"/>
  <c r="AO6" i="1"/>
  <c r="D20" i="9"/>
  <c r="D20" i="80"/>
  <c r="D20" i="79"/>
  <c r="G19" i="9"/>
  <c r="G21" i="9"/>
  <c r="D21" i="9"/>
  <c r="D102" i="9"/>
  <c r="D22" i="9"/>
  <c r="B6" i="70"/>
  <c r="B2" i="70"/>
  <c r="B3" i="70"/>
  <c r="W7" i="40"/>
  <c r="AC7" i="40"/>
  <c r="V42" i="40"/>
  <c r="I42" i="40"/>
  <c r="AB7" i="40"/>
  <c r="T42" i="40"/>
  <c r="G42" i="40"/>
  <c r="U7" i="40"/>
  <c r="I42" i="35"/>
  <c r="J42" i="35"/>
  <c r="B56" i="39"/>
  <c r="F56" i="39"/>
  <c r="F66" i="39"/>
  <c r="B2" i="39"/>
  <c r="B3" i="39"/>
  <c r="B65" i="39"/>
  <c r="F65" i="39"/>
  <c r="B60" i="39"/>
  <c r="F60" i="39"/>
  <c r="B64" i="39"/>
  <c r="F64" i="39"/>
  <c r="B62" i="39"/>
  <c r="F62" i="39"/>
  <c r="B61" i="39"/>
  <c r="F61" i="39"/>
  <c r="B59" i="39"/>
  <c r="F59" i="39"/>
  <c r="B63" i="39"/>
  <c r="F63" i="39"/>
  <c r="B58" i="39"/>
  <c r="F58" i="39"/>
  <c r="B57" i="39"/>
  <c r="F57" i="39"/>
  <c r="AA7" i="40"/>
  <c r="R42" i="40"/>
  <c r="S7" i="40"/>
  <c r="E38" i="35"/>
  <c r="I43" i="35"/>
  <c r="J43" i="35"/>
  <c r="R39" i="35"/>
  <c r="G21" i="80"/>
  <c r="D16" i="74"/>
  <c r="G16" i="74"/>
  <c r="C32" i="80"/>
  <c r="H118" i="80"/>
  <c r="G20" i="79"/>
  <c r="D103" i="79"/>
  <c r="C32" i="79"/>
  <c r="G21" i="79"/>
  <c r="D103" i="80"/>
  <c r="G20" i="80"/>
  <c r="G20" i="9"/>
  <c r="D103" i="9"/>
  <c r="C32" i="9"/>
  <c r="C35" i="9"/>
  <c r="F118" i="9"/>
  <c r="C35" i="80"/>
  <c r="F118" i="80"/>
  <c r="G118" i="80"/>
  <c r="C38" i="35"/>
  <c r="C39" i="35"/>
  <c r="B2" i="35"/>
  <c r="B3" i="35"/>
  <c r="I46" i="40"/>
  <c r="J46" i="40"/>
  <c r="E43" i="35"/>
  <c r="F43" i="35"/>
  <c r="E42" i="35"/>
  <c r="F42" i="35"/>
  <c r="R43" i="40"/>
  <c r="E42" i="40"/>
  <c r="G46" i="40"/>
  <c r="H46" i="40"/>
  <c r="G47" i="40"/>
  <c r="H47" i="40"/>
  <c r="E16" i="74"/>
  <c r="F16" i="74"/>
  <c r="H118" i="79"/>
  <c r="C35" i="79"/>
  <c r="F118" i="79"/>
  <c r="H119" i="80"/>
  <c r="I118" i="80"/>
  <c r="H101" i="80"/>
  <c r="C104" i="80"/>
  <c r="H118" i="9"/>
  <c r="C104" i="9"/>
  <c r="C34" i="80"/>
  <c r="D118" i="80"/>
  <c r="D119" i="80"/>
  <c r="F119" i="80"/>
  <c r="E46" i="40"/>
  <c r="F46" i="40"/>
  <c r="E47" i="40"/>
  <c r="F47" i="40"/>
  <c r="I47" i="40"/>
  <c r="J47" i="40"/>
  <c r="C43" i="40"/>
  <c r="C42" i="40"/>
  <c r="C34" i="79"/>
  <c r="D118" i="79"/>
  <c r="D119" i="79"/>
  <c r="H101" i="79"/>
  <c r="I118" i="79"/>
  <c r="J3" i="78"/>
  <c r="J4" i="78"/>
  <c r="H119" i="79"/>
  <c r="C104" i="79"/>
  <c r="G118" i="79"/>
  <c r="F119" i="79"/>
  <c r="E118" i="80"/>
  <c r="H102" i="80"/>
  <c r="C105" i="80"/>
  <c r="H107" i="80"/>
  <c r="M48" i="80"/>
  <c r="D45" i="80"/>
  <c r="C34" i="9"/>
  <c r="D118" i="9"/>
  <c r="D4" i="52"/>
  <c r="B47" i="72"/>
  <c r="H4" i="52"/>
  <c r="F119" i="9"/>
  <c r="F5" i="52"/>
  <c r="B53" i="72"/>
  <c r="F4" i="52"/>
  <c r="B51" i="72"/>
  <c r="G118" i="9"/>
  <c r="G4" i="52"/>
  <c r="B52" i="72"/>
  <c r="H101" i="9"/>
  <c r="D45" i="9"/>
  <c r="H119" i="9"/>
  <c r="H5" i="52"/>
  <c r="I118" i="9"/>
  <c r="C105" i="9"/>
  <c r="D14" i="74"/>
  <c r="F14" i="74"/>
  <c r="J6" i="78"/>
  <c r="L6" i="78"/>
  <c r="B57" i="40"/>
  <c r="F57" i="40"/>
  <c r="B59" i="40"/>
  <c r="F59" i="40"/>
  <c r="B56" i="40"/>
  <c r="F56" i="40"/>
  <c r="B54" i="40"/>
  <c r="F54" i="40"/>
  <c r="B53" i="40"/>
  <c r="F53" i="40"/>
  <c r="B58" i="40"/>
  <c r="F58" i="40"/>
  <c r="B52" i="40"/>
  <c r="F52" i="40"/>
  <c r="B51" i="40"/>
  <c r="F51" i="40"/>
  <c r="B55" i="40"/>
  <c r="F55" i="40"/>
  <c r="B60" i="40"/>
  <c r="F60" i="40"/>
  <c r="F61" i="40"/>
  <c r="B2" i="40"/>
  <c r="B3" i="40"/>
  <c r="L4" i="78"/>
  <c r="J5" i="78"/>
  <c r="L5" i="78"/>
  <c r="L3" i="78"/>
  <c r="D45" i="79"/>
  <c r="M48" i="79"/>
  <c r="H107" i="79"/>
  <c r="C105" i="79"/>
  <c r="H102" i="79"/>
  <c r="E118" i="79"/>
  <c r="D55" i="80"/>
  <c r="M53" i="80"/>
  <c r="C78" i="80"/>
  <c r="C73" i="80"/>
  <c r="D52" i="80"/>
  <c r="C93" i="80"/>
  <c r="C86" i="80"/>
  <c r="C85" i="80"/>
  <c r="C72" i="80"/>
  <c r="C64" i="80"/>
  <c r="C63" i="80"/>
  <c r="C67" i="80"/>
  <c r="C68" i="80"/>
  <c r="D54" i="80"/>
  <c r="D53" i="80"/>
  <c r="M49" i="80"/>
  <c r="H108" i="80"/>
  <c r="D122" i="80"/>
  <c r="D123" i="80"/>
  <c r="D119" i="9"/>
  <c r="D5" i="52"/>
  <c r="B49" i="72"/>
  <c r="E14" i="74"/>
  <c r="D5" i="53"/>
  <c r="H107" i="9"/>
  <c r="M49" i="9"/>
  <c r="E118" i="9"/>
  <c r="E4" i="52"/>
  <c r="B48" i="72"/>
  <c r="M48" i="9"/>
  <c r="H102" i="9"/>
  <c r="D7" i="53"/>
  <c r="B21" i="72"/>
  <c r="I4" i="52"/>
  <c r="L7" i="78"/>
  <c r="D15" i="74"/>
  <c r="C79" i="80"/>
  <c r="C80" i="80"/>
  <c r="E80" i="80"/>
  <c r="E81" i="80"/>
  <c r="C95" i="80"/>
  <c r="C96" i="80"/>
  <c r="E96" i="80"/>
  <c r="E97" i="80"/>
  <c r="D122" i="79"/>
  <c r="D123" i="79"/>
  <c r="H108" i="79"/>
  <c r="M49" i="79"/>
  <c r="C64" i="79"/>
  <c r="C63" i="79"/>
  <c r="C67" i="79"/>
  <c r="C68" i="79"/>
  <c r="D54" i="79"/>
  <c r="C78" i="79"/>
  <c r="C73" i="79"/>
  <c r="D55" i="79"/>
  <c r="M53" i="79"/>
  <c r="C72" i="79"/>
  <c r="D52" i="79"/>
  <c r="D53" i="79"/>
  <c r="C85" i="79"/>
  <c r="C93" i="79"/>
  <c r="C86" i="79"/>
  <c r="L64" i="80"/>
  <c r="M64" i="80"/>
  <c r="L65" i="80"/>
  <c r="M65" i="80"/>
  <c r="L66" i="80"/>
  <c r="M66" i="80"/>
  <c r="L68" i="80"/>
  <c r="M68" i="80"/>
  <c r="L63" i="80"/>
  <c r="M63" i="80"/>
  <c r="L67" i="80"/>
  <c r="M67" i="80"/>
  <c r="D6" i="53"/>
  <c r="B22" i="72"/>
  <c r="B20" i="72"/>
  <c r="C93" i="9"/>
  <c r="C86" i="9"/>
  <c r="C72" i="9"/>
  <c r="C85" i="9"/>
  <c r="C64" i="9"/>
  <c r="C63" i="9"/>
  <c r="C67" i="9"/>
  <c r="C68" i="9"/>
  <c r="D54" i="9"/>
  <c r="D53" i="9"/>
  <c r="D52" i="9"/>
  <c r="C78" i="9"/>
  <c r="C73" i="9"/>
  <c r="D55" i="9"/>
  <c r="M53" i="9"/>
  <c r="D13" i="53"/>
  <c r="D14" i="53"/>
  <c r="B32" i="72"/>
  <c r="D122" i="9"/>
  <c r="H108" i="9"/>
  <c r="D15" i="53"/>
  <c r="B31" i="72"/>
  <c r="G15" i="74"/>
  <c r="F15" i="74"/>
  <c r="E15" i="74"/>
  <c r="B5" i="74"/>
  <c r="C79" i="79"/>
  <c r="C80" i="79"/>
  <c r="E80" i="79"/>
  <c r="E81" i="79"/>
  <c r="C95" i="79"/>
  <c r="C96" i="79"/>
  <c r="E96" i="79"/>
  <c r="E97" i="79"/>
  <c r="L68" i="79"/>
  <c r="M68" i="79"/>
  <c r="L66" i="79"/>
  <c r="M66" i="79"/>
  <c r="L64" i="79"/>
  <c r="M64" i="79"/>
  <c r="L67" i="79"/>
  <c r="M67" i="79"/>
  <c r="L65" i="79"/>
  <c r="M65" i="79"/>
  <c r="L63" i="79"/>
  <c r="M63" i="79"/>
  <c r="C97" i="80"/>
  <c r="D58" i="80"/>
  <c r="D56" i="80"/>
  <c r="M54" i="80"/>
  <c r="N57" i="80"/>
  <c r="P57" i="80"/>
  <c r="M69" i="80"/>
  <c r="N69" i="80"/>
  <c r="C81" i="80"/>
  <c r="C97" i="79"/>
  <c r="D58" i="79"/>
  <c r="D56" i="79"/>
  <c r="M54" i="79"/>
  <c r="N57" i="79"/>
  <c r="N58" i="79"/>
  <c r="C95" i="9"/>
  <c r="L68" i="9"/>
  <c r="M68" i="9"/>
  <c r="L66" i="9"/>
  <c r="M66" i="9"/>
  <c r="L63" i="9"/>
  <c r="M63" i="9"/>
  <c r="L65" i="9"/>
  <c r="M65" i="9"/>
  <c r="L64" i="9"/>
  <c r="M64" i="9"/>
  <c r="L67" i="9"/>
  <c r="M67" i="9"/>
  <c r="C79" i="9"/>
  <c r="D123" i="9"/>
  <c r="D9" i="52"/>
  <c r="G14" i="74"/>
  <c r="D8" i="52"/>
  <c r="B30" i="72"/>
  <c r="B6" i="74"/>
  <c r="D6" i="74"/>
  <c r="D5" i="74"/>
  <c r="C5" i="74"/>
  <c r="C81" i="79"/>
  <c r="M69" i="79"/>
  <c r="N69" i="79"/>
  <c r="N58" i="80"/>
  <c r="N59" i="80"/>
  <c r="N61" i="80"/>
  <c r="P57" i="79"/>
  <c r="N59" i="79"/>
  <c r="N60" i="79"/>
  <c r="M69" i="9"/>
  <c r="N69" i="9"/>
  <c r="C6" i="74"/>
  <c r="C80" i="9"/>
  <c r="E80" i="9"/>
  <c r="E81" i="9"/>
  <c r="C96" i="9"/>
  <c r="E96" i="9"/>
  <c r="E97" i="9"/>
  <c r="N60" i="80"/>
  <c r="N61" i="79"/>
  <c r="C97" i="9"/>
  <c r="D58" i="9"/>
  <c r="D56" i="9"/>
  <c r="M54" i="9"/>
  <c r="N57" i="9"/>
  <c r="P57" i="9"/>
  <c r="C81" i="9"/>
  <c r="N58"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<sst xmlns="http://schemas.openxmlformats.org/spreadsheetml/2006/main" count="10348" uniqueCount="3551">
  <si>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</si>
  <si>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</si>
  <si>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</si>
  <si>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</si>
  <si>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</si>
  <si>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</si>
  <si>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</si>
  <si>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</si>
  <si>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</si>
  <si>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</si>
  <si>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</si>
  <si>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</si>
  <si>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</si>
  <si>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</si>
  <si>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</si>
  <si>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</si>
  <si>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</si>
  <si>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</si>
  <si>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</si>
  <si>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</si>
  <si>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</si>
  <si>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</si>
  <si>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</si>
  <si>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</si>
  <si>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</si>
  <si>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</si>
  <si>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</si>
  <si>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</si>
  <si>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</si>
  <si>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</si>
  <si>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</si>
  <si>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</si>
  <si>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</si>
  <si>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</si>
  <si>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</si>
  <si>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</si>
  <si>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</si>
  <si>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</si>
  <si>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</si>
  <si>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</si>
  <si>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</si>
  <si>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</si>
  <si>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</si>
  <si>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</si>
  <si>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</si>
  <si>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</si>
  <si>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</si>
  <si>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</si>
  <si>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</si>
  <si>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</si>
  <si>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</si>
  <si>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</si>
  <si>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</si>
  <si>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</si>
  <si>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</si>
  <si>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</si>
  <si>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</si>
  <si>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</si>
  <si>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</si>
  <si>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</si>
  <si>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</si>
  <si>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</si>
  <si>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</si>
  <si>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</si>
  <si>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</si>
  <si>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</si>
  <si>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</si>
  <si>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</si>
  <si>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</si>
  <si>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</si>
  <si>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</si>
  <si>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</si>
  <si>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</si>
  <si>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</si>
  <si>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</si>
  <si>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</si>
  <si>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</si>
  <si>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</si>
  <si>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</si>
  <si>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</si>
  <si>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</si>
  <si>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</si>
  <si>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</si>
  <si>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</si>
  <si>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</si>
  <si>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</si>
  <si>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</si>
  <si>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</si>
  <si>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</si>
  <si>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</si>
  <si>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</si>
  <si>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</si>
  <si>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</si>
  <si>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</si>
  <si>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</si>
  <si>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</si>
  <si>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</si>
  <si>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</si>
  <si>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</si>
  <si>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</si>
  <si>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</si>
  <si>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</si>
  <si>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</si>
  <si>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</si>
  <si>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</si>
  <si>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</si>
  <si>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</si>
  <si>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</si>
  <si>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</si>
  <si>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</si>
  <si>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</si>
  <si>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</si>
  <si>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</si>
  <si>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</si>
  <si>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</si>
  <si>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</si>
  <si>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</si>
  <si>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</si>
  <si>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</si>
  <si>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</si>
  <si>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</si>
  <si>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</si>
  <si>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</si>
  <si>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</si>
  <si>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</si>
  <si>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</si>
  <si>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</si>
  <si>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</si>
  <si>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</si>
  <si>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</si>
  <si>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</si>
  <si>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</si>
  <si>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</si>
  <si>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</si>
  <si>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</si>
  <si>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</si>
  <si>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</si>
  <si>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</si>
  <si>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</si>
  <si>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</si>
  <si>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</si>
  <si>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</si>
  <si>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</si>
  <si>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</si>
  <si>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</si>
  <si>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</si>
  <si>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</si>
  <si>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</si>
  <si>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</si>
  <si>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</si>
  <si>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</si>
  <si>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</si>
  <si>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</si>
  <si>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</si>
  <si>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</si>
  <si>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</si>
  <si>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</si>
  <si>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</si>
  <si>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</si>
  <si>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</si>
  <si>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</si>
  <si>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</si>
  <si>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</si>
  <si>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</si>
  <si>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</si>
  <si>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</si>
  <si>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</si>
  <si>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</si>
  <si>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</si>
  <si>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</si>
  <si>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</si>
  <si>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</si>
  <si>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</si>
  <si>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</si>
  <si>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</si>
  <si>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</si>
  <si>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</si>
  <si>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</si>
  <si>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</si>
  <si>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</si>
  <si>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</si>
  <si>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</si>
  <si>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</si>
  <si>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</si>
  <si>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</si>
  <si>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</si>
  <si>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</si>
  <si>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</si>
  <si>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</si>
  <si>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</si>
  <si>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</si>
  <si>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</si>
  <si>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</si>
  <si>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</si>
  <si>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</si>
  <si>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</si>
  <si>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</si>
  <si>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</si>
  <si>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</si>
  <si>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</si>
  <si>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</si>
  <si>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</si>
  <si>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</si>
  <si>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</si>
  <si>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</si>
  <si>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</si>
  <si>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</si>
  <si>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</si>
  <si>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</si>
  <si>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</si>
  <si>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</si>
  <si>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</si>
  <si>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</si>
  <si>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</si>
  <si>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</si>
  <si>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</si>
  <si>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</si>
  <si>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</si>
  <si>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</si>
  <si>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</si>
  <si>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</si>
  <si>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</si>
  <si>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</si>
  <si>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</si>
  <si>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</si>
  <si>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</si>
  <si>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</si>
  <si>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</si>
  <si>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</si>
  <si>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</si>
  <si>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</si>
  <si>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</si>
  <si>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</si>
  <si>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</si>
  <si>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</si>
  <si>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</si>
  <si>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</si>
  <si>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</si>
  <si>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</si>
  <si>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</si>
  <si>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</si>
  <si>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</si>
  <si>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</si>
  <si>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</si>
  <si>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</si>
  <si>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</si>
  <si>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</si>
  <si>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</si>
  <si>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</si>
  <si>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</si>
  <si>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</si>
  <si>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</si>
  <si>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</si>
  <si>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</si>
  <si>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</si>
  <si>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</si>
  <si>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</si>
  <si>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</si>
  <si>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</si>
  <si>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</si>
  <si>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</si>
  <si>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</si>
  <si>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</si>
  <si>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</si>
  <si>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</si>
  <si>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</si>
  <si>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</si>
  <si>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</si>
  <si>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</si>
  <si>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</si>
  <si>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</si>
  <si>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</si>
  <si>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</si>
  <si>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</si>
  <si>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</si>
  <si>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</si>
  <si>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</si>
  <si>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</si>
  <si>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</si>
  <si>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</si>
  <si>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</si>
  <si>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</si>
  <si>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</si>
  <si>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</si>
  <si>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</si>
  <si>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</si>
  <si>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</si>
  <si>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</si>
  <si>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</si>
  <si>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</si>
  <si>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</si>
  <si>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</si>
  <si>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</si>
  <si>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</si>
  <si>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</si>
  <si>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</si>
  <si>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</si>
  <si>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</si>
  <si>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</si>
  <si>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</si>
  <si>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</si>
  <si>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</si>
  <si>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</si>
  <si>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</si>
  <si>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</si>
  <si>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</si>
  <si>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</si>
  <si>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</si>
  <si>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</si>
  <si>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</si>
  <si>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</si>
  <si>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</si>
  <si>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</si>
  <si>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</si>
  <si>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</si>
  <si>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</si>
  <si>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</si>
  <si>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</si>
  <si>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</si>
  <si>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</si>
  <si>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</si>
  <si>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</si>
  <si>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</si>
  <si>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</si>
  <si>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</si>
  <si>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</si>
  <si>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</si>
  <si>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</si>
  <si>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</si>
  <si>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</si>
  <si>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</si>
  <si>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</si>
  <si>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</si>
  <si>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</si>
  <si>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</si>
  <si>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</si>
  <si>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</si>
  <si>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</si>
  <si>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</si>
  <si>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</si>
  <si>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</si>
  <si>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</si>
  <si>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</si>
  <si>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</si>
  <si>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</si>
  <si>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</si>
  <si>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</si>
  <si>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</si>
  <si>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</si>
  <si>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</si>
  <si>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</si>
  <si>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</si>
  <si>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</si>
  <si>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</si>
  <si>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</si>
  <si>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</si>
  <si>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</si>
  <si>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</si>
  <si>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</si>
  <si>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</si>
  <si>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</si>
  <si>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</si>
  <si>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</si>
  <si>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</si>
  <si>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</si>
  <si>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</si>
  <si>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</si>
  <si>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</si>
  <si>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</si>
  <si>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</si>
  <si>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</si>
  <si>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</si>
  <si>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</si>
  <si>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</si>
  <si>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</si>
  <si>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</si>
  <si>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</si>
  <si>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</si>
  <si>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</si>
  <si>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</si>
  <si>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</si>
  <si>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</si>
  <si>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</si>
  <si>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</si>
  <si>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</si>
  <si>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</si>
  <si>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</si>
  <si>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</si>
  <si>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</si>
  <si>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</si>
  <si>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</si>
  <si>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</si>
  <si>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</si>
  <si>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</si>
  <si>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</si>
  <si>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</si>
  <si>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</si>
  <si>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</si>
  <si>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</si>
  <si>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</si>
  <si>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</si>
  <si>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</si>
  <si>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</si>
  <si>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</si>
  <si>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</si>
  <si>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</si>
  <si>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</si>
  <si>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</si>
  <si>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</si>
  <si>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</si>
  <si>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</si>
  <si>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</si>
  <si>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</si>
  <si>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</si>
  <si>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</si>
  <si>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</si>
  <si>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</si>
  <si>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</si>
  <si>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</si>
  <si>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</si>
  <si>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</si>
  <si>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</si>
  <si>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</si>
  <si>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</si>
  <si>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</si>
  <si>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</si>
  <si>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</si>
  <si>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</si>
  <si>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</si>
  <si>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</si>
  <si>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</si>
  <si>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</si>
  <si>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</si>
  <si>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</si>
  <si>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</si>
  <si>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</si>
  <si>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</si>
  <si>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</si>
  <si>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</si>
  <si>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</si>
  <si>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</si>
  <si>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</si>
  <si>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</si>
  <si>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</si>
  <si>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</si>
  <si>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</si>
  <si>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</si>
  <si>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</si>
  <si>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</si>
  <si>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</si>
  <si>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</si>
  <si>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</si>
  <si>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</si>
  <si>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</si>
  <si>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</si>
  <si>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</si>
  <si>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</si>
  <si>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</si>
  <si>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</si>
  <si>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</si>
  <si>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</si>
  <si>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</si>
  <si>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</si>
  <si>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</si>
  <si>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</si>
  <si>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</si>
  <si>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</si>
  <si>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</si>
  <si>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</si>
  <si>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</si>
  <si>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</si>
  <si>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</si>
  <si>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</si>
  <si>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</si>
  <si>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</si>
  <si>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</si>
  <si>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</si>
  <si>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</si>
  <si>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</si>
  <si>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</si>
  <si>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</si>
  <si>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</si>
  <si>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</si>
  <si>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</si>
  <si>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</si>
  <si>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</si>
  <si>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</si>
  <si>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</si>
  <si>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</si>
  <si>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</si>
  <si>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</si>
  <si>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</si>
  <si>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</si>
  <si>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</si>
  <si>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</si>
  <si>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</si>
  <si>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</si>
  <si>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</si>
  <si>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</si>
  <si>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</si>
  <si>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</si>
  <si>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</si>
  <si>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</si>
  <si>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</si>
  <si>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</si>
  <si>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</si>
  <si>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</si>
  <si>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</si>
  <si>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</si>
  <si>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</si>
  <si>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</si>
  <si>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</si>
  <si>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</si>
  <si>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</si>
  <si>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</si>
  <si>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</si>
  <si>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</si>
  <si>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</si>
  <si>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</si>
  <si>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</si>
  <si>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</si>
  <si>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</si>
  <si>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</si>
  <si>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</si>
  <si>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</si>
  <si>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</si>
  <si>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</si>
  <si>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</si>
  <si>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</si>
  <si>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</si>
  <si>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</si>
  <si>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</si>
  <si>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</si>
  <si>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</si>
  <si>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</si>
  <si>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</si>
  <si>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</si>
  <si>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</si>
  <si>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</si>
  <si>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</si>
  <si>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</si>
  <si>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</si>
  <si>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</si>
  <si>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</si>
  <si>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</si>
  <si>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</si>
  <si>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</si>
  <si>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</si>
  <si>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</si>
  <si>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</si>
  <si>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</si>
  <si>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</si>
  <si>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</si>
  <si>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</si>
  <si>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</si>
  <si>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</si>
  <si>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</si>
  <si>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</si>
  <si>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</si>
  <si>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</si>
  <si>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</si>
  <si>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</si>
  <si>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</si>
  <si>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</si>
  <si>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</si>
  <si>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</si>
  <si>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</si>
  <si>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</si>
  <si>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</si>
  <si>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</si>
  <si>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</si>
  <si>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</si>
  <si>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</si>
  <si>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</si>
  <si>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</si>
  <si>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</si>
  <si>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</si>
  <si>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</si>
  <si>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</si>
  <si>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</si>
  <si>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</si>
  <si>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</si>
  <si>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</si>
  <si>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</si>
  <si>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</si>
  <si>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</si>
  <si>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</si>
  <si>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</si>
  <si>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</si>
  <si>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</si>
  <si>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</si>
  <si>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</si>
  <si>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</si>
  <si>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</si>
  <si>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</si>
  <si>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</si>
  <si>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</si>
  <si>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</si>
  <si>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</si>
  <si>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</si>
  <si>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</si>
  <si>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</si>
  <si>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</si>
  <si>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</si>
  <si>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</si>
  <si>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</si>
  <si>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</si>
  <si>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</si>
  <si>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</si>
  <si>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</si>
  <si>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</si>
  <si>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</si>
  <si>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</si>
  <si>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</si>
  <si>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</si>
  <si>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</si>
  <si>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</si>
  <si>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</si>
  <si>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</si>
  <si>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</si>
  <si>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</si>
  <si>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</si>
  <si>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</si>
  <si>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</si>
  <si>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</si>
  <si>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</si>
  <si>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</si>
  <si>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</si>
  <si>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</si>
  <si>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</si>
  <si>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</si>
  <si>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</si>
  <si>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</si>
  <si>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</si>
  <si>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</si>
  <si>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</si>
  <si>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</si>
  <si>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</si>
  <si>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</si>
  <si>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</si>
  <si>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</si>
  <si>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</si>
  <si>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</si>
  <si>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</si>
  <si>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</si>
  <si>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</si>
  <si>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</si>
  <si>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</si>
  <si>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</si>
  <si>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</si>
  <si>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</si>
  <si>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</si>
  <si>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</si>
  <si>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</si>
  <si>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</si>
  <si>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</si>
  <si>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</si>
  <si>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</si>
  <si>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</si>
  <si>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</si>
  <si>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</si>
  <si>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</si>
  <si>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</si>
  <si>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</si>
  <si>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</si>
  <si>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</si>
  <si>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</si>
  <si>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</si>
  <si>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</si>
  <si>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</si>
  <si>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</si>
  <si>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</si>
  <si>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</si>
  <si>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</si>
  <si>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</si>
  <si>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</si>
  <si>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</si>
  <si>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</si>
  <si>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</si>
  <si>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</si>
  <si>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</si>
  <si>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</si>
  <si>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</si>
  <si>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</si>
  <si>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</si>
  <si>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</si>
  <si>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</si>
  <si>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</si>
  <si>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</si>
  <si>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</si>
  <si>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</si>
  <si>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</si>
  <si>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</si>
  <si>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</si>
  <si>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</si>
  <si>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</si>
  <si>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</si>
  <si>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</si>
  <si>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</si>
  <si>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</si>
  <si>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</si>
  <si>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</si>
  <si>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</si>
  <si>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</si>
  <si>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</si>
  <si>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</si>
  <si>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</si>
  <si>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</si>
  <si>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</si>
  <si>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</si>
  <si>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</si>
  <si>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</si>
  <si>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</si>
  <si>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</si>
  <si>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</si>
  <si>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</si>
  <si>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</si>
  <si>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</si>
  <si>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</si>
  <si>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</si>
  <si>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</si>
  <si>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</si>
  <si>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</si>
  <si>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</si>
  <si>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</si>
  <si>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</si>
  <si>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</si>
  <si>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</si>
  <si>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</si>
  <si>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</si>
  <si>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</si>
  <si>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</si>
  <si>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</si>
  <si>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</si>
  <si>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</si>
  <si>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</si>
  <si>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</si>
  <si>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</si>
  <si>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</si>
  <si>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</si>
  <si>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</si>
  <si>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</si>
  <si>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</si>
  <si>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</si>
  <si>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</si>
  <si>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</si>
  <si>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</si>
  <si>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</si>
  <si>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</si>
  <si>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</si>
  <si>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</si>
  <si>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</si>
  <si>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</si>
  <si>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</si>
  <si>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</si>
  <si>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</si>
  <si>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</si>
  <si>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</si>
  <si>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</si>
  <si>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</si>
  <si>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</si>
  <si>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</si>
  <si>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</si>
  <si>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</si>
  <si>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</si>
  <si>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</si>
  <si>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</si>
  <si>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</si>
  <si>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</si>
  <si>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</si>
  <si>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</si>
  <si>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</si>
  <si>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</si>
  <si>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</si>
  <si>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</si>
  <si>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</si>
  <si>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</si>
  <si>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</si>
  <si>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</si>
  <si>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</si>
  <si>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</si>
  <si>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</si>
  <si>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</si>
  <si>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</si>
  <si>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</si>
  <si>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</si>
  <si>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</si>
  <si>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</si>
  <si>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</si>
  <si>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</si>
  <si>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</si>
  <si>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</si>
  <si>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</si>
  <si>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</si>
  <si>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</si>
  <si>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</si>
  <si>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</si>
  <si>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</si>
  <si>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</si>
  <si>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</si>
  <si>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</si>
  <si>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</si>
  <si>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</si>
  <si>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</si>
  <si>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</si>
  <si>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</si>
  <si>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</si>
  <si>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</si>
  <si>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</si>
  <si>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</si>
  <si>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</si>
  <si>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</si>
  <si>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</si>
  <si>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</si>
  <si>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</si>
  <si>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</si>
  <si>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</si>
  <si>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</si>
  <si>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</si>
  <si>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</si>
  <si>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</si>
  <si>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</si>
  <si>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</si>
  <si>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</si>
  <si>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</si>
  <si>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</si>
  <si>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</si>
  <si>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</si>
  <si>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</si>
  <si>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</si>
  <si>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</si>
  <si>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</si>
  <si>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</si>
  <si>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</si>
  <si>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</si>
  <si>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</si>
  <si>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</si>
  <si>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</si>
  <si>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</si>
  <si>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</si>
  <si>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</si>
  <si>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</si>
  <si>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</si>
  <si>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</si>
  <si>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</si>
  <si>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</si>
  <si>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</si>
  <si>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</si>
  <si>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</si>
  <si>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</si>
  <si>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</si>
  <si>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</si>
  <si>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</si>
  <si>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</si>
  <si>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</si>
  <si>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</si>
  <si>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</si>
  <si>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</si>
  <si>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</si>
  <si>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</si>
  <si>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</si>
  <si>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</si>
  <si>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</si>
  <si>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</si>
  <si>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</si>
  <si>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</si>
  <si>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</si>
  <si>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</si>
  <si>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</si>
  <si>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</si>
  <si>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</si>
  <si>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</si>
  <si>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</si>
  <si>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</si>
  <si>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</si>
  <si>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</si>
  <si>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</si>
  <si>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</si>
  <si>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</si>
  <si>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</si>
  <si>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</si>
  <si>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</si>
  <si>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</si>
  <si>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</si>
  <si>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</si>
  <si>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</si>
  <si>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</si>
  <si>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</si>
  <si>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</si>
  <si>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</si>
  <si>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</si>
  <si>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</si>
  <si>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</si>
  <si>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</si>
  <si>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</si>
  <si>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</si>
  <si>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</si>
  <si>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</si>
  <si>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</si>
  <si>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</si>
  <si>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</si>
  <si>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</si>
  <si>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</si>
  <si>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</si>
  <si>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</si>
  <si>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</si>
  <si>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</si>
  <si>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</si>
  <si>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</si>
  <si>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</si>
  <si>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</si>
  <si>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</si>
  <si>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</si>
  <si>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</si>
  <si>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</si>
  <si>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</si>
  <si>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</si>
  <si>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</si>
  <si>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</si>
  <si>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</si>
  <si>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</si>
  <si>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</si>
  <si>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</si>
  <si>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</si>
  <si>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</si>
  <si>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</si>
  <si>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</si>
  <si>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</si>
  <si>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</si>
  <si>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</si>
  <si>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</si>
  <si>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</si>
  <si>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</si>
  <si>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</si>
  <si>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</si>
  <si>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</si>
  <si>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</si>
  <si>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</si>
  <si>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</si>
  <si>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</si>
  <si>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</si>
  <si>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</si>
  <si>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</si>
  <si>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</si>
  <si>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</si>
  <si>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</si>
  <si>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</si>
  <si>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</si>
  <si>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</si>
  <si>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</si>
  <si>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</si>
  <si>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</si>
  <si>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</si>
  <si>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</si>
  <si>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</si>
  <si>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</si>
  <si>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</si>
  <si>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</si>
  <si>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</si>
  <si>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</si>
  <si>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</si>
  <si>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</si>
  <si>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</si>
  <si>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</si>
  <si>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</si>
  <si>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</si>
  <si>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</si>
  <si>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</si>
  <si>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</si>
  <si>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</si>
  <si>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</si>
  <si>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</si>
  <si>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</si>
  <si>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</si>
  <si>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</si>
  <si>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</si>
  <si>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</si>
  <si>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</si>
  <si>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</si>
  <si>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</si>
  <si>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</si>
  <si>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</si>
  <si>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</si>
  <si>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</si>
  <si>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</si>
  <si>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</si>
  <si>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</si>
  <si>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</si>
  <si>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</si>
  <si>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</si>
  <si>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</si>
  <si>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</si>
  <si>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</si>
  <si>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</si>
  <si>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</si>
  <si>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</si>
  <si>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</si>
  <si>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</si>
  <si>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</si>
  <si>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</si>
  <si>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</si>
  <si>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</si>
  <si>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</si>
  <si>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</si>
  <si>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</si>
  <si>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</si>
  <si>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</si>
  <si>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</si>
  <si>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</si>
  <si>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</si>
  <si>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</si>
  <si>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</si>
  <si>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</si>
  <si>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</si>
  <si>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</si>
  <si>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</si>
  <si>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</si>
  <si>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</si>
  <si>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</si>
  <si>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</si>
  <si>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</si>
  <si>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</si>
  <si>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</si>
  <si>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</si>
  <si>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</si>
  <si>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</si>
  <si>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</si>
  <si>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</si>
  <si>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</si>
  <si>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</si>
  <si>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</si>
  <si>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</si>
  <si>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</si>
  <si>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</si>
  <si>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</si>
  <si>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</si>
  <si>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</si>
  <si>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</si>
  <si>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</si>
  <si>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</si>
  <si>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</si>
  <si>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</si>
  <si>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</si>
  <si>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</si>
  <si>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</si>
  <si>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</si>
  <si>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</si>
  <si>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</si>
  <si>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</si>
  <si>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</si>
  <si>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</si>
  <si>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</si>
  <si>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</si>
  <si>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</si>
  <si>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</si>
  <si>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</si>
  <si>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</si>
  <si>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</si>
  <si>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</si>
  <si>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</si>
  <si>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</si>
  <si>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</si>
  <si>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</si>
  <si>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</si>
  <si>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</si>
  <si>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</si>
  <si>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</si>
  <si>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</si>
  <si>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</si>
  <si>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</si>
  <si>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</si>
  <si>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</si>
  <si>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</si>
  <si>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</si>
  <si>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</si>
  <si>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</si>
  <si>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</si>
  <si>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</si>
  <si>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</si>
  <si>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</si>
  <si>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</si>
  <si>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</si>
  <si>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</si>
  <si>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</si>
  <si>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</si>
  <si>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</si>
  <si>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</si>
  <si>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</si>
  <si>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</si>
  <si>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</si>
  <si>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</si>
  <si>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</si>
  <si>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</si>
  <si>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</si>
  <si>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</si>
  <si>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</si>
  <si>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</si>
  <si>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</si>
  <si>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</si>
  <si>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</si>
  <si>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</si>
  <si>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</si>
  <si>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</si>
  <si>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</si>
  <si>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</si>
  <si>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</si>
  <si>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</si>
  <si>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</si>
  <si>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</si>
  <si>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</si>
  <si>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</si>
  <si>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</si>
  <si>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</si>
  <si>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</si>
  <si>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</si>
  <si>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</si>
  <si>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</si>
  <si>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</si>
  <si>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</si>
  <si>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</si>
  <si>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</si>
  <si>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</si>
  <si>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</si>
  <si>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</si>
  <si>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</si>
  <si>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</si>
  <si>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</si>
  <si>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</si>
  <si>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</si>
  <si>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</si>
  <si>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</si>
  <si>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</si>
  <si>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</si>
  <si>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</si>
  <si>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</si>
  <si>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</si>
  <si>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</si>
  <si>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</si>
  <si>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</si>
  <si>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</si>
  <si>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</si>
  <si>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</si>
  <si>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</si>
  <si>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</si>
  <si>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</si>
  <si>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</si>
  <si>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</si>
  <si>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</si>
  <si>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</si>
  <si>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</si>
  <si>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</si>
  <si>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</si>
  <si>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</si>
  <si>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</si>
  <si>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</si>
  <si>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</si>
  <si>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</si>
  <si>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</si>
  <si>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</si>
  <si>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</si>
  <si>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</si>
  <si>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</si>
  <si>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</si>
  <si>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</si>
  <si>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</si>
  <si>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</si>
  <si>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</si>
  <si>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</si>
  <si>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</si>
  <si>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</si>
  <si>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</si>
  <si>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</si>
  <si>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</si>
  <si>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</si>
  <si>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</si>
  <si>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</si>
  <si>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</si>
  <si>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</si>
  <si>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</si>
  <si>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</si>
  <si>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</si>
  <si>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</si>
  <si>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</si>
  <si>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</si>
  <si>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</si>
  <si>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</si>
  <si>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</si>
  <si>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</si>
  <si>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</si>
  <si>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</si>
  <si>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</si>
  <si>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</si>
  <si>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</si>
  <si>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</si>
  <si>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</si>
  <si>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</si>
  <si>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</si>
  <si>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</si>
  <si>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</si>
  <si>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</si>
  <si>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</si>
  <si>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</si>
  <si>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</si>
  <si>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</si>
  <si>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</si>
  <si>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</si>
  <si>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</si>
  <si>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</si>
  <si>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</si>
  <si>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</si>
  <si>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</si>
  <si>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</si>
  <si>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</si>
  <si>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</si>
  <si>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</si>
  <si>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</si>
  <si>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</si>
  <si>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</si>
  <si>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</si>
  <si>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</si>
  <si>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</si>
  <si>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</si>
  <si>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</si>
  <si>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</si>
  <si>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</si>
  <si>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</si>
  <si>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</si>
  <si>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</si>
  <si>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</si>
  <si>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</si>
  <si>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</si>
  <si>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</si>
  <si>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</si>
  <si>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</si>
  <si>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</si>
  <si>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</si>
  <si>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</si>
  <si>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</si>
  <si>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</si>
  <si>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</si>
  <si>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</si>
  <si>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</si>
  <si>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</si>
  <si>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</si>
  <si>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</si>
  <si>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</si>
  <si>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</si>
  <si>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</si>
  <si>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</si>
  <si>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</si>
  <si>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</si>
  <si>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</si>
  <si>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</si>
  <si>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</si>
  <si>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</si>
  <si>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</si>
  <si>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</si>
  <si>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</si>
  <si>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</si>
  <si>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</si>
  <si>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</si>
  <si>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</si>
  <si>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</si>
  <si>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</si>
  <si>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</si>
  <si>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</si>
  <si>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</si>
  <si>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</si>
  <si>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</si>
  <si>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</si>
  <si>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</si>
  <si>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</si>
  <si>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</si>
  <si>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</si>
  <si>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</si>
  <si>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</si>
  <si>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</si>
  <si>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</si>
  <si>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</si>
  <si>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</si>
  <si>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</si>
  <si>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</si>
  <si>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</si>
  <si>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</si>
  <si>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</si>
  <si>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</si>
  <si>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</si>
  <si>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</si>
  <si>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</si>
  <si>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</si>
  <si>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</si>
  <si>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</si>
  <si>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</si>
  <si>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</si>
  <si>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</si>
  <si>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</si>
  <si>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</si>
  <si>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</si>
  <si>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</si>
  <si>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</si>
  <si>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</si>
  <si>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</si>
  <si>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</si>
  <si>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</si>
  <si>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</si>
  <si>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</si>
  <si>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</si>
  <si>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</si>
  <si>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</si>
  <si>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</si>
  <si>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</si>
  <si>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</si>
  <si>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</si>
  <si>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</si>
  <si>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</si>
  <si>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</si>
  <si>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</si>
  <si>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</si>
  <si>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</si>
  <si>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</si>
  <si>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</si>
  <si>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</si>
  <si>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</si>
  <si>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</si>
  <si>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</si>
  <si>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</si>
  <si>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</si>
  <si>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</si>
  <si>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</si>
  <si>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</si>
  <si>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</si>
  <si>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</si>
  <si>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</si>
  <si>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</si>
  <si>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</si>
  <si>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</si>
  <si>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</si>
  <si>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</si>
  <si>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</si>
  <si>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</si>
  <si>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</si>
  <si>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</si>
  <si>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</si>
  <si>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</si>
  <si>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</si>
  <si>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</si>
  <si>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</si>
  <si>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</si>
  <si>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</si>
  <si>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</si>
  <si>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</si>
  <si>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</si>
  <si>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</si>
  <si>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</si>
  <si>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</si>
  <si>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</si>
  <si>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</si>
  <si>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</si>
  <si>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</si>
  <si>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</si>
  <si>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</si>
  <si>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</si>
  <si>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</si>
  <si>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</si>
  <si>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</si>
  <si>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</si>
  <si>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</si>
  <si>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</si>
  <si>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</si>
  <si>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</si>
  <si>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</si>
  <si>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</si>
  <si>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</si>
  <si>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</si>
  <si>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</si>
  <si>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</si>
  <si>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</si>
  <si>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</si>
  <si>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</si>
  <si>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</si>
  <si>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</si>
  <si>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</si>
  <si>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</si>
  <si>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</si>
  <si>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</si>
  <si>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</si>
  <si>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</si>
  <si>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</si>
  <si>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</si>
  <si>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</si>
  <si>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</si>
  <si>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</si>
  <si>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</si>
  <si>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</si>
  <si>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</si>
  <si>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</si>
  <si>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</si>
  <si>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</si>
  <si>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</si>
  <si>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</si>
  <si>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</si>
  <si>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</si>
  <si>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</si>
  <si>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</si>
  <si>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</si>
  <si>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</si>
  <si>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</si>
  <si>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</si>
  <si>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</si>
  <si>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</si>
  <si>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</si>
  <si>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</si>
  <si>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</si>
  <si>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</si>
  <si>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</si>
  <si>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</si>
  <si>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</si>
  <si>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</si>
  <si>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</si>
  <si>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</si>
  <si>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</si>
  <si>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</si>
  <si>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</si>
  <si>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</si>
  <si>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</si>
  <si>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</si>
  <si>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</si>
  <si>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</si>
  <si>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</si>
  <si>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</si>
  <si>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</si>
  <si>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</si>
  <si>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</si>
  <si>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</si>
  <si>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</si>
  <si>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</si>
  <si>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</si>
  <si>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</si>
  <si>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</si>
  <si>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</si>
  <si>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</si>
  <si>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</si>
  <si>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</si>
  <si>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</si>
  <si>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</si>
  <si>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</si>
  <si>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</si>
  <si>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</si>
  <si>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</si>
  <si>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</si>
  <si>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</si>
  <si>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</si>
  <si>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</si>
  <si>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</si>
  <si>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</si>
  <si>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</si>
  <si>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</si>
  <si>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</si>
  <si>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</si>
  <si>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</si>
  <si>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</si>
  <si>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</si>
  <si>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</si>
  <si>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</si>
  <si>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</si>
  <si>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</si>
  <si>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</si>
  <si>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</si>
  <si>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</si>
  <si>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</si>
  <si>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</si>
  <si>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</si>
  <si>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</si>
  <si>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</si>
  <si>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</si>
  <si>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</si>
  <si>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</si>
  <si>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</si>
  <si>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</si>
  <si>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</si>
  <si>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</si>
  <si>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</si>
  <si>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</si>
  <si>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</si>
  <si>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</si>
  <si>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</si>
  <si>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</si>
  <si>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</si>
  <si>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</si>
  <si>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</si>
  <si>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</si>
  <si>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</si>
  <si>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</si>
  <si>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</si>
  <si>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</si>
  <si>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</si>
  <si>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</si>
  <si>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</si>
  <si>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</si>
  <si>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</si>
  <si>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</si>
  <si>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</si>
  <si>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</si>
  <si>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</si>
  <si>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</si>
  <si>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</si>
  <si>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</si>
  <si>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</si>
  <si>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</si>
  <si>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</si>
  <si>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</si>
  <si>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</si>
  <si>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</si>
  <si>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</si>
  <si>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</si>
  <si>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</si>
  <si>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</si>
  <si>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</si>
  <si>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</si>
  <si>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</si>
  <si>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</si>
  <si>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</si>
  <si>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</si>
  <si>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</si>
  <si>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</si>
  <si>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</si>
  <si>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</si>
  <si>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</si>
  <si>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</si>
  <si>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</si>
  <si>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</si>
  <si>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</si>
  <si>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</si>
  <si>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</si>
  <si>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</si>
  <si>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</si>
  <si>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</si>
  <si>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</si>
  <si>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</si>
  <si>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</si>
  <si>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</si>
  <si>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</si>
  <si>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</si>
  <si>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</si>
  <si>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</si>
  <si>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</si>
  <si>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</si>
  <si>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</si>
  <si>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</si>
  <si>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</si>
  <si>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</si>
  <si>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</si>
  <si>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</si>
  <si>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</si>
  <si>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</si>
  <si>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</si>
  <si>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</si>
  <si>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</si>
  <si>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</si>
  <si>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</si>
  <si>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</si>
  <si>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</si>
  <si>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</si>
  <si>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</si>
  <si>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</si>
  <si>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</si>
  <si>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</si>
  <si>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</si>
  <si>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</si>
  <si>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</si>
  <si>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</si>
  <si>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</si>
  <si>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</si>
  <si>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</si>
  <si>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</si>
  <si>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</si>
  <si>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</si>
  <si>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</si>
  <si>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</si>
  <si>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</si>
  <si>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</si>
  <si>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</si>
  <si>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</si>
  <si>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</si>
  <si>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</si>
  <si>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</si>
  <si>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</si>
  <si>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</si>
  <si>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</si>
  <si>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</si>
  <si>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</si>
  <si>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</si>
  <si>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</si>
  <si>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</si>
  <si>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</si>
  <si>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</si>
  <si>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</si>
  <si>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</si>
  <si>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</si>
  <si>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</si>
  <si>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</si>
  <si>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</si>
  <si>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</si>
  <si>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</si>
  <si>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</si>
  <si>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</si>
  <si>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</si>
  <si>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</si>
  <si>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</si>
  <si>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</si>
  <si>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</si>
  <si>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</si>
  <si>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</si>
  <si>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</si>
  <si>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</si>
  <si>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</si>
  <si>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</si>
  <si>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</si>
  <si>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</si>
  <si>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</si>
  <si>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</si>
  <si>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</si>
  <si>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</si>
  <si>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</si>
  <si>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</si>
  <si>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</si>
  <si>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</si>
  <si>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</si>
  <si>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</si>
  <si>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</si>
  <si>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</si>
  <si>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</si>
  <si>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</si>
  <si>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</si>
  <si>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</si>
  <si>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</si>
  <si>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</si>
  <si>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</si>
  <si>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</si>
  <si>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</si>
  <si>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</si>
  <si>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</si>
  <si>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</si>
  <si>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</si>
  <si>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</si>
  <si>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</si>
  <si>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</si>
  <si>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</si>
  <si>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</si>
  <si>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</si>
  <si>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</si>
  <si>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</si>
  <si>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</si>
  <si>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</si>
  <si>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</si>
  <si>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</si>
  <si>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</si>
  <si>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</si>
  <si>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</si>
  <si>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</si>
  <si>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</si>
  <si>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</si>
  <si>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</si>
  <si>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</si>
  <si>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</si>
  <si>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</si>
  <si>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</si>
  <si>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</si>
  <si>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</si>
  <si>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</si>
  <si>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</si>
  <si>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</si>
  <si>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</si>
  <si>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</si>
  <si>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</si>
  <si>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</si>
  <si>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</si>
  <si>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</si>
  <si>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</si>
  <si>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</si>
  <si>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</si>
  <si>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</si>
  <si>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</si>
  <si>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</si>
  <si>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</si>
  <si>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</si>
  <si>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</si>
  <si>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</si>
  <si>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</si>
  <si>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</si>
  <si>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</si>
  <si>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</si>
  <si>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</si>
  <si>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</si>
  <si>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</si>
  <si>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</si>
  <si>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</si>
  <si>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</si>
  <si>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</si>
  <si>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</si>
  <si>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</si>
  <si>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</si>
  <si>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</si>
  <si>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</si>
  <si>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</si>
  <si>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</si>
  <si>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</si>
  <si>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</si>
  <si>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</si>
  <si>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</si>
  <si>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</si>
  <si>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</si>
  <si>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</si>
  <si>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</si>
  <si>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</si>
  <si>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</si>
  <si>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</si>
  <si>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</si>
  <si>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</si>
  <si>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</si>
  <si>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</si>
  <si>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</si>
  <si>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</si>
  <si>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</si>
  <si>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</si>
  <si>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</si>
  <si>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</si>
  <si>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</si>
  <si>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</si>
  <si>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</si>
  <si>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</si>
  <si>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</si>
  <si>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</si>
  <si>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</si>
  <si>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</si>
  <si>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</si>
  <si>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</si>
  <si>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</si>
  <si>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</si>
  <si>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</si>
  <si>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</si>
  <si>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</si>
  <si>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</si>
  <si>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</si>
  <si>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</si>
  <si>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</si>
  <si>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</si>
  <si>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</si>
  <si>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</si>
  <si>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</si>
  <si>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</si>
  <si>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</si>
  <si>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</si>
  <si>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</si>
  <si>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</si>
  <si>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</si>
  <si>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</si>
  <si>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</si>
  <si>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</si>
  <si>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</si>
  <si>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</si>
  <si>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</si>
  <si>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</si>
  <si>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</si>
  <si>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</si>
  <si>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</si>
  <si>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</si>
  <si>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</si>
  <si>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</si>
  <si>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</si>
  <si>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</si>
  <si>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</si>
  <si>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</si>
  <si>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</si>
  <si>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</si>
  <si>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</si>
  <si>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</si>
  <si>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</si>
  <si>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</si>
  <si>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</si>
  <si>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</si>
  <si>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</si>
  <si>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</si>
  <si>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</si>
  <si>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</si>
  <si>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</si>
  <si>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</si>
  <si>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</si>
  <si>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</si>
  <si>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</si>
  <si>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</si>
  <si>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</si>
  <si>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</si>
  <si>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</si>
  <si>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</si>
  <si>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</si>
  <si>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</si>
  <si>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</si>
  <si>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</si>
  <si>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</si>
  <si>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</si>
  <si>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</si>
  <si>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</si>
  <si>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</si>
  <si>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</si>
  <si>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</si>
  <si>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</si>
  <si>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</si>
  <si>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</si>
  <si>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</si>
  <si>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</si>
  <si>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</si>
  <si>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</si>
  <si>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</si>
  <si>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</si>
  <si>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</si>
  <si>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</si>
  <si>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</si>
  <si>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</si>
  <si>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</si>
  <si>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</si>
  <si>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</si>
  <si>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</si>
  <si>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</si>
  <si>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</si>
  <si>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</si>
  <si>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</si>
  <si>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</si>
  <si>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</si>
  <si>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</si>
  <si>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</si>
  <si>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</si>
  <si>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</si>
  <si>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</si>
  <si>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</si>
  <si>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</si>
  <si>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</si>
  <si>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</si>
  <si>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</si>
  <si>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</si>
  <si>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</si>
  <si>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</si>
  <si>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</si>
  <si>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</si>
  <si>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</si>
  <si>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</si>
  <si>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</si>
  <si>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</si>
  <si>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</si>
  <si>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</si>
  <si>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</si>
  <si>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</si>
  <si>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</si>
  <si>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</si>
  <si>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</si>
  <si>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</si>
  <si>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</si>
  <si>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</si>
  <si>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</si>
  <si>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</si>
  <si>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</si>
  <si>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</si>
  <si>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</si>
  <si>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</si>
  <si>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</si>
  <si>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</si>
  <si>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</si>
  <si>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</si>
  <si>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</si>
  <si>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</si>
  <si>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</si>
  <si>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</si>
  <si>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</si>
  <si>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</si>
  <si>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</si>
  <si>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</si>
  <si>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</si>
  <si>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</si>
  <si>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</si>
  <si>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</si>
  <si>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</si>
  <si>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</si>
  <si>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</si>
  <si>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</si>
  <si>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</si>
  <si>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</si>
  <si>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</si>
  <si>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</si>
  <si>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</si>
  <si>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</si>
  <si>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</si>
  <si>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</si>
  <si>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</si>
  <si>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</si>
  <si>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</si>
  <si>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</si>
  <si>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</si>
  <si>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</si>
  <si>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</si>
  <si>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</si>
  <si>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</si>
  <si>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</si>
  <si>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</si>
  <si>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</si>
  <si>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</si>
  <si>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</si>
  <si>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</si>
  <si>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</si>
  <si>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</si>
  <si>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</si>
  <si>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</si>
  <si>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</si>
  <si>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</si>
  <si>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</si>
  <si>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</si>
  <si>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</si>
  <si>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</si>
  <si>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</si>
  <si>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</si>
  <si>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</si>
  <si>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</si>
  <si>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</si>
  <si>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</si>
  <si>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</si>
  <si>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</si>
  <si>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</si>
  <si>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</si>
  <si>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</si>
  <si>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</si>
  <si>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</si>
  <si>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</si>
  <si>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</si>
  <si>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</si>
  <si>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</si>
  <si>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</si>
  <si>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</si>
  <si>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</si>
  <si>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</si>
  <si>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</si>
  <si>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</si>
  <si>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</si>
  <si>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</si>
  <si>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</si>
  <si>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</si>
  <si>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</si>
  <si>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</si>
  <si>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</si>
  <si>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</si>
  <si>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</si>
  <si>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</si>
  <si>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</si>
  <si>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</si>
  <si>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</si>
  <si>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</si>
  <si>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</si>
  <si>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</si>
  <si>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</si>
  <si>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</si>
  <si>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</si>
  <si>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</si>
  <si>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</si>
  <si>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</si>
  <si>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</si>
  <si>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</si>
  <si>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</si>
  <si>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</si>
  <si>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</si>
  <si>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</si>
  <si>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</si>
  <si>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</si>
  <si>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</si>
  <si>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</si>
  <si>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</si>
  <si>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</si>
  <si>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</si>
  <si>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</si>
  <si>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</si>
  <si>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</si>
  <si>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</si>
  <si>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</si>
  <si>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</si>
  <si>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</si>
  <si>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</si>
  <si>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</si>
  <si>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</si>
  <si>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</si>
  <si>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</si>
  <si>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</si>
  <si>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</si>
  <si>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</si>
  <si>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</si>
  <si>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</si>
  <si>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</si>
  <si>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</si>
  <si>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</si>
  <si>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</si>
  <si>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</si>
  <si>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</si>
  <si>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</si>
  <si>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</si>
  <si>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</si>
  <si>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</si>
  <si>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</si>
  <si>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</si>
  <si>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</si>
  <si>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</si>
  <si>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</si>
  <si>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</si>
  <si>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</si>
  <si>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</si>
  <si>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</si>
  <si>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</si>
  <si>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</si>
  <si>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</si>
  <si>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</si>
  <si>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</si>
  <si>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</si>
  <si>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</si>
  <si>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</si>
  <si>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</si>
  <si>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</si>
  <si>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</si>
  <si>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</si>
  <si>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</si>
  <si>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</si>
  <si>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</si>
  <si>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</si>
  <si>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</si>
  <si>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</si>
  <si>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</si>
  <si>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</si>
  <si>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</si>
  <si>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</si>
  <si>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</si>
  <si>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</si>
  <si>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</si>
  <si>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</si>
  <si>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</si>
  <si>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</si>
  <si>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</si>
  <si>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</si>
  <si>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</si>
  <si>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</si>
  <si>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</si>
  <si>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</si>
  <si>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</si>
  <si>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</si>
  <si>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</si>
  <si>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</si>
  <si>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</si>
  <si>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</si>
  <si>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</si>
  <si>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</si>
  <si>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</si>
  <si>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</si>
  <si>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</si>
  <si>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</si>
  <si>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</si>
  <si>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</si>
  <si>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</si>
  <si>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</si>
  <si>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</si>
  <si>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</si>
  <si>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</si>
  <si>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</si>
  <si>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</si>
  <si>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</si>
  <si>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</si>
  <si>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</si>
  <si>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</si>
  <si>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</si>
  <si>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</si>
  <si>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</si>
  <si>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</si>
  <si>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</si>
  <si>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</si>
  <si>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</si>
  <si>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</si>
  <si>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</si>
  <si>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</si>
  <si>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</si>
  <si>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</si>
  <si>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</si>
  <si>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</si>
  <si>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</si>
  <si>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</si>
  <si>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</si>
  <si>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</si>
  <si>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</si>
  <si>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</si>
  <si>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</si>
  <si>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</si>
  <si>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</si>
  <si>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</si>
  <si>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</si>
  <si>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</si>
  <si>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</si>
  <si>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</si>
  <si>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</si>
  <si>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</si>
  <si>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</si>
  <si>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</si>
  <si>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</si>
  <si>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</si>
  <si>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</si>
  <si>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</si>
  <si>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</si>
  <si>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</si>
  <si>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</si>
  <si>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</si>
  <si>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</si>
  <si>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</si>
  <si>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</si>
  <si>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</si>
  <si>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</si>
  <si>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</si>
  <si>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</si>
  <si>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</si>
  <si>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</si>
  <si>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</si>
  <si>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</si>
  <si>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</si>
  <si>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</si>
  <si>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</si>
  <si>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</si>
  <si>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</si>
  <si>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</si>
  <si>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</si>
  <si>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</si>
  <si>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</si>
  <si>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</si>
  <si>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</si>
  <si>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</si>
  <si>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</si>
  <si>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</si>
  <si>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</si>
  <si>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</si>
  <si>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</si>
  <si>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</si>
  <si>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</si>
  <si>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</si>
  <si>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</si>
  <si>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</si>
  <si>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</si>
  <si>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</si>
  <si>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</si>
  <si>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</si>
  <si>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</si>
  <si>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</si>
  <si>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</si>
  <si>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</si>
  <si>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</si>
  <si>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</si>
  <si>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</si>
  <si>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</si>
  <si>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</si>
  <si>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</si>
  <si>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</si>
  <si>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</si>
  <si>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</si>
  <si>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</si>
  <si>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</si>
  <si>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</si>
  <si>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</si>
  <si>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</si>
  <si>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</si>
  <si>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</si>
  <si>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</si>
  <si>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</si>
  <si>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</si>
  <si>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</si>
  <si>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</si>
  <si>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</si>
  <si>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</si>
  <si>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</si>
  <si>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</si>
  <si>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</si>
  <si>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</si>
  <si>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</si>
  <si>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</si>
  <si>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</si>
  <si>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</si>
  <si>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</si>
  <si>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</si>
  <si>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</si>
  <si>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</si>
  <si>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</si>
  <si>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</si>
  <si>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</si>
  <si>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</si>
  <si>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</si>
  <si>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</si>
  <si>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</si>
  <si>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</si>
  <si>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</si>
  <si>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</si>
  <si>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</si>
  <si>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</si>
  <si>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</si>
  <si>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</si>
  <si>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</si>
  <si>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</si>
  <si>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</si>
  <si>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</si>
  <si>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</si>
  <si>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</si>
  <si>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</si>
  <si>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</si>
  <si>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</si>
  <si>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</si>
  <si>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</si>
  <si>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</si>
  <si>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</si>
  <si>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</si>
  <si>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</si>
  <si>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</si>
  <si>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</si>
  <si>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</si>
  <si>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</si>
  <si>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</si>
  <si>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</si>
  <si>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</si>
  <si>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</si>
  <si>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</si>
  <si>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</si>
  <si>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</si>
  <si>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</si>
  <si>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</si>
  <si>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</si>
  <si>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</si>
  <si>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</si>
  <si>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</si>
  <si>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</si>
  <si>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</si>
  <si>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</si>
  <si>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</si>
  <si>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</si>
  <si>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</si>
  <si>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</si>
  <si>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</si>
  <si>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</si>
  <si>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</si>
  <si>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</si>
  <si>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</si>
  <si>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</si>
  <si>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</si>
  <si>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</si>
  <si>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</si>
  <si>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</si>
  <si>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</si>
  <si>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</si>
  <si>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</si>
  <si>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</si>
  <si>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</si>
  <si>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</si>
  <si>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</si>
  <si>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</si>
  <si>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</si>
  <si>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</si>
  <si>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</si>
  <si>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</si>
  <si>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</si>
  <si>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</si>
  <si>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</si>
  <si>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</si>
  <si>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</si>
  <si>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</si>
  <si>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</si>
  <si>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</si>
  <si>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</si>
  <si>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</si>
  <si>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</si>
  <si>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</si>
  <si>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</si>
  <si>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</si>
  <si>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</si>
  <si>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</si>
  <si>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</si>
  <si>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</si>
  <si>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</si>
  <si>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</si>
  <si>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</si>
  <si>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</si>
  <si>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</si>
  <si>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</si>
  <si>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</si>
  <si>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</si>
  <si>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</si>
  <si>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</si>
  <si>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</si>
  <si>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</si>
  <si>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</si>
  <si>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</si>
  <si>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</si>
  <si>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</si>
  <si>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</si>
  <si>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</si>
  <si>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</si>
  <si>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</si>
  <si>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</si>
  <si>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</si>
  <si>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</si>
  <si>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</si>
  <si>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</si>
  <si>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</si>
  <si>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</si>
  <si>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</si>
  <si>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</si>
  <si>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</si>
  <si>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</si>
  <si>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</si>
  <si>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</si>
  <si>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</si>
  <si>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</si>
  <si>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</si>
  <si>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</si>
  <si>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</si>
  <si>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</si>
  <si>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</si>
  <si>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</si>
  <si>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</si>
  <si>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</si>
  <si>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</si>
  <si>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</si>
  <si>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</si>
  <si>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</si>
  <si>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</si>
  <si>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</si>
  <si>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</si>
  <si>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</si>
  <si>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</si>
  <si>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</si>
  <si>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</si>
  <si>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</si>
  <si>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</si>
  <si>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</si>
  <si>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</si>
  <si>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</si>
  <si>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</si>
  <si>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</si>
  <si>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</si>
  <si>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</si>
  <si>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</si>
  <si>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</si>
  <si>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</si>
  <si>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</si>
  <si>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</si>
  <si>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</si>
  <si>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</si>
  <si>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</si>
  <si>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</si>
  <si>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</si>
  <si>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</si>
  <si>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</si>
  <si>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</si>
  <si>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</si>
  <si>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</si>
  <si>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</si>
  <si>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</si>
  <si>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</si>
  <si>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</si>
  <si>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</si>
  <si>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</si>
  <si>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</si>
  <si>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</si>
  <si>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</si>
  <si>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</si>
  <si>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</si>
  <si>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</si>
  <si>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</si>
  <si>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</si>
  <si>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</si>
  <si>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</si>
  <si>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</si>
  <si>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</si>
  <si>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</si>
  <si>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</si>
  <si>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</si>
  <si>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</si>
  <si>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</si>
  <si>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</si>
  <si>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</si>
  <si>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</si>
  <si>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</si>
  <si>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</si>
  <si>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</si>
  <si>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</si>
  <si>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</si>
  <si>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</si>
  <si>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</si>
  <si>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</si>
  <si>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</si>
  <si>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</si>
  <si>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</si>
  <si>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</si>
  <si>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</si>
  <si>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</si>
  <si>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</si>
  <si>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</si>
  <si>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</si>
  <si>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</si>
  <si>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</si>
  <si>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</si>
  <si>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</si>
  <si>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</si>
  <si>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</si>
  <si>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</si>
  <si>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</si>
  <si>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</si>
  <si>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</si>
  <si>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</si>
  <si>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</si>
  <si>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</si>
  <si>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</si>
  <si>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</si>
  <si>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</si>
  <si>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</si>
  <si>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</si>
  <si>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</si>
  <si>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</si>
  <si>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</si>
  <si>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</si>
  <si>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</si>
  <si>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</si>
  <si>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</si>
  <si>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</si>
  <si>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</si>
  <si>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</si>
  <si>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</si>
  <si>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</si>
  <si>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</si>
  <si>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</si>
  <si>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</si>
  <si>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</si>
  <si>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</si>
  <si>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</si>
  <si>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</si>
  <si>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</si>
  <si>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</si>
  <si>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</si>
  <si>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</si>
  <si>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</si>
  <si>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</si>
  <si>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</si>
  <si>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</si>
  <si>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</si>
  <si>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</si>
  <si>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</si>
  <si>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</si>
  <si>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</si>
  <si>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</si>
  <si>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</si>
  <si>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</si>
  <si>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</si>
  <si>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</si>
  <si>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</si>
  <si>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</si>
  <si>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</si>
  <si>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</si>
  <si>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</si>
  <si>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</si>
  <si>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</si>
  <si>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</si>
  <si>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</si>
  <si>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</si>
  <si>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</si>
  <si>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</si>
  <si>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</si>
  <si>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</si>
  <si>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</si>
  <si>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</si>
  <si>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</si>
  <si>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</si>
  <si>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</si>
  <si>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</si>
  <si>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</si>
  <si>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</si>
  <si>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</si>
  <si>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</si>
  <si>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</si>
  <si>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</si>
  <si>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</si>
  <si>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</si>
  <si>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</si>
  <si>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</si>
  <si>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</si>
  <si>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</si>
  <si>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</si>
  <si>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</si>
  <si>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</si>
  <si>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</si>
  <si>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</si>
  <si>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</si>
  <si>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</si>
  <si>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</si>
  <si>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</si>
  <si>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</si>
  <si>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</si>
  <si>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</si>
  <si>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</si>
  <si>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</si>
  <si>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</si>
  <si>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</si>
  <si>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</si>
  <si>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</si>
  <si>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</si>
  <si>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</si>
  <si>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</si>
  <si>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</si>
  <si>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</si>
  <si>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</si>
  <si>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</si>
  <si>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</si>
  <si>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</si>
  <si>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</si>
  <si>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</si>
  <si>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</si>
  <si>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</si>
  <si>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</si>
  <si>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</si>
  <si>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</si>
  <si>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</si>
  <si>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</si>
  <si>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</si>
  <si>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</si>
  <si>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</si>
  <si>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</si>
  <si>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</si>
  <si>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</si>
  <si>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</si>
  <si>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</si>
  <si>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</si>
  <si>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</si>
  <si>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</si>
  <si>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</si>
  <si>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</si>
  <si>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</si>
  <si>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</si>
  <si>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</si>
  <si>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</si>
  <si>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</si>
  <si>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</si>
  <si>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</si>
  <si>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</si>
  <si>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</si>
  <si>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</si>
  <si>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</si>
  <si>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</si>
  <si>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</si>
  <si>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</si>
  <si>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</si>
  <si>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</si>
  <si>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</si>
  <si>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</si>
  <si>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</si>
  <si>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</si>
  <si>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</si>
  <si>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</si>
  <si>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</si>
  <si>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</si>
  <si>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</si>
  <si>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</si>
  <si>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</si>
  <si>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</si>
  <si>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</si>
  <si>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</si>
  <si>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</si>
  <si>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</si>
  <si>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</si>
  <si>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</si>
  <si>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</si>
  <si>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</si>
  <si>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</si>
  <si>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</si>
  <si>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</si>
  <si>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</si>
  <si>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</si>
  <si>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</si>
  <si>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</si>
  <si>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</si>
  <si>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</si>
  <si>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</si>
  <si>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</si>
  <si>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</si>
  <si>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</si>
  <si>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</si>
  <si>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</si>
  <si>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</si>
  <si>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</si>
  <si>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</si>
  <si>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</si>
  <si>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</si>
  <si>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</si>
  <si>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</si>
  <si>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</si>
  <si>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</si>
  <si>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</si>
  <si>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</si>
  <si>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</si>
  <si>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</si>
  <si>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</si>
  <si>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</si>
  <si>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</si>
  <si>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</si>
  <si>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</si>
  <si>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</si>
  <si>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</si>
  <si>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</si>
  <si>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</si>
  <si>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</si>
  <si>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</si>
  <si>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</si>
  <si>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</si>
  <si>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</si>
  <si>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</si>
  <si>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</si>
  <si>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</si>
  <si>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</si>
  <si>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</si>
  <si>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</si>
  <si>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</si>
  <si>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</si>
  <si>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</si>
  <si>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</si>
  <si>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</si>
  <si>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</si>
  <si>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</si>
  <si>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</si>
  <si>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</si>
  <si>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</si>
  <si>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</si>
  <si>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</si>
  <si>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</si>
  <si>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</si>
  <si>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</si>
  <si>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</si>
  <si>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</si>
  <si>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</si>
  <si>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</si>
  <si>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</si>
  <si>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</si>
  <si>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</si>
  <si>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</si>
  <si>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</si>
  <si>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</si>
  <si>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</si>
  <si>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</si>
  <si>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</si>
  <si>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</si>
  <si>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</si>
  <si>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</si>
  <si>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</si>
  <si>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</si>
  <si>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</si>
  <si>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</si>
  <si>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</si>
  <si>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</si>
  <si>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</si>
  <si>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</si>
  <si>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</si>
  <si>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</si>
  <si>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</si>
  <si>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</si>
  <si>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</si>
  <si>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</si>
  <si>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</si>
  <si>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</si>
  <si>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</si>
  <si>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</si>
  <si>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</si>
  <si>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</si>
  <si>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</si>
  <si>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</si>
  <si>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</si>
  <si>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</si>
  <si>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</si>
  <si>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</si>
  <si>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</si>
  <si>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</si>
  <si>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</si>
  <si>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</si>
  <si>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</si>
  <si>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</si>
  <si>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</si>
  <si>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</si>
  <si>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</si>
  <si>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</si>
  <si>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</si>
  <si>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</si>
  <si>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</si>
  <si>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</si>
  <si>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</si>
  <si>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</si>
  <si>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</si>
  <si>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</si>
  <si>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</si>
  <si>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</si>
  <si>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</si>
  <si>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</si>
  <si>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</si>
  <si>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</si>
  <si>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</si>
  <si>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</si>
  <si>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</si>
  <si>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</si>
  <si>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</si>
  <si>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</si>
  <si>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</si>
  <si>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</si>
  <si>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</si>
  <si>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</si>
  <si>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</si>
  <si>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</si>
  <si>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</si>
  <si>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</si>
  <si>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</si>
  <si>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</si>
  <si>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</si>
  <si>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</si>
  <si>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</si>
  <si>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</si>
  <si>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</si>
  <si>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</si>
  <si>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</si>
  <si>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</si>
  <si>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</si>
  <si>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</si>
  <si>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</si>
  <si>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</si>
  <si>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</si>
  <si>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</si>
  <si>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</si>
  <si>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</si>
  <si>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</si>
  <si>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</si>
  <si>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</si>
  <si>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</si>
  <si>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</si>
  <si>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</si>
  <si>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</si>
  <si>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</si>
  <si>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</si>
  <si>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</si>
  <si>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</si>
  <si>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</si>
  <si>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</si>
  <si>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</si>
  <si>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</si>
  <si>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</si>
  <si>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</si>
  <si>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</si>
  <si>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</si>
  <si>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</si>
  <si>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</si>
  <si>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</si>
  <si>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</si>
  <si>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</si>
  <si>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</si>
  <si>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</si>
  <si>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</si>
  <si>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</si>
  <si>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</si>
  <si>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</si>
  <si>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</si>
  <si>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</si>
  <si>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</si>
  <si>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</si>
  <si>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</si>
  <si>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</si>
  <si>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</si>
  <si>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</si>
  <si>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</si>
  <si>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</si>
  <si>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</si>
  <si>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</si>
  <si>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</si>
  <si>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</si>
  <si>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</si>
  <si>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</si>
  <si>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</si>
  <si>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</si>
  <si>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</si>
  <si>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</si>
  <si>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</si>
  <si>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</si>
  <si>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</si>
  <si>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</si>
  <si>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</si>
  <si>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</si>
  <si>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</si>
  <si>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</si>
  <si>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</si>
  <si>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</si>
  <si>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</si>
  <si>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</si>
  <si>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</si>
  <si>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</si>
  <si>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</si>
  <si>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</si>
  <si>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</si>
  <si>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</si>
  <si>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</si>
  <si>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</si>
  <si>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</si>
  <si>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</si>
  <si>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</si>
  <si>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</si>
  <si>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</si>
  <si>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</si>
  <si>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</si>
  <si>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</si>
  <si>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</si>
  <si>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</si>
  <si>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</si>
  <si>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</si>
  <si>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</si>
  <si>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</si>
  <si>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</si>
  <si>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</si>
  <si>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</si>
  <si>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</si>
  <si>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</si>
  <si>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</si>
  <si>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</si>
  <si>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</si>
  <si>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</si>
  <si>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</si>
  <si>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</si>
  <si>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</si>
  <si>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</si>
  <si>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</si>
  <si>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</si>
  <si>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</si>
  <si>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</si>
  <si>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</si>
  <si>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</si>
  <si>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</si>
  <si>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</si>
  <si>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</si>
  <si>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</si>
  <si>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</si>
  <si>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</si>
  <si>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</si>
  <si>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</si>
  <si>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</si>
  <si>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</si>
  <si>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</si>
  <si>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</si>
  <si>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</si>
  <si>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</si>
  <si>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</si>
  <si>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</si>
  <si>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</si>
  <si>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</si>
  <si>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</si>
  <si>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</si>
  <si>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</si>
  <si>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</si>
  <si>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</si>
  <si>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</si>
  <si>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</si>
  <si>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</si>
  <si>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</si>
  <si>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</si>
  <si>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</si>
  <si>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</si>
  <si>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</si>
  <si>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</si>
  <si>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</si>
  <si>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</si>
  <si>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</si>
  <si>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</si>
  <si>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</si>
  <si>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</si>
  <si>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</si>
  <si>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</si>
  <si>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</si>
  <si>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</si>
  <si>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</si>
  <si>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</si>
  <si>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</si>
  <si>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</si>
  <si>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</si>
  <si>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</si>
  <si>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</si>
  <si>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</si>
  <si>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</si>
  <si>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</si>
  <si>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</si>
  <si>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</si>
  <si>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</si>
  <si>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</si>
  <si>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</si>
  <si>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</si>
  <si>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</si>
  <si>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</si>
  <si>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</si>
  <si>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</si>
  <si>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</si>
  <si>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</si>
  <si>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</si>
  <si>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</si>
  <si>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</si>
  <si>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</si>
  <si>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</si>
  <si>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</si>
  <si>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</si>
  <si>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</si>
  <si>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</si>
  <si>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</si>
  <si>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</si>
  <si>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</si>
  <si>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</si>
  <si>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</si>
  <si>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</si>
  <si>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</si>
  <si>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</si>
  <si>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</si>
  <si>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</si>
  <si>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</si>
  <si>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</si>
  <si>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</si>
  <si>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</si>
  <si>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</si>
  <si>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</si>
  <si>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</si>
  <si>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</si>
  <si>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</si>
  <si>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</si>
  <si>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</si>
  <si>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</si>
  <si>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</si>
  <si>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</si>
  <si>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</si>
  <si>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</si>
  <si>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</si>
  <si>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</si>
  <si>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</si>
  <si>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</si>
  <si>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</si>
  <si>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</si>
  <si>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</si>
  <si>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</si>
  <si>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</si>
  <si>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</si>
  <si>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</si>
  <si>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</si>
  <si>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</si>
  <si>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</si>
  <si>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</si>
  <si>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</si>
  <si>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</si>
  <si>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</si>
  <si>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</si>
  <si>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</si>
  <si>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</si>
  <si>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</si>
  <si>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</si>
  <si>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</si>
  <si>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</si>
  <si>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</si>
  <si>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</si>
  <si>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</si>
  <si>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</si>
  <si>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</si>
  <si>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</si>
  <si>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</si>
  <si>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</si>
  <si>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</si>
  <si>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</si>
  <si>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</si>
  <si>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</si>
  <si>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</si>
  <si>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</si>
  <si>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</si>
  <si>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</si>
  <si>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</si>
  <si>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</si>
  <si>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</si>
  <si>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</si>
  <si>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</si>
  <si>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</si>
  <si>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</si>
  <si>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</si>
  <si>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</si>
  <si>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</si>
  <si>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</si>
  <si>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</si>
  <si>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</si>
  <si>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</si>
  <si>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</si>
  <si>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</si>
  <si>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</si>
  <si>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</si>
  <si>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</si>
  <si>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</si>
  <si>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</si>
  <si>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</si>
  <si>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</si>
  <si>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</si>
  <si>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</si>
  <si>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</si>
  <si>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</si>
  <si>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</si>
  <si>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</si>
  <si>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</si>
  <si>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</si>
  <si>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</si>
  <si>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</si>
  <si>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</si>
  <si>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</si>
  <si>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</si>
  <si>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</si>
  <si>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</si>
  <si>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</si>
  <si>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</si>
  <si>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</si>
  <si>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</si>
  <si>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</si>
  <si>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</si>
  <si>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</si>
  <si>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</si>
  <si>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</si>
  <si>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</si>
  <si>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</si>
  <si>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</si>
  <si>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</si>
  <si>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</si>
  <si>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</si>
  <si>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</si>
  <si>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</si>
  <si>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</si>
  <si>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</si>
  <si>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</si>
  <si>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</si>
  <si>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</si>
  <si>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</si>
  <si>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</si>
  <si>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</si>
  <si>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</si>
  <si>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</si>
  <si>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</si>
  <si>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</si>
  <si>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</si>
  <si>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</si>
  <si>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</si>
  <si>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</si>
  <si>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</si>
  <si>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</si>
  <si>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</si>
  <si>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刘梅</t>
  </si>
  <si>
    <t>吴薇</t>
  </si>
  <si>
    <t>工行丰台幸福街支行</t>
    <phoneticPr fontId="6" type="noConversion"/>
  </si>
  <si>
    <t>抵押</t>
  </si>
  <si>
    <t>北京国锐房地产开发有限公司</t>
    <phoneticPr fontId="6" type="noConversion"/>
  </si>
  <si>
    <t>房地产抵押价值</t>
  </si>
  <si>
    <t>北京市</t>
  </si>
  <si>
    <t>企业</t>
  </si>
  <si>
    <t>出让</t>
  </si>
  <si>
    <t>居住项目</t>
  </si>
  <si>
    <t>现房</t>
  </si>
  <si>
    <t>通路</t>
  </si>
  <si>
    <t>通电</t>
  </si>
  <si>
    <t>通讯</t>
  </si>
  <si>
    <t>通上水</t>
  </si>
  <si>
    <t>通下水</t>
  </si>
  <si>
    <t>Ⅵ-亦1</t>
  </si>
  <si>
    <t>林肯公园</t>
    <phoneticPr fontId="3" type="noConversion"/>
  </si>
  <si>
    <t>富兴国际中心</t>
    <phoneticPr fontId="3" type="noConversion"/>
  </si>
  <si>
    <t>君安国际</t>
    <phoneticPr fontId="3" type="noConversion"/>
  </si>
  <si>
    <t>正常</t>
  </si>
  <si>
    <t>售价</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</si>
  <si>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</si>
  <si>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</si>
  <si>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</si>
  <si>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</si>
  <si>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</si>
  <si>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</si>
  <si>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</si>
  <si>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</si>
  <si>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标准写字楼</t>
    <phoneticPr fontId="3" type="noConversion"/>
  </si>
  <si>
    <t>异形建筑</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</si>
  <si>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</si>
  <si>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</si>
  <si>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</si>
  <si>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</si>
  <si>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</si>
  <si>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</si>
  <si>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</si>
  <si>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</si>
  <si>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乙级</t>
    <phoneticPr fontId="3" type="noConversion"/>
  </si>
  <si>
    <t>丙级</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</si>
  <si>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</si>
  <si>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</si>
  <si>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</si>
  <si>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</si>
  <si>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</si>
  <si>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</si>
  <si>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</si>
  <si>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</si>
  <si>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</si>
  <si>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办公</t>
    <phoneticPr fontId="7" type="noConversion"/>
  </si>
  <si>
    <t>是</t>
  </si>
  <si>
    <t>办公</t>
    <phoneticPr fontId="3" type="noConversion"/>
  </si>
  <si>
    <t>地上</t>
  </si>
  <si>
    <t>成新度</t>
  </si>
  <si>
    <t>押一</t>
  </si>
  <si>
    <t>钢混</t>
  </si>
  <si>
    <t>非生产用房</t>
  </si>
  <si>
    <t>按租金收入计税</t>
  </si>
  <si>
    <t>比较法-办公</t>
  </si>
  <si>
    <t>房屋面积明细表（依据测绘报告）</t>
    <phoneticPr fontId="143" type="noConversion"/>
  </si>
  <si>
    <t>商业用房修正表</t>
    <phoneticPr fontId="143" type="noConversion"/>
  </si>
  <si>
    <t>楼层</t>
    <phoneticPr fontId="143" type="noConversion"/>
  </si>
  <si>
    <t>面积</t>
    <phoneticPr fontId="143" type="noConversion"/>
  </si>
  <si>
    <t>用途</t>
    <phoneticPr fontId="143" type="noConversion"/>
  </si>
  <si>
    <t>用途</t>
    <phoneticPr fontId="143" type="noConversion"/>
  </si>
  <si>
    <t>修正系数</t>
    <phoneticPr fontId="143" type="noConversion"/>
  </si>
  <si>
    <t>单价</t>
    <phoneticPr fontId="143" type="noConversion"/>
  </si>
  <si>
    <t>建筑面积</t>
    <phoneticPr fontId="143" type="noConversion"/>
  </si>
  <si>
    <t>总价</t>
    <phoneticPr fontId="143" type="noConversion"/>
  </si>
  <si>
    <t>库房</t>
    <phoneticPr fontId="143" type="noConversion"/>
  </si>
  <si>
    <t>1层</t>
    <phoneticPr fontId="143" type="noConversion"/>
  </si>
  <si>
    <t>库房</t>
    <phoneticPr fontId="143" type="noConversion"/>
  </si>
  <si>
    <t>地下1层</t>
    <phoneticPr fontId="143" type="noConversion"/>
  </si>
  <si>
    <t>餐厅</t>
    <phoneticPr fontId="143" type="noConversion"/>
  </si>
  <si>
    <t>34层</t>
    <phoneticPr fontId="143" type="noConversion"/>
  </si>
  <si>
    <t>商业</t>
    <phoneticPr fontId="143" type="noConversion"/>
  </si>
  <si>
    <r>
      <t>3</t>
    </r>
    <r>
      <rPr>
        <sz val="11"/>
        <color theme="1"/>
        <rFont val="宋体"/>
        <family val="3"/>
        <charset val="134"/>
        <scheme val="minor"/>
      </rPr>
      <t>5-36层</t>
    </r>
    <phoneticPr fontId="143" type="noConversion"/>
  </si>
  <si>
    <t>办公</t>
    <phoneticPr fontId="143" type="noConversion"/>
  </si>
  <si>
    <t>合计</t>
    <phoneticPr fontId="143" type="noConversion"/>
  </si>
  <si>
    <t>-303</t>
  </si>
  <si>
    <t>-304</t>
  </si>
  <si>
    <t>-305</t>
  </si>
  <si>
    <t>-306</t>
  </si>
  <si>
    <t>-307</t>
  </si>
  <si>
    <t>-308</t>
  </si>
  <si>
    <t>-309</t>
  </si>
  <si>
    <t>-310</t>
  </si>
  <si>
    <t>-311</t>
  </si>
  <si>
    <t>-203</t>
  </si>
  <si>
    <t>-204</t>
  </si>
  <si>
    <t>-205</t>
  </si>
  <si>
    <t>-206</t>
  </si>
  <si>
    <t>-207</t>
  </si>
  <si>
    <t>-208</t>
  </si>
  <si>
    <t>-209</t>
  </si>
  <si>
    <t>-210</t>
  </si>
  <si>
    <t>102</t>
  </si>
  <si>
    <t>103</t>
  </si>
  <si>
    <t>104</t>
  </si>
  <si>
    <t>105</t>
  </si>
  <si>
    <t>106</t>
  </si>
  <si>
    <t>203</t>
  </si>
  <si>
    <t>204</t>
  </si>
  <si>
    <t>205</t>
  </si>
  <si>
    <t>206</t>
  </si>
  <si>
    <t>207</t>
  </si>
  <si>
    <t>208</t>
  </si>
  <si>
    <t>209</t>
  </si>
  <si>
    <t>210</t>
  </si>
  <si>
    <t>303</t>
  </si>
  <si>
    <t>304</t>
  </si>
  <si>
    <t>305</t>
  </si>
  <si>
    <t>306</t>
  </si>
  <si>
    <t>307</t>
  </si>
  <si>
    <t>308</t>
  </si>
  <si>
    <t>309</t>
  </si>
  <si>
    <t>310</t>
  </si>
  <si>
    <t>402</t>
  </si>
  <si>
    <t>403</t>
  </si>
  <si>
    <t>404</t>
  </si>
  <si>
    <t>405</t>
  </si>
  <si>
    <t>406</t>
  </si>
  <si>
    <t>407</t>
  </si>
  <si>
    <t>408</t>
  </si>
  <si>
    <t>409</t>
  </si>
  <si>
    <t>410</t>
  </si>
  <si>
    <t>502</t>
  </si>
  <si>
    <t>503</t>
  </si>
  <si>
    <t>504</t>
  </si>
  <si>
    <t>505</t>
  </si>
  <si>
    <t>506</t>
  </si>
  <si>
    <t>507</t>
  </si>
  <si>
    <t>508</t>
  </si>
  <si>
    <t>509</t>
  </si>
  <si>
    <t>510</t>
  </si>
  <si>
    <t>602</t>
  </si>
  <si>
    <t>603</t>
  </si>
  <si>
    <t>604</t>
  </si>
  <si>
    <t>605</t>
  </si>
  <si>
    <t>606</t>
  </si>
  <si>
    <t>607</t>
  </si>
  <si>
    <t>608</t>
  </si>
  <si>
    <t>609</t>
  </si>
  <si>
    <t>610</t>
  </si>
  <si>
    <t>702</t>
  </si>
  <si>
    <t>703</t>
  </si>
  <si>
    <t>704</t>
  </si>
  <si>
    <t>705</t>
  </si>
  <si>
    <t>706</t>
  </si>
  <si>
    <t>707</t>
  </si>
  <si>
    <t>708</t>
  </si>
  <si>
    <t>709</t>
  </si>
  <si>
    <t>710</t>
  </si>
  <si>
    <t>802</t>
  </si>
  <si>
    <t>803</t>
  </si>
  <si>
    <t>804</t>
  </si>
  <si>
    <t>805</t>
  </si>
  <si>
    <t>806</t>
  </si>
  <si>
    <t>807</t>
  </si>
  <si>
    <t>808</t>
  </si>
  <si>
    <t>809</t>
  </si>
  <si>
    <t>810</t>
  </si>
  <si>
    <t>902</t>
  </si>
  <si>
    <t>903</t>
  </si>
  <si>
    <t>904</t>
  </si>
  <si>
    <t>905</t>
  </si>
  <si>
    <t>906</t>
  </si>
  <si>
    <t>907</t>
  </si>
  <si>
    <t>908</t>
  </si>
  <si>
    <t>909</t>
  </si>
  <si>
    <t>910</t>
  </si>
  <si>
    <t>1002</t>
  </si>
  <si>
    <t>1003</t>
  </si>
  <si>
    <t>1004</t>
  </si>
  <si>
    <t>1005</t>
  </si>
  <si>
    <t>1006</t>
  </si>
  <si>
    <t>1007</t>
  </si>
  <si>
    <t>1008</t>
  </si>
  <si>
    <t>1009</t>
  </si>
  <si>
    <t>1010</t>
  </si>
  <si>
    <t>1102</t>
  </si>
  <si>
    <t>1103</t>
  </si>
  <si>
    <t>1104</t>
  </si>
  <si>
    <t>1105</t>
  </si>
  <si>
    <t>1106</t>
  </si>
  <si>
    <t>1107</t>
  </si>
  <si>
    <t>1108</t>
  </si>
  <si>
    <t>1109</t>
  </si>
  <si>
    <t>1110</t>
  </si>
  <si>
    <t>1402</t>
  </si>
  <si>
    <t>1403</t>
  </si>
  <si>
    <t>1404</t>
  </si>
  <si>
    <t>1502</t>
  </si>
  <si>
    <t>1503</t>
  </si>
  <si>
    <t>1504</t>
  </si>
  <si>
    <t>1602</t>
  </si>
  <si>
    <t>1603</t>
  </si>
  <si>
    <t>1604</t>
  </si>
  <si>
    <t>1702</t>
  </si>
  <si>
    <t>1703</t>
  </si>
  <si>
    <t>1704</t>
  </si>
  <si>
    <t>1802</t>
  </si>
  <si>
    <t>1803</t>
  </si>
  <si>
    <t>1804</t>
  </si>
  <si>
    <t>1902</t>
  </si>
  <si>
    <t>1903</t>
  </si>
  <si>
    <t>1904</t>
  </si>
  <si>
    <t>2002</t>
  </si>
  <si>
    <t>2003</t>
  </si>
  <si>
    <t>2004</t>
  </si>
  <si>
    <t>2102</t>
  </si>
  <si>
    <t>2103</t>
  </si>
  <si>
    <t>2104</t>
  </si>
  <si>
    <t>2202</t>
  </si>
  <si>
    <t>2203</t>
  </si>
  <si>
    <t>2204</t>
  </si>
  <si>
    <t>办公</t>
    <phoneticPr fontId="143" type="noConversion"/>
  </si>
  <si>
    <t>餐厅</t>
    <phoneticPr fontId="143" type="noConversion"/>
  </si>
  <si>
    <t>餐厅</t>
    <phoneticPr fontId="143" type="noConversion"/>
  </si>
  <si>
    <t>合计</t>
    <phoneticPr fontId="143" type="noConversion"/>
  </si>
  <si>
    <t>各用途面积合计</t>
    <phoneticPr fontId="143" type="noConversion"/>
  </si>
  <si>
    <t>商业</t>
    <phoneticPr fontId="143" type="noConversion"/>
  </si>
  <si>
    <t>库房</t>
    <phoneticPr fontId="143" type="noConversion"/>
  </si>
  <si>
    <t>地下1层夹层1</t>
    <phoneticPr fontId="143" type="noConversion"/>
  </si>
  <si>
    <t>地下1层夹层2</t>
  </si>
  <si>
    <t>1层</t>
  </si>
  <si>
    <t>1层</t>
    <phoneticPr fontId="143" type="noConversion"/>
  </si>
  <si>
    <t>收益法办公</t>
  </si>
  <si>
    <t>收益法办公</t>
    <phoneticPr fontId="16" type="noConversion"/>
  </si>
  <si>
    <t>收益法仓储</t>
  </si>
  <si>
    <t>收益法仓储</t>
    <phoneticPr fontId="16" type="noConversion"/>
  </si>
  <si>
    <t>收益法商业</t>
  </si>
  <si>
    <t>收益法商业</t>
    <phoneticPr fontId="16" type="noConversion"/>
  </si>
  <si>
    <t>朝林广场</t>
    <phoneticPr fontId="3" type="noConversion"/>
  </si>
  <si>
    <t>租金</t>
  </si>
  <si>
    <t>中航技广场</t>
    <phoneticPr fontId="3" type="noConversion"/>
  </si>
  <si>
    <t>荣华中路与荣京东街交汇处</t>
  </si>
  <si>
    <t>荣华南路18号</t>
  </si>
  <si>
    <t>办公</t>
    <phoneticPr fontId="143" type="noConversion"/>
  </si>
  <si>
    <t>40-50（含）</t>
  </si>
  <si>
    <t>好</t>
  </si>
  <si>
    <t>较好</t>
  </si>
  <si>
    <t>七通</t>
  </si>
  <si>
    <t>一般</t>
  </si>
  <si>
    <t>城市次干道——荣京西街</t>
  </si>
  <si>
    <t>城市次干道——荣华南路</t>
    <phoneticPr fontId="3" type="noConversion"/>
  </si>
  <si>
    <t>城市次干道——荣京西街</t>
    <phoneticPr fontId="3" type="noConversion"/>
  </si>
  <si>
    <t>城市次干道——荣华南路</t>
    <phoneticPr fontId="3" type="noConversion"/>
  </si>
  <si>
    <t>次干道</t>
  </si>
  <si>
    <t>标准写字楼</t>
  </si>
  <si>
    <t>精装修</t>
  </si>
  <si>
    <t>甲级</t>
  </si>
  <si>
    <t>专业</t>
  </si>
  <si>
    <t>标准层高</t>
  </si>
  <si>
    <t>简装</t>
  </si>
  <si>
    <t>有</t>
  </si>
  <si>
    <t>智能环保系统</t>
    <phoneticPr fontId="143" type="noConversion"/>
  </si>
  <si>
    <t>六通</t>
  </si>
  <si>
    <t>普通装修</t>
  </si>
  <si>
    <t>无</t>
    <phoneticPr fontId="143" type="noConversion"/>
  </si>
  <si>
    <t>无</t>
  </si>
  <si>
    <t>有</t>
    <phoneticPr fontId="143" type="noConversion"/>
  </si>
  <si>
    <t>建筑品质</t>
    <phoneticPr fontId="143" type="noConversion"/>
  </si>
  <si>
    <t>高档</t>
    <phoneticPr fontId="143" type="noConversion"/>
  </si>
  <si>
    <t>普通</t>
    <phoneticPr fontId="3" type="noConversion"/>
  </si>
  <si>
    <t>普通</t>
    <phoneticPr fontId="143" type="noConversion"/>
  </si>
  <si>
    <t>荣华国际</t>
    <phoneticPr fontId="3" type="noConversion"/>
  </si>
  <si>
    <r>
      <rPr>
        <sz val="11"/>
        <color theme="9" tint="-0.249977111117893"/>
        <rFont val="宋体"/>
        <family val="3"/>
        <charset val="134"/>
      </rPr>
      <t>荣华南路</t>
    </r>
    <r>
      <rPr>
        <sz val="11"/>
        <color theme="9" tint="-0.249977111117893"/>
        <rFont val="Arial"/>
        <family val="2"/>
      </rPr>
      <t>10</t>
    </r>
    <r>
      <rPr>
        <sz val="11"/>
        <color theme="9" tint="-0.249977111117893"/>
        <rFont val="宋体"/>
        <family val="3"/>
        <charset val="134"/>
      </rPr>
      <t>号</t>
    </r>
    <phoneticPr fontId="143" type="noConversion"/>
  </si>
  <si>
    <r>
      <rPr>
        <sz val="11"/>
        <rFont val="宋体"/>
        <family val="3"/>
        <charset val="134"/>
      </rPr>
      <t>城市次干道</t>
    </r>
    <r>
      <rPr>
        <sz val="11"/>
        <rFont val="Arial"/>
        <family val="2"/>
      </rPr>
      <t>——</t>
    </r>
    <r>
      <rPr>
        <sz val="11"/>
        <rFont val="宋体"/>
        <family val="3"/>
        <charset val="134"/>
      </rPr>
      <t>荣华南路</t>
    </r>
    <phoneticPr fontId="32" type="noConversion"/>
  </si>
  <si>
    <r>
      <rPr>
        <sz val="11"/>
        <rFont val="宋体"/>
        <family val="3"/>
        <charset val="134"/>
      </rPr>
      <t>城市次干道</t>
    </r>
    <r>
      <rPr>
        <sz val="11"/>
        <rFont val="Arial"/>
        <family val="2"/>
      </rPr>
      <t>——</t>
    </r>
    <r>
      <rPr>
        <sz val="11"/>
        <rFont val="宋体"/>
        <family val="3"/>
        <charset val="134"/>
      </rPr>
      <t>荣华中路</t>
    </r>
    <phoneticPr fontId="32" type="noConversion"/>
  </si>
  <si>
    <r>
      <rPr>
        <sz val="11"/>
        <rFont val="宋体"/>
        <family val="3"/>
        <charset val="134"/>
      </rPr>
      <t>城市次干道</t>
    </r>
    <r>
      <rPr>
        <sz val="11"/>
        <rFont val="Arial"/>
        <family val="2"/>
      </rPr>
      <t>——</t>
    </r>
    <r>
      <rPr>
        <sz val="11"/>
        <rFont val="宋体"/>
        <family val="3"/>
        <charset val="134"/>
      </rPr>
      <t>北环西路</t>
    </r>
    <phoneticPr fontId="32" type="noConversion"/>
  </si>
  <si>
    <t>无</t>
    <phoneticPr fontId="32" type="noConversion"/>
  </si>
  <si>
    <t>亦庄创意生活广场</t>
  </si>
  <si>
    <t>富兴国际中心</t>
  </si>
  <si>
    <t>商业</t>
    <phoneticPr fontId="31" type="noConversion"/>
  </si>
  <si>
    <t>30-40（含）</t>
  </si>
  <si>
    <t>林肯公园</t>
    <phoneticPr fontId="31" type="noConversion"/>
  </si>
  <si>
    <t>多面临街</t>
    <phoneticPr fontId="3" type="noConversion"/>
  </si>
  <si>
    <t>双面临街</t>
    <phoneticPr fontId="3" type="noConversion"/>
  </si>
  <si>
    <t>单面临街</t>
    <phoneticPr fontId="3" type="noConversion"/>
  </si>
  <si>
    <t>临内部道路</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</si>
  <si>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</si>
  <si>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</si>
  <si>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</si>
  <si>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</si>
  <si>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</si>
  <si>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</si>
  <si>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</si>
  <si>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r>
      <t>1</t>
    </r>
    <r>
      <rPr>
        <sz val="11"/>
        <color indexed="8"/>
        <rFont val="宋体"/>
        <family val="3"/>
        <charset val="134"/>
      </rPr>
      <t>层</t>
    </r>
    <phoneticPr fontId="3" type="noConversion"/>
  </si>
  <si>
    <r>
      <t>2</t>
    </r>
    <r>
      <rPr>
        <sz val="11"/>
        <color indexed="8"/>
        <rFont val="宋体"/>
        <family val="3"/>
        <charset val="134"/>
      </rPr>
      <t>层</t>
    </r>
    <phoneticPr fontId="3" type="noConversion"/>
  </si>
  <si>
    <r>
      <t>3</t>
    </r>
    <r>
      <rPr>
        <sz val="11"/>
        <color indexed="8"/>
        <rFont val="宋体"/>
        <family val="3"/>
        <charset val="134"/>
      </rPr>
      <t>层</t>
    </r>
    <phoneticPr fontId="3" type="noConversion"/>
  </si>
  <si>
    <r>
      <rPr>
        <sz val="11"/>
        <color indexed="8"/>
        <rFont val="宋体"/>
        <family val="3"/>
        <charset val="134"/>
      </rPr>
      <t>负</t>
    </r>
    <r>
      <rPr>
        <sz val="11"/>
        <color indexed="8"/>
        <rFont val="Arial"/>
        <family val="2"/>
      </rPr>
      <t>1</t>
    </r>
    <r>
      <rPr>
        <sz val="11"/>
        <color indexed="8"/>
        <rFont val="宋体"/>
        <family val="3"/>
        <charset val="134"/>
      </rPr>
      <t>层</t>
    </r>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</si>
  <si>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</si>
  <si>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</si>
  <si>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</si>
  <si>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</si>
  <si>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</si>
  <si>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七通</t>
    <phoneticPr fontId="3" type="noConversion"/>
  </si>
  <si>
    <t>可餐饮</t>
    <phoneticPr fontId="3" type="noConversion"/>
  </si>
  <si>
    <t>不可餐饮</t>
    <phoneticPr fontId="3" type="noConversion"/>
  </si>
  <si>
    <t>超高</t>
    <phoneticPr fontId="3" type="noConversion"/>
  </si>
  <si>
    <t>标准</t>
    <phoneticPr fontId="3" type="noConversion"/>
  </si>
  <si>
    <t>超低</t>
    <phoneticPr fontId="3" type="noConversion"/>
  </si>
  <si>
    <t>好</t>
    <phoneticPr fontId="31" type="noConversion"/>
  </si>
  <si>
    <t>单面临街</t>
  </si>
  <si>
    <t>大型商业综合体</t>
    <phoneticPr fontId="3" type="noConversion"/>
  </si>
  <si>
    <t>独栋商业</t>
    <phoneticPr fontId="3" type="noConversion"/>
  </si>
  <si>
    <t>商业街商铺</t>
    <phoneticPr fontId="3" type="noConversion"/>
  </si>
  <si>
    <t>写字楼底商</t>
    <phoneticPr fontId="3" type="noConversion"/>
  </si>
  <si>
    <t>住宅底商</t>
    <phoneticPr fontId="3" type="noConversion"/>
  </si>
  <si>
    <t>写字楼底商</t>
  </si>
  <si>
    <t>商业街商铺</t>
  </si>
  <si>
    <t>可餐饮</t>
  </si>
  <si>
    <t>超高</t>
  </si>
  <si>
    <t>标准</t>
  </si>
  <si>
    <t>毛坯</t>
  </si>
  <si>
    <t>普装</t>
  </si>
  <si>
    <t>精装</t>
  </si>
  <si>
    <t>较大</t>
  </si>
  <si>
    <t>力宝广场</t>
    <phoneticPr fontId="31" type="noConversion"/>
  </si>
  <si>
    <t>商业案例</t>
    <phoneticPr fontId="143" type="noConversion"/>
  </si>
  <si>
    <t>商务金融用地（办公类）</t>
  </si>
  <si>
    <t>容积率修正</t>
  </si>
  <si>
    <t>地价指数</t>
  </si>
  <si>
    <t>仓储</t>
  </si>
  <si>
    <t>地下</t>
  </si>
  <si>
    <t>林肯公园</t>
    <phoneticPr fontId="143" type="noConversion"/>
  </si>
  <si>
    <r>
      <t>1-2</t>
    </r>
    <r>
      <rPr>
        <sz val="11"/>
        <color indexed="8"/>
        <rFont val="宋体"/>
        <family val="3"/>
        <charset val="134"/>
      </rPr>
      <t>层</t>
    </r>
    <phoneticPr fontId="143" type="noConversion"/>
  </si>
  <si>
    <t>1-2层</t>
  </si>
  <si>
    <t>中航国际</t>
    <phoneticPr fontId="143" type="noConversion"/>
  </si>
  <si>
    <r>
      <t>地下3</t>
    </r>
    <r>
      <rPr>
        <sz val="11"/>
        <color theme="1"/>
        <rFont val="宋体"/>
        <family val="3"/>
        <charset val="134"/>
        <scheme val="minor"/>
      </rPr>
      <t>层</t>
    </r>
    <phoneticPr fontId="143" type="noConversion"/>
  </si>
  <si>
    <t>地下3层夹层</t>
    <phoneticPr fontId="143" type="noConversion"/>
  </si>
  <si>
    <t>地下2层</t>
    <phoneticPr fontId="143" type="noConversion"/>
  </si>
  <si>
    <t>地下1层</t>
    <phoneticPr fontId="143" type="noConversion"/>
  </si>
  <si>
    <t>1层</t>
    <phoneticPr fontId="143" type="noConversion"/>
  </si>
  <si>
    <t>2层</t>
    <phoneticPr fontId="143" type="noConversion"/>
  </si>
  <si>
    <t>3层</t>
    <phoneticPr fontId="143" type="noConversion"/>
  </si>
  <si>
    <t>4层</t>
    <phoneticPr fontId="143" type="noConversion"/>
  </si>
  <si>
    <t>5层</t>
    <phoneticPr fontId="143" type="noConversion"/>
  </si>
  <si>
    <t>6层</t>
    <phoneticPr fontId="143" type="noConversion"/>
  </si>
  <si>
    <t>7层</t>
    <phoneticPr fontId="143" type="noConversion"/>
  </si>
  <si>
    <t>8层</t>
    <phoneticPr fontId="143" type="noConversion"/>
  </si>
  <si>
    <t>9层</t>
    <phoneticPr fontId="143" type="noConversion"/>
  </si>
  <si>
    <t>10层</t>
    <phoneticPr fontId="143" type="noConversion"/>
  </si>
  <si>
    <t>11层</t>
    <phoneticPr fontId="143" type="noConversion"/>
  </si>
  <si>
    <t>12层</t>
    <phoneticPr fontId="143" type="noConversion"/>
  </si>
  <si>
    <t>12层夹层</t>
    <phoneticPr fontId="143" type="noConversion"/>
  </si>
  <si>
    <t>13层</t>
    <phoneticPr fontId="143" type="noConversion"/>
  </si>
  <si>
    <t>14层</t>
    <phoneticPr fontId="143" type="noConversion"/>
  </si>
  <si>
    <t>15层</t>
    <phoneticPr fontId="143" type="noConversion"/>
  </si>
  <si>
    <t>16层</t>
    <phoneticPr fontId="143" type="noConversion"/>
  </si>
  <si>
    <t>17层</t>
    <phoneticPr fontId="143" type="noConversion"/>
  </si>
  <si>
    <t>18层</t>
    <phoneticPr fontId="143" type="noConversion"/>
  </si>
  <si>
    <t>19层</t>
    <phoneticPr fontId="143" type="noConversion"/>
  </si>
  <si>
    <t>20层</t>
    <phoneticPr fontId="143" type="noConversion"/>
  </si>
  <si>
    <t>21层</t>
    <phoneticPr fontId="143" type="noConversion"/>
  </si>
  <si>
    <t>22层</t>
    <phoneticPr fontId="143" type="noConversion"/>
  </si>
  <si>
    <t>23层</t>
    <phoneticPr fontId="143" type="noConversion"/>
  </si>
  <si>
    <t>24层</t>
    <phoneticPr fontId="143" type="noConversion"/>
  </si>
  <si>
    <t>25层</t>
    <phoneticPr fontId="143" type="noConversion"/>
  </si>
  <si>
    <t>26层</t>
    <phoneticPr fontId="143" type="noConversion"/>
  </si>
  <si>
    <t>27层</t>
    <phoneticPr fontId="143" type="noConversion"/>
  </si>
  <si>
    <t>28层</t>
    <phoneticPr fontId="143" type="noConversion"/>
  </si>
  <si>
    <t>29层</t>
    <phoneticPr fontId="143" type="noConversion"/>
  </si>
  <si>
    <t>30层</t>
    <phoneticPr fontId="143" type="noConversion"/>
  </si>
  <si>
    <t>31层</t>
    <phoneticPr fontId="143" type="noConversion"/>
  </si>
  <si>
    <t>32层</t>
    <phoneticPr fontId="143" type="noConversion"/>
  </si>
  <si>
    <t>33层</t>
    <phoneticPr fontId="143" type="noConversion"/>
  </si>
  <si>
    <t>34层</t>
    <phoneticPr fontId="143" type="noConversion"/>
  </si>
  <si>
    <t>35层</t>
    <phoneticPr fontId="143" type="noConversion"/>
  </si>
  <si>
    <t>36层</t>
    <phoneticPr fontId="143" type="noConversion"/>
  </si>
  <si>
    <t>36层夹层</t>
    <phoneticPr fontId="143" type="noConversion"/>
  </si>
  <si>
    <t>屋面附属用房</t>
    <phoneticPr fontId="143" type="noConversion"/>
  </si>
  <si>
    <t>比较法-商业</t>
  </si>
  <si>
    <t>成本法</t>
  </si>
  <si>
    <t>-3层</t>
    <phoneticPr fontId="143" type="noConversion"/>
  </si>
  <si>
    <t>-301</t>
    <phoneticPr fontId="143" type="noConversion"/>
  </si>
  <si>
    <t>-302</t>
    <phoneticPr fontId="143" type="noConversion"/>
  </si>
  <si>
    <t>-312</t>
  </si>
  <si>
    <t>-313</t>
  </si>
  <si>
    <t>-314</t>
  </si>
  <si>
    <t>-2层</t>
    <phoneticPr fontId="143" type="noConversion"/>
  </si>
  <si>
    <t>-201</t>
    <phoneticPr fontId="143" type="noConversion"/>
  </si>
  <si>
    <t>-202</t>
    <phoneticPr fontId="143" type="noConversion"/>
  </si>
  <si>
    <t>-1层</t>
    <phoneticPr fontId="143" type="noConversion"/>
  </si>
  <si>
    <t>-101</t>
    <phoneticPr fontId="143" type="noConversion"/>
  </si>
  <si>
    <t>101</t>
    <phoneticPr fontId="143" type="noConversion"/>
  </si>
  <si>
    <t>01夹层</t>
    <phoneticPr fontId="143" type="noConversion"/>
  </si>
  <si>
    <t>107</t>
    <phoneticPr fontId="143" type="noConversion"/>
  </si>
  <si>
    <t>108</t>
    <phoneticPr fontId="143" type="noConversion"/>
  </si>
  <si>
    <t>02层</t>
    <phoneticPr fontId="143" type="noConversion"/>
  </si>
  <si>
    <t>201</t>
    <phoneticPr fontId="143" type="noConversion"/>
  </si>
  <si>
    <t>202</t>
    <phoneticPr fontId="143" type="noConversion"/>
  </si>
  <si>
    <t>03层</t>
    <phoneticPr fontId="143" type="noConversion"/>
  </si>
  <si>
    <t>301</t>
    <phoneticPr fontId="143" type="noConversion"/>
  </si>
  <si>
    <t>302</t>
    <phoneticPr fontId="143" type="noConversion"/>
  </si>
  <si>
    <t>04层</t>
    <phoneticPr fontId="143" type="noConversion"/>
  </si>
  <si>
    <t>401</t>
    <phoneticPr fontId="143" type="noConversion"/>
  </si>
  <si>
    <t>05层</t>
    <phoneticPr fontId="143" type="noConversion"/>
  </si>
  <si>
    <t>501</t>
    <phoneticPr fontId="143" type="noConversion"/>
  </si>
  <si>
    <t>06层</t>
    <phoneticPr fontId="143" type="noConversion"/>
  </si>
  <si>
    <t>601</t>
    <phoneticPr fontId="143" type="noConversion"/>
  </si>
  <si>
    <t>07层</t>
    <phoneticPr fontId="143" type="noConversion"/>
  </si>
  <si>
    <t>701</t>
    <phoneticPr fontId="143" type="noConversion"/>
  </si>
  <si>
    <t>08层</t>
    <phoneticPr fontId="143" type="noConversion"/>
  </si>
  <si>
    <t>801</t>
    <phoneticPr fontId="143" type="noConversion"/>
  </si>
  <si>
    <t>09层</t>
    <phoneticPr fontId="143" type="noConversion"/>
  </si>
  <si>
    <t>901</t>
    <phoneticPr fontId="143" type="noConversion"/>
  </si>
  <si>
    <t>10层</t>
    <phoneticPr fontId="143" type="noConversion"/>
  </si>
  <si>
    <t>1001</t>
    <phoneticPr fontId="143" type="noConversion"/>
  </si>
  <si>
    <t>11层</t>
    <phoneticPr fontId="143" type="noConversion"/>
  </si>
  <si>
    <t>1101</t>
    <phoneticPr fontId="143" type="noConversion"/>
  </si>
  <si>
    <t>12夹层</t>
    <phoneticPr fontId="143" type="noConversion"/>
  </si>
  <si>
    <t>1201</t>
    <phoneticPr fontId="143" type="noConversion"/>
  </si>
  <si>
    <t>1202</t>
    <phoneticPr fontId="143" type="noConversion"/>
  </si>
  <si>
    <t>1203</t>
    <phoneticPr fontId="143" type="noConversion"/>
  </si>
  <si>
    <t>13层</t>
    <phoneticPr fontId="143" type="noConversion"/>
  </si>
  <si>
    <t>1301</t>
    <phoneticPr fontId="143" type="noConversion"/>
  </si>
  <si>
    <t>1302</t>
    <phoneticPr fontId="143" type="noConversion"/>
  </si>
  <si>
    <t>1303</t>
    <phoneticPr fontId="143" type="noConversion"/>
  </si>
  <si>
    <t>1304</t>
    <phoneticPr fontId="143" type="noConversion"/>
  </si>
  <si>
    <t>14层</t>
    <phoneticPr fontId="143" type="noConversion"/>
  </si>
  <si>
    <t>1401</t>
    <phoneticPr fontId="143" type="noConversion"/>
  </si>
  <si>
    <t>15层</t>
    <phoneticPr fontId="143" type="noConversion"/>
  </si>
  <si>
    <t>1501</t>
    <phoneticPr fontId="143" type="noConversion"/>
  </si>
  <si>
    <t>16层</t>
    <phoneticPr fontId="143" type="noConversion"/>
  </si>
  <si>
    <t>1601</t>
    <phoneticPr fontId="143" type="noConversion"/>
  </si>
  <si>
    <t>17层</t>
    <phoneticPr fontId="143" type="noConversion"/>
  </si>
  <si>
    <t>1701</t>
    <phoneticPr fontId="143" type="noConversion"/>
  </si>
  <si>
    <t>18层</t>
    <phoneticPr fontId="143" type="noConversion"/>
  </si>
  <si>
    <t>1801</t>
    <phoneticPr fontId="143" type="noConversion"/>
  </si>
  <si>
    <t>19层</t>
    <phoneticPr fontId="143" type="noConversion"/>
  </si>
  <si>
    <t>1901</t>
    <phoneticPr fontId="143" type="noConversion"/>
  </si>
  <si>
    <t>20层</t>
    <phoneticPr fontId="143" type="noConversion"/>
  </si>
  <si>
    <t>2001</t>
    <phoneticPr fontId="143" type="noConversion"/>
  </si>
  <si>
    <t>21层</t>
    <phoneticPr fontId="143" type="noConversion"/>
  </si>
  <si>
    <t>2101</t>
    <phoneticPr fontId="143" type="noConversion"/>
  </si>
  <si>
    <t>22层</t>
    <phoneticPr fontId="143" type="noConversion"/>
  </si>
  <si>
    <t>2201</t>
    <phoneticPr fontId="143" type="noConversion"/>
  </si>
  <si>
    <t>24层</t>
    <phoneticPr fontId="143" type="noConversion"/>
  </si>
  <si>
    <t>2401</t>
    <phoneticPr fontId="143" type="noConversion"/>
  </si>
  <si>
    <t>2402</t>
    <phoneticPr fontId="143" type="noConversion"/>
  </si>
  <si>
    <t>25层</t>
    <phoneticPr fontId="143" type="noConversion"/>
  </si>
  <si>
    <t>2501</t>
    <phoneticPr fontId="143" type="noConversion"/>
  </si>
  <si>
    <t>2502</t>
    <phoneticPr fontId="143" type="noConversion"/>
  </si>
  <si>
    <t>26层</t>
    <phoneticPr fontId="143" type="noConversion"/>
  </si>
  <si>
    <t>2601</t>
    <phoneticPr fontId="143" type="noConversion"/>
  </si>
  <si>
    <t>2602</t>
    <phoneticPr fontId="143" type="noConversion"/>
  </si>
  <si>
    <t>27层</t>
    <phoneticPr fontId="143" type="noConversion"/>
  </si>
  <si>
    <t>2701</t>
    <phoneticPr fontId="143" type="noConversion"/>
  </si>
  <si>
    <t>2702</t>
    <phoneticPr fontId="143" type="noConversion"/>
  </si>
  <si>
    <t>28层</t>
    <phoneticPr fontId="143" type="noConversion"/>
  </si>
  <si>
    <t>2801</t>
    <phoneticPr fontId="143" type="noConversion"/>
  </si>
  <si>
    <t>2802</t>
    <phoneticPr fontId="143" type="noConversion"/>
  </si>
  <si>
    <t>29层</t>
    <phoneticPr fontId="143" type="noConversion"/>
  </si>
  <si>
    <t>2901</t>
    <phoneticPr fontId="143" type="noConversion"/>
  </si>
  <si>
    <t>2902</t>
    <phoneticPr fontId="143" type="noConversion"/>
  </si>
  <si>
    <t>30层</t>
    <phoneticPr fontId="143" type="noConversion"/>
  </si>
  <si>
    <t>3001</t>
    <phoneticPr fontId="143" type="noConversion"/>
  </si>
  <si>
    <t>3002</t>
    <phoneticPr fontId="143" type="noConversion"/>
  </si>
  <si>
    <t>31层</t>
    <phoneticPr fontId="143" type="noConversion"/>
  </si>
  <si>
    <t>3101</t>
    <phoneticPr fontId="143" type="noConversion"/>
  </si>
  <si>
    <t>3102</t>
    <phoneticPr fontId="143" type="noConversion"/>
  </si>
  <si>
    <t>3201</t>
    <phoneticPr fontId="143" type="noConversion"/>
  </si>
  <si>
    <t>3202</t>
    <phoneticPr fontId="143" type="noConversion"/>
  </si>
  <si>
    <t>32层</t>
    <phoneticPr fontId="143" type="noConversion"/>
  </si>
  <si>
    <t>33层</t>
    <phoneticPr fontId="143" type="noConversion"/>
  </si>
  <si>
    <t>3301</t>
    <phoneticPr fontId="143" type="noConversion"/>
  </si>
  <si>
    <t>3302</t>
    <phoneticPr fontId="143" type="noConversion"/>
  </si>
  <si>
    <t>34层</t>
    <phoneticPr fontId="143" type="noConversion"/>
  </si>
  <si>
    <t>3401</t>
    <phoneticPr fontId="143" type="noConversion"/>
  </si>
  <si>
    <t>35层</t>
    <phoneticPr fontId="143" type="noConversion"/>
  </si>
  <si>
    <t>3501</t>
    <phoneticPr fontId="143" type="noConversion"/>
  </si>
  <si>
    <t>部位及房号</t>
    <phoneticPr fontId="143" type="noConversion"/>
  </si>
  <si>
    <t>建筑面积</t>
    <phoneticPr fontId="143" type="noConversion"/>
  </si>
  <si>
    <t>楼层</t>
    <phoneticPr fontId="143" type="noConversion"/>
  </si>
  <si>
    <t>小计</t>
    <phoneticPr fontId="143" type="noConversion"/>
  </si>
  <si>
    <t>库房</t>
    <phoneticPr fontId="143" type="noConversion"/>
  </si>
  <si>
    <t>餐厅</t>
    <phoneticPr fontId="143" type="noConversion"/>
  </si>
  <si>
    <t>商业</t>
    <phoneticPr fontId="143" type="noConversion"/>
  </si>
  <si>
    <t>办公</t>
    <phoneticPr fontId="143" type="noConversion"/>
  </si>
  <si>
    <t>小计</t>
    <phoneticPr fontId="143" type="noConversion"/>
  </si>
  <si>
    <t>总计</t>
    <phoneticPr fontId="143" type="noConversion"/>
  </si>
  <si>
    <t>用途</t>
    <phoneticPr fontId="143" type="noConversion"/>
  </si>
  <si>
    <t>地上</t>
    <phoneticPr fontId="143" type="noConversion"/>
  </si>
  <si>
    <t>地下</t>
    <phoneticPr fontId="143" type="noConversion"/>
  </si>
  <si>
    <t>商业</t>
    <phoneticPr fontId="143" type="noConversion"/>
  </si>
  <si>
    <t>仓储</t>
    <phoneticPr fontId="143" type="noConversion"/>
  </si>
  <si>
    <t>未包含在土地购买价格中</t>
  </si>
  <si>
    <t>已包含在土地取得成本中</t>
  </si>
  <si>
    <t>中区</t>
  </si>
  <si>
    <t>否</t>
  </si>
  <si>
    <t>高区</t>
  </si>
  <si>
    <t>低区</t>
  </si>
  <si>
    <t>基准户型</t>
    <phoneticPr fontId="143" type="noConversion"/>
  </si>
  <si>
    <t>较好</t>
    <phoneticPr fontId="31" type="noConversion"/>
  </si>
  <si>
    <t>好</t>
    <phoneticPr fontId="31" type="noConversion"/>
  </si>
  <si>
    <t>较好</t>
    <phoneticPr fontId="143" type="noConversion"/>
  </si>
  <si>
    <t>高区</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</si>
</sst>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5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90" fillId="7" borderId="5" xfId="0" applyFont="1" applyFill="1" applyBorder="1" applyAlignment="1" applyProtection="1">
      <alignment vertical="center"/>
      <protection locked="0"/>
    </xf>
    <xf numFmtId="0" fontId="190" fillId="7" borderId="151" xfId="0" applyFont="1" applyFill="1" applyBorder="1" applyAlignment="1" applyProtection="1">
      <alignment vertical="center" wrapText="1"/>
      <protection locked="0"/>
    </xf>
    <xf numFmtId="0" fontId="22" fillId="0" borderId="44" xfId="10" applyNumberFormat="1" applyFont="1" applyFill="1" applyBorder="1" applyAlignment="1" applyProtection="1">
      <alignment horizontal="center" vertical="center" wrapText="1"/>
      <protection locked="0"/>
    </xf>
    <xf numFmtId="0" fontId="254" fillId="0" borderId="9" xfId="10" applyNumberFormat="1" applyFont="1" applyFill="1" applyBorder="1" applyAlignment="1" applyProtection="1">
      <alignment horizontal="center" vertical="center" wrapText="1"/>
      <protection locked="0"/>
    </xf>
    <xf numFmtId="0" fontId="254" fillId="0" borderId="44" xfId="1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0" borderId="1" xfId="0" applyFont="1" applyBorder="1" applyAlignment="1" applyProtection="1">
      <alignment horizontal="center" vertical="center" wrapText="1"/>
      <protection locked="0"/>
    </xf>
    <xf numFmtId="0" fontId="99" fillId="0" borderId="1" xfId="10" applyBorder="1">
      <alignment vertical="center"/>
    </xf>
    <xf numFmtId="0" fontId="99" fillId="0" borderId="0" xfId="10">
      <alignment vertical="center"/>
    </xf>
    <xf numFmtId="0" fontId="99" fillId="0" borderId="1" xfId="10" applyFont="1" applyBorder="1" applyAlignment="1">
      <alignment horizontal="center" vertical="center"/>
    </xf>
    <xf numFmtId="0" fontId="99" fillId="0" borderId="1" xfId="10" applyFont="1" applyFill="1" applyBorder="1" applyAlignment="1">
      <alignment horizontal="center" vertical="center"/>
    </xf>
    <xf numFmtId="0" fontId="99" fillId="0" borderId="1" xfId="10" applyBorder="1" applyAlignment="1">
      <alignment horizontal="center" vertical="center"/>
    </xf>
    <xf numFmtId="0" fontId="99" fillId="10" borderId="1" xfId="10" applyFont="1" applyFill="1" applyBorder="1" applyAlignment="1">
      <alignment horizontal="center" vertical="center"/>
    </xf>
    <xf numFmtId="0" fontId="99" fillId="15" borderId="1" xfId="10" applyFont="1" applyFill="1" applyBorder="1" applyAlignment="1">
      <alignment horizontal="center" vertical="center"/>
    </xf>
    <xf numFmtId="0" fontId="99" fillId="17" borderId="1" xfId="10" applyFont="1" applyFill="1" applyBorder="1" applyAlignment="1">
      <alignment horizontal="center" vertical="center"/>
    </xf>
    <xf numFmtId="0" fontId="100" fillId="0" borderId="1" xfId="10" applyFont="1" applyBorder="1" applyAlignment="1">
      <alignment horizontal="center" vertical="center"/>
    </xf>
    <xf numFmtId="0" fontId="137" fillId="0" borderId="5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44"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9" fillId="0" borderId="0" xfId="0" applyFont="1">
      <alignment vertical="center"/>
    </xf>
    <xf numFmtId="0" fontId="80" fillId="0" borderId="1" xfId="0" applyFont="1" applyBorder="1" applyAlignment="1" applyProtection="1">
      <alignment vertical="center" wrapText="1"/>
      <protection locked="0"/>
    </xf>
    <xf numFmtId="49" fontId="99" fillId="0" borderId="0" xfId="10" applyNumberFormat="1">
      <alignment vertical="center"/>
    </xf>
    <xf numFmtId="49" fontId="99" fillId="0" borderId="1" xfId="10" applyNumberFormat="1" applyBorder="1" applyAlignment="1">
      <alignment horizontal="center" vertical="center"/>
    </xf>
    <xf numFmtId="0" fontId="56" fillId="18" borderId="0" xfId="0" applyFont="1" applyFill="1" applyBorder="1" applyAlignment="1" applyProtection="1">
      <alignment horizontal="center" vertical="center"/>
      <protection locked="0"/>
    </xf>
    <xf numFmtId="0" fontId="47" fillId="18" borderId="5" xfId="0" applyFont="1" applyFill="1" applyBorder="1" applyAlignment="1" applyProtection="1">
      <alignment horizontal="center" vertical="center" wrapText="1"/>
    </xf>
    <xf numFmtId="0" fontId="57" fillId="18" borderId="24" xfId="1" applyFont="1" applyFill="1" applyBorder="1" applyAlignment="1" applyProtection="1">
      <alignment horizontal="left" vertical="center"/>
      <protection locked="0"/>
    </xf>
    <xf numFmtId="0" fontId="56" fillId="18" borderId="10" xfId="1" applyNumberFormat="1" applyFont="1" applyFill="1" applyBorder="1" applyAlignment="1" applyProtection="1">
      <alignment horizontal="center" vertical="center"/>
      <protection locked="0"/>
    </xf>
    <xf numFmtId="0" fontId="56" fillId="18" borderId="24" xfId="1" applyNumberFormat="1" applyFont="1" applyFill="1" applyBorder="1" applyAlignment="1" applyProtection="1">
      <alignment horizontal="center" vertical="center"/>
      <protection locked="0"/>
    </xf>
    <xf numFmtId="0" fontId="99" fillId="0" borderId="1" xfId="10" applyFill="1" applyBorder="1" applyAlignment="1">
      <alignment horizontal="center" vertical="center"/>
    </xf>
    <xf numFmtId="0" fontId="99" fillId="18" borderId="1" xfId="10" applyFill="1" applyBorder="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49" fontId="99" fillId="0" borderId="13" xfId="10" applyNumberFormat="1" applyBorder="1" applyAlignment="1">
      <alignment horizontal="center" vertical="center"/>
    </xf>
    <xf numFmtId="49" fontId="99" fillId="0" borderId="15" xfId="10" applyNumberFormat="1" applyBorder="1" applyAlignment="1">
      <alignment horizontal="center" vertical="center"/>
    </xf>
    <xf numFmtId="49" fontId="99" fillId="0" borderId="2" xfId="10" applyNumberFormat="1" applyBorder="1" applyAlignment="1">
      <alignment horizontal="center" vertical="center"/>
    </xf>
    <xf numFmtId="49" fontId="100" fillId="0" borderId="5" xfId="10" applyNumberFormat="1" applyFont="1" applyBorder="1" applyAlignment="1">
      <alignment horizontal="center" vertical="center"/>
    </xf>
    <xf numFmtId="49" fontId="100" fillId="0" borderId="3" xfId="10" applyNumberFormat="1" applyFont="1" applyBorder="1" applyAlignment="1">
      <alignment horizontal="center" vertical="center"/>
    </xf>
    <xf numFmtId="0" fontId="99" fillId="0" borderId="1" xfId="10" applyFont="1" applyBorder="1" applyAlignment="1">
      <alignment horizontal="center" vertical="center"/>
    </xf>
    <xf numFmtId="0" fontId="99" fillId="0" borderId="5" xfId="10" applyFont="1" applyBorder="1" applyAlignment="1">
      <alignment horizontal="center" vertical="center"/>
    </xf>
    <xf numFmtId="0" fontId="99" fillId="0" borderId="54" xfId="10" applyBorder="1" applyAlignment="1">
      <alignment horizontal="center" vertical="center"/>
    </xf>
    <xf numFmtId="0" fontId="99" fillId="0" borderId="3" xfId="10" applyBorder="1" applyAlignment="1">
      <alignment horizontal="center" vertical="center"/>
    </xf>
    <xf numFmtId="0" fontId="99" fillId="15" borderId="5" xfId="10" applyFont="1" applyFill="1" applyBorder="1" applyAlignment="1">
      <alignment horizontal="center" vertical="center"/>
    </xf>
    <xf numFmtId="0" fontId="99" fillId="15" borderId="54" xfId="10" applyFont="1" applyFill="1" applyBorder="1" applyAlignment="1">
      <alignment horizontal="center" vertical="center"/>
    </xf>
    <xf numFmtId="0" fontId="99" fillId="15" borderId="3" xfId="10" applyFont="1" applyFill="1" applyBorder="1" applyAlignment="1">
      <alignment horizontal="center" vertical="center"/>
    </xf>
    <xf numFmtId="0" fontId="100" fillId="0" borderId="5" xfId="10" applyFont="1" applyBorder="1" applyAlignment="1">
      <alignment horizontal="center" vertical="center"/>
    </xf>
    <xf numFmtId="0" fontId="100" fillId="0" borderId="54" xfId="10" applyFont="1" applyBorder="1" applyAlignment="1">
      <alignment horizontal="center" vertical="center"/>
    </xf>
    <xf numFmtId="0" fontId="100" fillId="0" borderId="3" xfId="10" applyFont="1" applyBorder="1" applyAlignment="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225" fillId="0" borderId="37" xfId="0" applyFont="1" applyFill="1" applyBorder="1" applyAlignment="1" applyProtection="1">
      <alignment horizontal="center" vertical="center" wrapText="1"/>
      <protection locked="0"/>
    </xf>
    <xf numFmtId="0" fontId="225" fillId="0" borderId="48" xfId="0" applyFont="1" applyFill="1" applyBorder="1" applyAlignment="1" applyProtection="1">
      <alignment horizontal="center" vertical="center" wrapText="1"/>
      <protection locked="0"/>
    </xf>
    <xf numFmtId="0" fontId="178" fillId="0" borderId="38" xfId="0" applyFont="1" applyFill="1" applyBorder="1" applyAlignment="1" applyProtection="1">
      <alignment horizontal="center" vertical="center" wrapText="1"/>
      <protection locked="0"/>
    </xf>
    <xf numFmtId="0" fontId="178" fillId="0" borderId="68" xfId="0" applyFont="1" applyFill="1" applyBorder="1" applyAlignment="1" applyProtection="1">
      <alignment horizontal="center" vertical="center" wrapText="1"/>
      <protection locked="0"/>
    </xf>
    <xf numFmtId="0" fontId="178" fillId="0" borderId="48" xfId="0" applyFont="1" applyFill="1" applyBorder="1" applyAlignment="1" applyProtection="1">
      <alignment horizontal="center" vertical="center" wrapText="1"/>
      <protection locked="0"/>
    </xf>
    <xf numFmtId="0" fontId="178" fillId="0" borderId="37"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21" fillId="6" borderId="1" xfId="0" applyFont="1" applyFill="1" applyBorder="1" applyAlignment="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8" fillId="2" borderId="54" xfId="0" applyNumberFormat="1"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5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7</xdr:col>
      <xdr:colOff>304800</xdr:colOff>
      <xdr:row>17</xdr:row>
      <xdr:rowOff>1089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
          <a:ext cx="5105400" cy="2915738"/>
        </a:xfrm>
        <a:prstGeom prst="rect">
          <a:avLst/>
        </a:prstGeom>
      </xdr:spPr>
    </xdr:pic>
    <xdr:clientData/>
  </xdr:twoCellAnchor>
  <xdr:twoCellAnchor editAs="oneCell">
    <xdr:from>
      <xdr:col>0</xdr:col>
      <xdr:colOff>0</xdr:colOff>
      <xdr:row>17</xdr:row>
      <xdr:rowOff>0</xdr:rowOff>
    </xdr:from>
    <xdr:to>
      <xdr:col>7</xdr:col>
      <xdr:colOff>285750</xdr:colOff>
      <xdr:row>34</xdr:row>
      <xdr:rowOff>45534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914650"/>
          <a:ext cx="5086350" cy="2960184"/>
        </a:xfrm>
        <a:prstGeom prst="rect">
          <a:avLst/>
        </a:prstGeom>
      </xdr:spPr>
    </xdr:pic>
    <xdr:clientData/>
  </xdr:twoCellAnchor>
  <xdr:twoCellAnchor editAs="oneCell">
    <xdr:from>
      <xdr:col>0</xdr:col>
      <xdr:colOff>0</xdr:colOff>
      <xdr:row>34</xdr:row>
      <xdr:rowOff>1</xdr:rowOff>
    </xdr:from>
    <xdr:to>
      <xdr:col>7</xdr:col>
      <xdr:colOff>255623</xdr:colOff>
      <xdr:row>49</xdr:row>
      <xdr:rowOff>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829301"/>
          <a:ext cx="5056223" cy="2571750"/>
        </a:xfrm>
        <a:prstGeom prst="rect">
          <a:avLst/>
        </a:prstGeom>
      </xdr:spPr>
    </xdr:pic>
    <xdr:clientData/>
  </xdr:twoCellAnchor>
  <xdr:twoCellAnchor editAs="oneCell">
    <xdr:from>
      <xdr:col>7</xdr:col>
      <xdr:colOff>358560</xdr:colOff>
      <xdr:row>24</xdr:row>
      <xdr:rowOff>66675</xdr:rowOff>
    </xdr:from>
    <xdr:to>
      <xdr:col>13</xdr:col>
      <xdr:colOff>351420</xdr:colOff>
      <xdr:row>48</xdr:row>
      <xdr:rowOff>122804</xdr:rowOff>
    </xdr:to>
    <xdr:pic>
      <xdr:nvPicPr>
        <xdr:cNvPr id="6" name="图片 5"/>
        <xdr:cNvPicPr>
          <a:picLocks noChangeAspect="1"/>
        </xdr:cNvPicPr>
      </xdr:nvPicPr>
      <xdr:blipFill>
        <a:blip xmlns:r="http://schemas.openxmlformats.org/officeDocument/2006/relationships" r:embed="rId4"/>
        <a:stretch>
          <a:fillRect/>
        </a:stretch>
      </xdr:blipFill>
      <xdr:spPr>
        <a:xfrm>
          <a:off x="5159160" y="4181475"/>
          <a:ext cx="4107660" cy="4170929"/>
        </a:xfrm>
        <a:prstGeom prst="rect">
          <a:avLst/>
        </a:prstGeom>
      </xdr:spPr>
    </xdr:pic>
    <xdr:clientData/>
  </xdr:twoCellAnchor>
  <xdr:twoCellAnchor editAs="oneCell">
    <xdr:from>
      <xdr:col>7</xdr:col>
      <xdr:colOff>333374</xdr:colOff>
      <xdr:row>0</xdr:row>
      <xdr:rowOff>28575</xdr:rowOff>
    </xdr:from>
    <xdr:to>
      <xdr:col>13</xdr:col>
      <xdr:colOff>227607</xdr:colOff>
      <xdr:row>23</xdr:row>
      <xdr:rowOff>108679</xdr:rowOff>
    </xdr:to>
    <xdr:pic>
      <xdr:nvPicPr>
        <xdr:cNvPr id="7" name="图片 6"/>
        <xdr:cNvPicPr>
          <a:picLocks noChangeAspect="1"/>
        </xdr:cNvPicPr>
      </xdr:nvPicPr>
      <xdr:blipFill>
        <a:blip xmlns:r="http://schemas.openxmlformats.org/officeDocument/2006/relationships" r:embed="rId5"/>
        <a:stretch>
          <a:fillRect/>
        </a:stretch>
      </xdr:blipFill>
      <xdr:spPr>
        <a:xfrm>
          <a:off x="5133974" y="28575"/>
          <a:ext cx="4009033" cy="4023454"/>
        </a:xfrm>
        <a:prstGeom prst="rect">
          <a:avLst/>
        </a:prstGeom>
      </xdr:spPr>
    </xdr:pic>
    <xdr:clientData/>
  </xdr:twoCellAnchor>
  <xdr:twoCellAnchor editAs="oneCell">
    <xdr:from>
      <xdr:col>0</xdr:col>
      <xdr:colOff>1</xdr:colOff>
      <xdr:row>49</xdr:row>
      <xdr:rowOff>1</xdr:rowOff>
    </xdr:from>
    <xdr:to>
      <xdr:col>7</xdr:col>
      <xdr:colOff>200025</xdr:colOff>
      <xdr:row>72</xdr:row>
      <xdr:rowOff>657</xdr:rowOff>
    </xdr:to>
    <xdr:pic>
      <xdr:nvPicPr>
        <xdr:cNvPr id="8" name="图片 7"/>
        <xdr:cNvPicPr>
          <a:picLocks noChangeAspect="1"/>
        </xdr:cNvPicPr>
      </xdr:nvPicPr>
      <xdr:blipFill>
        <a:blip xmlns:r="http://schemas.openxmlformats.org/officeDocument/2006/relationships" r:embed="rId6"/>
        <a:stretch>
          <a:fillRect/>
        </a:stretch>
      </xdr:blipFill>
      <xdr:spPr>
        <a:xfrm>
          <a:off x="1" y="8401051"/>
          <a:ext cx="5000624" cy="3944006"/>
        </a:xfrm>
        <a:prstGeom prst="rect">
          <a:avLst/>
        </a:prstGeom>
      </xdr:spPr>
    </xdr:pic>
    <xdr:clientData/>
  </xdr:twoCellAnchor>
  <xdr:twoCellAnchor editAs="oneCell">
    <xdr:from>
      <xdr:col>13</xdr:col>
      <xdr:colOff>182599</xdr:colOff>
      <xdr:row>0</xdr:row>
      <xdr:rowOff>44657</xdr:rowOff>
    </xdr:from>
    <xdr:to>
      <xdr:col>19</xdr:col>
      <xdr:colOff>18053</xdr:colOff>
      <xdr:row>22</xdr:row>
      <xdr:rowOff>142875</xdr:rowOff>
    </xdr:to>
    <xdr:pic>
      <xdr:nvPicPr>
        <xdr:cNvPr id="9" name="图片 8"/>
        <xdr:cNvPicPr>
          <a:picLocks noChangeAspect="1"/>
        </xdr:cNvPicPr>
      </xdr:nvPicPr>
      <xdr:blipFill>
        <a:blip xmlns:r="http://schemas.openxmlformats.org/officeDocument/2006/relationships" r:embed="rId7"/>
        <a:stretch>
          <a:fillRect/>
        </a:stretch>
      </xdr:blipFill>
      <xdr:spPr>
        <a:xfrm>
          <a:off x="9097999" y="44657"/>
          <a:ext cx="3950254" cy="3870118"/>
        </a:xfrm>
        <a:prstGeom prst="rect">
          <a:avLst/>
        </a:prstGeom>
      </xdr:spPr>
    </xdr:pic>
    <xdr:clientData/>
  </xdr:twoCellAnchor>
  <xdr:twoCellAnchor editAs="oneCell">
    <xdr:from>
      <xdr:col>8</xdr:col>
      <xdr:colOff>0</xdr:colOff>
      <xdr:row>49</xdr:row>
      <xdr:rowOff>0</xdr:rowOff>
    </xdr:from>
    <xdr:to>
      <xdr:col>16</xdr:col>
      <xdr:colOff>65981</xdr:colOff>
      <xdr:row>70</xdr:row>
      <xdr:rowOff>9074</xdr:rowOff>
    </xdr:to>
    <xdr:pic>
      <xdr:nvPicPr>
        <xdr:cNvPr id="10" name="图片 9"/>
        <xdr:cNvPicPr>
          <a:picLocks noChangeAspect="1"/>
        </xdr:cNvPicPr>
      </xdr:nvPicPr>
      <xdr:blipFill>
        <a:blip xmlns:r="http://schemas.openxmlformats.org/officeDocument/2006/relationships" r:embed="rId8"/>
        <a:stretch>
          <a:fillRect/>
        </a:stretch>
      </xdr:blipFill>
      <xdr:spPr>
        <a:xfrm>
          <a:off x="5486400" y="8401050"/>
          <a:ext cx="5552381" cy="3609524"/>
        </a:xfrm>
        <a:prstGeom prst="rect">
          <a:avLst/>
        </a:prstGeom>
      </xdr:spPr>
    </xdr:pic>
    <xdr:clientData/>
  </xdr:twoCellAnchor>
  <xdr:twoCellAnchor editAs="oneCell">
    <xdr:from>
      <xdr:col>0</xdr:col>
      <xdr:colOff>0</xdr:colOff>
      <xdr:row>73</xdr:row>
      <xdr:rowOff>126238</xdr:rowOff>
    </xdr:from>
    <xdr:to>
      <xdr:col>7</xdr:col>
      <xdr:colOff>390525</xdr:colOff>
      <xdr:row>91</xdr:row>
      <xdr:rowOff>39187</xdr:rowOff>
    </xdr:to>
    <xdr:pic>
      <xdr:nvPicPr>
        <xdr:cNvPr id="11" name="图片 10"/>
        <xdr:cNvPicPr>
          <a:picLocks noChangeAspect="1"/>
        </xdr:cNvPicPr>
      </xdr:nvPicPr>
      <xdr:blipFill>
        <a:blip xmlns:r="http://schemas.openxmlformats.org/officeDocument/2006/relationships" r:embed="rId9"/>
        <a:stretch>
          <a:fillRect/>
        </a:stretch>
      </xdr:blipFill>
      <xdr:spPr>
        <a:xfrm>
          <a:off x="0" y="12642088"/>
          <a:ext cx="5191125" cy="2999049"/>
        </a:xfrm>
        <a:prstGeom prst="rect">
          <a:avLst/>
        </a:prstGeom>
      </xdr:spPr>
    </xdr:pic>
    <xdr:clientData/>
  </xdr:twoCellAnchor>
  <xdr:twoCellAnchor editAs="oneCell">
    <xdr:from>
      <xdr:col>0</xdr:col>
      <xdr:colOff>0</xdr:colOff>
      <xdr:row>91</xdr:row>
      <xdr:rowOff>123825</xdr:rowOff>
    </xdr:from>
    <xdr:to>
      <xdr:col>7</xdr:col>
      <xdr:colOff>472827</xdr:colOff>
      <xdr:row>109</xdr:row>
      <xdr:rowOff>66091</xdr:rowOff>
    </xdr:to>
    <xdr:pic>
      <xdr:nvPicPr>
        <xdr:cNvPr id="12" name="图片 11"/>
        <xdr:cNvPicPr>
          <a:picLocks noChangeAspect="1"/>
        </xdr:cNvPicPr>
      </xdr:nvPicPr>
      <xdr:blipFill>
        <a:blip xmlns:r="http://schemas.openxmlformats.org/officeDocument/2006/relationships" r:embed="rId10"/>
        <a:stretch>
          <a:fillRect/>
        </a:stretch>
      </xdr:blipFill>
      <xdr:spPr>
        <a:xfrm>
          <a:off x="0" y="15725775"/>
          <a:ext cx="5273427" cy="3028366"/>
        </a:xfrm>
        <a:prstGeom prst="rect">
          <a:avLst/>
        </a:prstGeom>
      </xdr:spPr>
    </xdr:pic>
    <xdr:clientData/>
  </xdr:twoCellAnchor>
  <xdr:twoCellAnchor editAs="oneCell">
    <xdr:from>
      <xdr:col>0</xdr:col>
      <xdr:colOff>0</xdr:colOff>
      <xdr:row>109</xdr:row>
      <xdr:rowOff>135521</xdr:rowOff>
    </xdr:from>
    <xdr:to>
      <xdr:col>7</xdr:col>
      <xdr:colOff>514350</xdr:colOff>
      <xdr:row>127</xdr:row>
      <xdr:rowOff>27995</xdr:rowOff>
    </xdr:to>
    <xdr:pic>
      <xdr:nvPicPr>
        <xdr:cNvPr id="13" name="图片 12"/>
        <xdr:cNvPicPr>
          <a:picLocks noChangeAspect="1"/>
        </xdr:cNvPicPr>
      </xdr:nvPicPr>
      <xdr:blipFill>
        <a:blip xmlns:r="http://schemas.openxmlformats.org/officeDocument/2006/relationships" r:embed="rId11"/>
        <a:stretch>
          <a:fillRect/>
        </a:stretch>
      </xdr:blipFill>
      <xdr:spPr>
        <a:xfrm>
          <a:off x="0" y="18823571"/>
          <a:ext cx="5314950" cy="2978574"/>
        </a:xfrm>
        <a:prstGeom prst="rect">
          <a:avLst/>
        </a:prstGeom>
      </xdr:spPr>
    </xdr:pic>
    <xdr:clientData/>
  </xdr:twoCellAnchor>
  <xdr:twoCellAnchor editAs="oneCell">
    <xdr:from>
      <xdr:col>7</xdr:col>
      <xdr:colOff>638174</xdr:colOff>
      <xdr:row>72</xdr:row>
      <xdr:rowOff>98126</xdr:rowOff>
    </xdr:from>
    <xdr:to>
      <xdr:col>14</xdr:col>
      <xdr:colOff>199047</xdr:colOff>
      <xdr:row>95</xdr:row>
      <xdr:rowOff>75321</xdr:rowOff>
    </xdr:to>
    <xdr:pic>
      <xdr:nvPicPr>
        <xdr:cNvPr id="14" name="图片 13"/>
        <xdr:cNvPicPr>
          <a:picLocks noChangeAspect="1"/>
        </xdr:cNvPicPr>
      </xdr:nvPicPr>
      <xdr:blipFill>
        <a:blip xmlns:r="http://schemas.openxmlformats.org/officeDocument/2006/relationships" r:embed="rId12"/>
        <a:stretch>
          <a:fillRect/>
        </a:stretch>
      </xdr:blipFill>
      <xdr:spPr>
        <a:xfrm>
          <a:off x="5438774" y="12442526"/>
          <a:ext cx="4361473" cy="3920545"/>
        </a:xfrm>
        <a:prstGeom prst="rect">
          <a:avLst/>
        </a:prstGeom>
      </xdr:spPr>
    </xdr:pic>
    <xdr:clientData/>
  </xdr:twoCellAnchor>
  <xdr:twoCellAnchor editAs="oneCell">
    <xdr:from>
      <xdr:col>7</xdr:col>
      <xdr:colOff>647700</xdr:colOff>
      <xdr:row>95</xdr:row>
      <xdr:rowOff>45594</xdr:rowOff>
    </xdr:from>
    <xdr:to>
      <xdr:col>14</xdr:col>
      <xdr:colOff>522832</xdr:colOff>
      <xdr:row>110</xdr:row>
      <xdr:rowOff>75619</xdr:rowOff>
    </xdr:to>
    <xdr:pic>
      <xdr:nvPicPr>
        <xdr:cNvPr id="15" name="图片 14"/>
        <xdr:cNvPicPr>
          <a:picLocks noChangeAspect="1"/>
        </xdr:cNvPicPr>
      </xdr:nvPicPr>
      <xdr:blipFill>
        <a:blip xmlns:r="http://schemas.openxmlformats.org/officeDocument/2006/relationships" r:embed="rId13"/>
        <a:stretch>
          <a:fillRect/>
        </a:stretch>
      </xdr:blipFill>
      <xdr:spPr>
        <a:xfrm>
          <a:off x="5448300" y="16333344"/>
          <a:ext cx="4675732" cy="2601775"/>
        </a:xfrm>
        <a:prstGeom prst="rect">
          <a:avLst/>
        </a:prstGeom>
      </xdr:spPr>
    </xdr:pic>
    <xdr:clientData/>
  </xdr:twoCellAnchor>
  <xdr:twoCellAnchor editAs="oneCell">
    <xdr:from>
      <xdr:col>7</xdr:col>
      <xdr:colOff>666644</xdr:colOff>
      <xdr:row>110</xdr:row>
      <xdr:rowOff>66675</xdr:rowOff>
    </xdr:from>
    <xdr:to>
      <xdr:col>14</xdr:col>
      <xdr:colOff>227579</xdr:colOff>
      <xdr:row>131</xdr:row>
      <xdr:rowOff>161061</xdr:rowOff>
    </xdr:to>
    <xdr:pic>
      <xdr:nvPicPr>
        <xdr:cNvPr id="16" name="图片 15"/>
        <xdr:cNvPicPr>
          <a:picLocks noChangeAspect="1"/>
        </xdr:cNvPicPr>
      </xdr:nvPicPr>
      <xdr:blipFill>
        <a:blip xmlns:r="http://schemas.openxmlformats.org/officeDocument/2006/relationships" r:embed="rId14"/>
        <a:stretch>
          <a:fillRect/>
        </a:stretch>
      </xdr:blipFill>
      <xdr:spPr>
        <a:xfrm>
          <a:off x="5467244" y="18926175"/>
          <a:ext cx="4361535" cy="369483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352;&#23159;&#23159;/2018&#24180;/&#22312;&#24314;/2018-1-0021&#22269;&#38160;&#37329;&#40718;A&#24231;&#21150;&#20844;&#27004;&#21450;B&#24231;&#35774;&#22791;&#29992;&#25151;/F01DYGJ2/&#26368;&#32456;/&#12304;&#27979;&#31639;&#34920;1&#12305;2018-1-0021-F01DYGJ2&#21271;&#20140;&#24066;&#32463;&#27982;&#25216;&#26415;&#24320;&#21457;&#21306;35&#21495;&#34903;&#21306;35C1&#12289;35F1&#21495;&#22320;&#22359;&#65288;&#22269;&#38160;&#24191;&#22330;&#65289;A&#12289;B&#24231;&#65288;&#37096;&#20998;&#65289;&#21150;&#20844;&#27004;&#20998;&#25674;&#30340;&#20986;&#35753;&#22269;&#26377;&#24314;&#35774;&#29992;&#22320;&#20351;&#29992;&#26435;&#21450;&#22312;&#24314;&#24314;&#31569;&#29289;&#25151;&#22320;&#20135;&#25269;&#25276;&#20215;&#20540;&#35780;&#202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
      <sheetName val="收益法商业"/>
      <sheetName val="成本法"/>
      <sheetName val="成本法 (元)"/>
      <sheetName val="基准地价修正办公"/>
      <sheetName val="基准地价修正商业"/>
      <sheetName val="修正"/>
      <sheetName val="假设开发法"/>
      <sheetName val="基准地价修正 (2)"/>
      <sheetName val="收益法 (元)"/>
      <sheetName val="收益法（汇总）"/>
      <sheetName val="酒店收入计算"/>
      <sheetName val="收益法办公"/>
      <sheetName val="比较法-办公 (租金)"/>
      <sheetName val="比较法-商业"/>
      <sheetName val="比较法-办公"/>
      <sheetName val="比较法-工业"/>
      <sheetName val="比较法-联排"/>
      <sheetName val="收益法-联排"/>
      <sheetName val="比较法-车位"/>
      <sheetName val="收益法-车库"/>
      <sheetName val="收益法仓储"/>
      <sheetName val="比较法-仓储"/>
      <sheetName val="土地比较法-住宅、综合"/>
      <sheetName val="土地比较法-工业"/>
      <sheetName val="容积率修正"/>
      <sheetName val="基准地价（汇总）"/>
      <sheetName val="地价"/>
      <sheetName val="典型户型修正"/>
      <sheetName val="成本法（废）"/>
      <sheetName val="区片价"/>
      <sheetName val="因素修正幅度"/>
      <sheetName val="存贷款利率"/>
      <sheetName val="区片价（范围）"/>
      <sheetName val="面积表"/>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收益法仓储</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收益法办公</v>
          </cell>
        </row>
        <row r="18">
          <cell r="A18" t="str">
            <v>办公楼</v>
          </cell>
          <cell r="B18" t="str">
            <v>收益法商业</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办公</v>
          </cell>
        </row>
        <row r="20">
          <cell r="C20" t="str">
            <v>商业</v>
          </cell>
        </row>
        <row r="21">
          <cell r="C21" t="str">
            <v>地下仓储</v>
          </cell>
        </row>
        <row r="22">
          <cell r="C22" t="str">
            <v>地下商业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19" refreshError="1"/>
      <sheetData sheetId="20" refreshError="1"/>
      <sheetData sheetId="21" refreshError="1"/>
      <sheetData sheetId="22" refreshError="1"/>
      <sheetData sheetId="23" refreshError="1"/>
      <sheetData sheetId="2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ow r="61">
          <cell r="A61" t="str">
            <v>交易情况</v>
          </cell>
          <cell r="C61" t="str">
            <v>正常</v>
          </cell>
        </row>
        <row r="63">
          <cell r="B63" t="str">
            <v>用途</v>
          </cell>
          <cell r="C63" t="str">
            <v>商业</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较差</v>
          </cell>
          <cell r="G90" t="str">
            <v>差</v>
          </cell>
        </row>
        <row r="92">
          <cell r="B92" t="str">
            <v>楼层</v>
          </cell>
          <cell r="C92" t="str">
            <v>1层</v>
          </cell>
        </row>
        <row r="100">
          <cell r="B100" t="str">
            <v>商业类型</v>
          </cell>
          <cell r="C100" t="str">
            <v>大型商业综合体</v>
          </cell>
          <cell r="D100" t="str">
            <v>独栋商业</v>
          </cell>
          <cell r="E100" t="str">
            <v>临街商铺</v>
          </cell>
          <cell r="F100" t="str">
            <v>写字楼底商</v>
          </cell>
          <cell r="G100" t="str">
            <v>住宅底商</v>
          </cell>
        </row>
        <row r="105">
          <cell r="B105" t="str">
            <v>建筑结构</v>
          </cell>
          <cell r="C105" t="str">
            <v>钢混</v>
          </cell>
        </row>
        <row r="107">
          <cell r="B107" t="str">
            <v>公共部分装修</v>
          </cell>
          <cell r="C107" t="str">
            <v>精装</v>
          </cell>
          <cell r="D107" t="str">
            <v>普装</v>
          </cell>
          <cell r="E107" t="str">
            <v>简装</v>
          </cell>
          <cell r="F107" t="str">
            <v>毛坯</v>
          </cell>
        </row>
        <row r="112">
          <cell r="B112" t="str">
            <v>市政基础设施</v>
          </cell>
          <cell r="C112" t="str">
            <v>七通</v>
          </cell>
        </row>
        <row r="114">
          <cell r="B114" t="str">
            <v>业态</v>
          </cell>
          <cell r="C114" t="str">
            <v>可餐饮</v>
          </cell>
          <cell r="D114" t="str">
            <v>不可餐饮</v>
          </cell>
        </row>
        <row r="116">
          <cell r="B116" t="str">
            <v>层高</v>
          </cell>
          <cell r="C116" t="str">
            <v>超高</v>
          </cell>
          <cell r="D116" t="str">
            <v>标准</v>
          </cell>
        </row>
        <row r="120">
          <cell r="B120" t="str">
            <v>进深比</v>
          </cell>
          <cell r="C120" t="str">
            <v>较适宜</v>
          </cell>
        </row>
        <row r="122">
          <cell r="B122" t="str">
            <v>内部装修</v>
          </cell>
          <cell r="C122" t="str">
            <v>精装</v>
          </cell>
          <cell r="D122" t="str">
            <v>普装</v>
          </cell>
          <cell r="E122" t="str">
            <v>简装</v>
          </cell>
          <cell r="F122" t="str">
            <v>毛坯</v>
          </cell>
        </row>
      </sheetData>
      <sheetData sheetId="3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5" refreshError="1"/>
      <sheetData sheetId="36" refreshError="1"/>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efreshError="1"/>
      <sheetData sheetId="39" refreshError="1"/>
      <sheetData sheetId="4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4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3" refreshError="1"/>
      <sheetData sheetId="44" refreshError="1"/>
      <sheetData sheetId="45" refreshError="1"/>
      <sheetData sheetId="4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3" customWidth="1"/>
    <col min="2" max="2" width="81" style="1600" customWidth="1"/>
    <col min="3" max="16384" width="9" style="1598"/>
  </cols>
  <sheetData>
    <row r="1" spans="1:2" s="1586" customFormat="1" ht="16.5" thickBot="1">
      <c r="A1" s="1585" t="s">
        <v>1219</v>
      </c>
      <c r="B1" s="1584" t="s">
        <v>1298</v>
      </c>
    </row>
    <row r="2" spans="1:2" s="1589" customFormat="1" ht="15" thickTop="1">
      <c r="A2" s="1587" t="s">
        <v>1220</v>
      </c>
      <c r="B2" s="1588" t="str">
        <f>'预评函-封皮'!B37:I37</f>
        <v>北京市房地产抵押价值预评估</v>
      </c>
    </row>
    <row r="3" spans="1:2" s="1592" customFormat="1">
      <c r="A3" s="1590" t="s">
        <v>1221</v>
      </c>
      <c r="B3" s="1591" t="str">
        <f>'预评函-封皮'!B40</f>
        <v>北京国锐房地产开发有限公司</v>
      </c>
    </row>
    <row r="4" spans="1:2" s="1592" customFormat="1">
      <c r="A4" s="1590" t="s">
        <v>1222</v>
      </c>
      <c r="B4" s="1591" t="str">
        <f ca="1">'预评函-封皮'!B46</f>
        <v>刘梅（注册号：1120140022)、吴薇（注册号：1419970001)</v>
      </c>
    </row>
    <row r="5" spans="1:2" s="1586" customFormat="1" ht="15" thickBot="1">
      <c r="A5" s="1593" t="s">
        <v>1223</v>
      </c>
      <c r="B5" s="1594" t="str">
        <f>'预评函-封皮'!B49</f>
        <v>康正预评字号</v>
      </c>
    </row>
    <row r="6" spans="1:2" s="1589" customFormat="1" ht="15" thickTop="1">
      <c r="A6" s="1587" t="s">
        <v>1224</v>
      </c>
      <c r="B6" s="1588" t="str">
        <f>'预评函-1'!A4</f>
        <v>受贵公司委托，我公司对北京市房地产抵押价值进行了预评估。</v>
      </c>
    </row>
    <row r="7" spans="1:2" s="1592" customFormat="1">
      <c r="A7" s="1590" t="s">
        <v>1264</v>
      </c>
      <c r="B7" s="1591" t="str">
        <f>'预评函-1'!A7</f>
        <v>估价对象为北京市房地产，为所有。根据《国有土地使用证》[]，估价对象（分摊）出让国有建设用地使用权面积为3260.64平方米，建筑面积为14974.55平方米。</v>
      </c>
    </row>
    <row r="8" spans="1:2" s="1592" customFormat="1">
      <c r="A8" s="1590" t="s">
        <v>1265</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1266</v>
      </c>
      <c r="B9" s="1591" t="str">
        <f>'预评函-1'!A10</f>
        <v>估价对象为北京市房地产,属开发建设的居住项目，该项目尚在开发建设中。根据《国有土地使用证》[]，估价对象（分摊）出让国有建设用地使用权面积为3260.64平方米，规划建筑面积为14974.55平方米。</v>
      </c>
    </row>
    <row r="10" spans="1:2" s="1592" customFormat="1">
      <c r="A10" s="1590" t="s">
        <v>1267</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1225</v>
      </c>
      <c r="B11" s="1591" t="str">
        <f>'预评函-1'!A13</f>
        <v>为估价委托人在向工行丰台幸福街支行办理贷款手续过程中，确定房地产抵押贷款额度提供参考依据而评估房地产抵押价值。</v>
      </c>
    </row>
    <row r="12" spans="1:2" s="1592" customFormat="1">
      <c r="A12" s="1590" t="s">
        <v>1226</v>
      </c>
      <c r="B12" s="1591" t="str">
        <f>'预评函-1'!A15</f>
        <v>2018年6月1日（评估专业人员实地查勘之日）</v>
      </c>
    </row>
    <row r="13" spans="1:2" s="1592" customFormat="1">
      <c r="A13" s="1590" t="s">
        <v>1227</v>
      </c>
      <c r="B13" s="1591" t="str">
        <f>'预评函-1'!A18</f>
        <v>本次估价的“房地产价值”是指在正常市场情况下，在价值时点2018年6月1日，估价对象规划用途为，土地取得方式为出让，出让国有建设用地使用权剩余土地使用年限为，假定未设立法定优先受偿款下的房地产市场价值。</v>
      </c>
    </row>
    <row r="14" spans="1:2" s="1592" customFormat="1">
      <c r="A14" s="1590" t="s">
        <v>1228</v>
      </c>
      <c r="B14" s="1591"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1229</v>
      </c>
      <c r="B15" s="1591" t="str">
        <f>'预评函-1'!A20</f>
        <v>本次估价的“房地产抵押价值”是指估价对象在价值时点的“房地产价值”扣减估价师于价值时点所知悉的法定优先受偿款后的余额。</v>
      </c>
    </row>
    <row r="16" spans="1:2" s="1592" customFormat="1">
      <c r="A16" s="1590" t="s">
        <v>1230</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1231</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1232</v>
      </c>
      <c r="B18" s="1594" t="str">
        <f>'预评函-1'!A24</f>
        <v>本次评估采用的主估价方法为比较法和收益法。</v>
      </c>
    </row>
    <row r="19" spans="1:2" s="1589" customFormat="1" ht="15" thickTop="1">
      <c r="A19" s="1587" t="s">
        <v>1233</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1234</v>
      </c>
      <c r="B20" s="1591">
        <f ca="1">'预评函-2'!D5</f>
        <v>57111</v>
      </c>
    </row>
    <row r="21" spans="1:2" s="1592" customFormat="1">
      <c r="A21" s="1590" t="s">
        <v>1235</v>
      </c>
      <c r="B21" s="1591">
        <f ca="1">'预评函-2'!D7</f>
        <v>38139</v>
      </c>
    </row>
    <row r="22" spans="1:2" s="1592" customFormat="1">
      <c r="A22" s="1590" t="s">
        <v>1236</v>
      </c>
      <c r="B22" s="1591" t="str">
        <f ca="1">'预评函-2'!D6</f>
        <v>伍亿柒仟壹佰壹拾壹万元整</v>
      </c>
    </row>
    <row r="23" spans="1:2" s="1592" customFormat="1">
      <c r="A23" s="1590" t="s">
        <v>1287</v>
      </c>
      <c r="B23" s="1591" t="str">
        <f>'预评函-2'!B8</f>
        <v>2.估价师知悉的法定优先受偿款</v>
      </c>
    </row>
    <row r="24" spans="1:2" s="1592" customFormat="1">
      <c r="A24" s="1590" t="s">
        <v>1293</v>
      </c>
      <c r="B24" s="1591">
        <f>'预评函-2'!D8</f>
        <v>0</v>
      </c>
    </row>
    <row r="25" spans="1:2" s="1592" customFormat="1">
      <c r="A25" s="1590" t="s">
        <v>1237</v>
      </c>
      <c r="B25" s="1591" t="str">
        <f>'预评函-2'!D9</f>
        <v>零元整</v>
      </c>
    </row>
    <row r="26" spans="1:2" s="1592" customFormat="1">
      <c r="A26" s="1590" t="s">
        <v>1238</v>
      </c>
      <c r="B26" s="1591">
        <f>'预评函-2'!D10</f>
        <v>0</v>
      </c>
    </row>
    <row r="27" spans="1:2" s="1592" customFormat="1">
      <c r="A27" s="1590" t="s">
        <v>1239</v>
      </c>
      <c r="B27" s="1591">
        <f>'预评函-2'!D11</f>
        <v>0</v>
      </c>
    </row>
    <row r="28" spans="1:2" s="1592" customFormat="1">
      <c r="A28" s="1590" t="s">
        <v>1240</v>
      </c>
      <c r="B28" s="1591">
        <f>'预评函-2'!D12</f>
        <v>0</v>
      </c>
    </row>
    <row r="29" spans="1:2" s="1592" customFormat="1">
      <c r="A29" s="1590" t="s">
        <v>1291</v>
      </c>
      <c r="B29" s="1591" t="str">
        <f>'预评函-2'!B13</f>
        <v>3.房地产抵押价值</v>
      </c>
    </row>
    <row r="30" spans="1:2" s="1592" customFormat="1">
      <c r="A30" s="1590" t="s">
        <v>1292</v>
      </c>
      <c r="B30" s="1591">
        <f ca="1">'预评函-2'!D13</f>
        <v>57111</v>
      </c>
    </row>
    <row r="31" spans="1:2" s="1592" customFormat="1">
      <c r="A31" s="1590" t="s">
        <v>1274</v>
      </c>
      <c r="B31" s="1591">
        <f ca="1">'预评函-2'!D15</f>
        <v>38139</v>
      </c>
    </row>
    <row r="32" spans="1:2" s="1592" customFormat="1">
      <c r="A32" s="1590" t="s">
        <v>1241</v>
      </c>
      <c r="B32" s="1591" t="str">
        <f ca="1">'预评函-2'!D14</f>
        <v>伍亿柒仟壹佰壹拾壹万元整</v>
      </c>
    </row>
    <row r="33" spans="1:2" s="1592" customFormat="1">
      <c r="A33" s="1590" t="s">
        <v>1276</v>
      </c>
      <c r="B33" s="1591" t="str">
        <f>'预评函-2'!B16</f>
        <v>——</v>
      </c>
    </row>
    <row r="34" spans="1:2" s="1592" customFormat="1">
      <c r="A34" s="1590" t="s">
        <v>1294</v>
      </c>
      <c r="B34" s="1591" t="str">
        <f>'预评函-2'!D16</f>
        <v>——</v>
      </c>
    </row>
    <row r="35" spans="1:2" s="1592" customFormat="1">
      <c r="A35" s="1590" t="s">
        <v>1275</v>
      </c>
      <c r="B35" s="1591" t="str">
        <f>'预评函-2'!D18</f>
        <v>——</v>
      </c>
    </row>
    <row r="36" spans="1:2" s="1592" customFormat="1">
      <c r="A36" s="1590" t="s">
        <v>1242</v>
      </c>
      <c r="B36" s="1591" t="e">
        <f>'预评函-2'!D17</f>
        <v>#VALUE!</v>
      </c>
    </row>
    <row r="37" spans="1:2" s="1592" customFormat="1">
      <c r="A37" s="1590" t="s">
        <v>1277</v>
      </c>
      <c r="B37" s="1591" t="str">
        <f>'预评函-2'!B19</f>
        <v>——</v>
      </c>
    </row>
    <row r="38" spans="1:2" s="1592" customFormat="1">
      <c r="A38" s="1590" t="s">
        <v>1295</v>
      </c>
      <c r="B38" s="1591" t="str">
        <f>'预评函-2'!D19</f>
        <v>——</v>
      </c>
    </row>
    <row r="39" spans="1:2" s="1592" customFormat="1">
      <c r="A39" s="1590" t="s">
        <v>1243</v>
      </c>
      <c r="B39" s="1591" t="str">
        <f>'预评函-2'!D21</f>
        <v>——</v>
      </c>
    </row>
    <row r="40" spans="1:2" s="1592" customFormat="1">
      <c r="A40" s="1590" t="s">
        <v>1244</v>
      </c>
      <c r="B40" s="1591" t="e">
        <f>'预评函-2'!D20</f>
        <v>#VALUE!</v>
      </c>
    </row>
    <row r="41" spans="1:2" s="1592" customFormat="1">
      <c r="A41" s="1590" t="s">
        <v>1290</v>
      </c>
      <c r="B41" s="1591" t="str">
        <f>'预评函-3'!A4</f>
        <v>北京市房地产</v>
      </c>
    </row>
    <row r="42" spans="1:2" s="1592" customFormat="1">
      <c r="A42" s="1590" t="s">
        <v>1288</v>
      </c>
      <c r="B42" s="1591" t="str">
        <f>'预评函-3'!B2</f>
        <v>建筑面积</v>
      </c>
    </row>
    <row r="43" spans="1:2" s="1592" customFormat="1">
      <c r="A43" s="1590" t="s">
        <v>1289</v>
      </c>
      <c r="B43" s="1591">
        <f>'预评函-3'!B4</f>
        <v>14974.55</v>
      </c>
    </row>
    <row r="44" spans="1:2" s="1592" customFormat="1">
      <c r="A44" s="1590" t="s">
        <v>1273</v>
      </c>
      <c r="B44" s="1591" t="str">
        <f>'预评函-3'!C2</f>
        <v>(分摊)土地面积</v>
      </c>
    </row>
    <row r="45" spans="1:2" s="1592" customFormat="1">
      <c r="A45" s="1590" t="s">
        <v>1245</v>
      </c>
      <c r="B45" s="1591">
        <f>'预评函-3'!C4</f>
        <v>3260.64</v>
      </c>
    </row>
    <row r="46" spans="1:2" s="1592" customFormat="1">
      <c r="A46" s="1590" t="s">
        <v>1271</v>
      </c>
      <c r="B46" s="1591" t="str">
        <f>'预评函-3'!D2</f>
        <v>出让国有建设用地使用权价值</v>
      </c>
    </row>
    <row r="47" spans="1:2" s="1592" customFormat="1">
      <c r="A47" s="1590" t="s">
        <v>1246</v>
      </c>
      <c r="B47" s="1591" t="e">
        <f ca="1">'预评函-3'!D4</f>
        <v>#REF!</v>
      </c>
    </row>
    <row r="48" spans="1:2" s="1592" customFormat="1">
      <c r="A48" s="1590" t="s">
        <v>1247</v>
      </c>
      <c r="B48" s="1591" t="e">
        <f ca="1">'预评函-3'!E4</f>
        <v>#REF!</v>
      </c>
    </row>
    <row r="49" spans="1:2" s="1592" customFormat="1">
      <c r="A49" s="1590" t="s">
        <v>1248</v>
      </c>
      <c r="B49" s="1591" t="e">
        <f ca="1">'预评函-3'!D5</f>
        <v>#REF!</v>
      </c>
    </row>
    <row r="50" spans="1:2" s="1592" customFormat="1">
      <c r="A50" s="1590" t="s">
        <v>1272</v>
      </c>
      <c r="B50" s="1591" t="str">
        <f>'预评函-3'!F2</f>
        <v>在建建筑物价值</v>
      </c>
    </row>
    <row r="51" spans="1:2" s="1592" customFormat="1">
      <c r="A51" s="1590" t="s">
        <v>1249</v>
      </c>
      <c r="B51" s="1591" t="e">
        <f ca="1">'预评函-3'!F4</f>
        <v>#REF!</v>
      </c>
    </row>
    <row r="52" spans="1:2" s="1592" customFormat="1">
      <c r="A52" s="1590" t="s">
        <v>1250</v>
      </c>
      <c r="B52" s="1591" t="e">
        <f ca="1">'预评函-3'!G4</f>
        <v>#REF!</v>
      </c>
    </row>
    <row r="53" spans="1:2" s="1592" customFormat="1">
      <c r="A53" s="1590" t="s">
        <v>1278</v>
      </c>
      <c r="B53" s="1591" t="e">
        <f ca="1">'预评函-3'!F5</f>
        <v>#REF!</v>
      </c>
    </row>
    <row r="54" spans="1:2" s="1592" customFormat="1">
      <c r="A54" s="1590" t="s">
        <v>1296</v>
      </c>
      <c r="B54" s="1591" t="str">
        <f>'预评函-3'!A8</f>
        <v>房地产抵押价值</v>
      </c>
    </row>
    <row r="55" spans="1:2" s="1592" customFormat="1">
      <c r="A55" s="1590" t="s">
        <v>1279</v>
      </c>
      <c r="B55" s="1591" t="str">
        <f>'预评函-3'!A10</f>
        <v/>
      </c>
    </row>
    <row r="56" spans="1:2" s="1592" customFormat="1">
      <c r="A56" s="1590" t="s">
        <v>1280</v>
      </c>
      <c r="B56" s="1591" t="str">
        <f>'预评函-3'!A12</f>
        <v/>
      </c>
    </row>
    <row r="57" spans="1:2" s="1586" customFormat="1" ht="15" thickBot="1">
      <c r="A57" s="1593" t="s">
        <v>1297</v>
      </c>
      <c r="B57" s="1594" t="str">
        <f>'预评函-3'!A6</f>
        <v>估价师知悉的法定优先受偿款</v>
      </c>
    </row>
    <row r="58" spans="1:2" s="1589" customFormat="1" ht="15" thickTop="1">
      <c r="A58" s="1587" t="s">
        <v>1251</v>
      </c>
      <c r="B58" s="1588" t="str">
        <f>'预评函-4'!A12</f>
        <v>2.本《评估意见函》仅供金融机构进行内部审核使用，不做其他目的之用。</v>
      </c>
    </row>
    <row r="59" spans="1:2" s="1592" customFormat="1">
      <c r="A59" s="1590" t="s">
        <v>1252</v>
      </c>
      <c r="B59" s="1591" t="str">
        <f>'预评函-4'!A13</f>
        <v>3.抵押双方在办理抵押登记手续时，应使用本公司出具的正式《房地产评估报告》，特提醒报告使用者注意。</v>
      </c>
    </row>
    <row r="60" spans="1:2" s="1592" customFormat="1">
      <c r="A60" s="1590" t="s">
        <v>1253</v>
      </c>
      <c r="B60" s="1591" t="str">
        <f>'预评函-4'!A14</f>
        <v>4.本次评估估价师所知悉的法定优先受偿款情况说明如下：</v>
      </c>
    </row>
    <row r="61" spans="1:2" s="1592" customFormat="1">
      <c r="A61" s="1590" t="s">
        <v>1254</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1255</v>
      </c>
      <c r="B62" s="1591" t="str">
        <f>'预评函-4'!A16</f>
        <v>（2）根据《工程款支付情况说明》，截至价值时点，估价对象不存在应付未付工程款项。（只要没有施工方盖章的，均“设定”进行表述）</v>
      </c>
    </row>
    <row r="63" spans="1:2" s="1592" customFormat="1">
      <c r="A63" s="1590" t="s">
        <v>1256</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1268</v>
      </c>
      <c r="B64" s="1591" t="str">
        <f>'预评函-4'!A18</f>
        <v>故，本次评估不存在估价师知悉的法定优先受偿款</v>
      </c>
    </row>
    <row r="65" spans="1:2" s="1592" customFormat="1">
      <c r="A65" s="1590" t="s">
        <v>1257</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1258</v>
      </c>
      <c r="B66" s="1591" t="str">
        <f>'预评函-4'!A20</f>
        <v>——</v>
      </c>
    </row>
    <row r="67" spans="1:2" s="1592" customFormat="1">
      <c r="A67" s="1590" t="s">
        <v>1269</v>
      </c>
      <c r="B67" s="1591" t="str">
        <f>'预评函-4'!A21</f>
        <v>——</v>
      </c>
    </row>
    <row r="68" spans="1:2" s="1592" customFormat="1">
      <c r="A68" s="1590" t="s">
        <v>1270</v>
      </c>
      <c r="B68" s="1591" t="str">
        <f>'预评函-4'!A22</f>
        <v>8.其他需特殊说明事项：无（注意调整序号）</v>
      </c>
    </row>
    <row r="69" spans="1:2" s="1586" customFormat="1" ht="15" thickBot="1">
      <c r="A69" s="1593" t="s">
        <v>1259</v>
      </c>
      <c r="B69" s="1595">
        <f>'预评函-4'!C31</f>
        <v>42551</v>
      </c>
    </row>
    <row r="70" spans="1:2" ht="15" thickTop="1">
      <c r="A70" s="1596" t="s">
        <v>1260</v>
      </c>
      <c r="B70" s="1597" t="str">
        <f>'预评函-4'!A4</f>
        <v>刘梅</v>
      </c>
    </row>
    <row r="71" spans="1:2">
      <c r="A71" s="1590" t="s">
        <v>1261</v>
      </c>
      <c r="B71" s="1591">
        <f ca="1">'预评函-4'!B4</f>
        <v>1120140022</v>
      </c>
    </row>
    <row r="72" spans="1:2">
      <c r="A72" s="1590" t="s">
        <v>1262</v>
      </c>
      <c r="B72" s="1599" t="str">
        <f>'预评函-4'!A5</f>
        <v>吴薇</v>
      </c>
    </row>
    <row r="73" spans="1:2" s="1586" customFormat="1" ht="15" thickBot="1">
      <c r="A73" s="1593" t="s">
        <v>1263</v>
      </c>
      <c r="B73" s="1594">
        <f ca="1">'预评函-4'!B5</f>
        <v>1419970001</v>
      </c>
    </row>
    <row r="74" spans="1:2" ht="15" thickTop="1">
      <c r="A74" s="1583" t="s">
        <v>1299</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1690</v>
      </c>
      <c r="C1" s="2008" t="s">
        <v>759</v>
      </c>
      <c r="D1" s="2009" t="s">
        <v>1691</v>
      </c>
      <c r="E1" s="2009" t="s">
        <v>1692</v>
      </c>
      <c r="F1" s="2009" t="s">
        <v>1693</v>
      </c>
      <c r="G1" s="2009" t="s">
        <v>1694</v>
      </c>
      <c r="H1" s="2009" t="s">
        <v>1695</v>
      </c>
      <c r="I1" s="2009" t="s">
        <v>1696</v>
      </c>
      <c r="J1" s="2009" t="s">
        <v>1697</v>
      </c>
      <c r="K1" s="2009" t="s">
        <v>1698</v>
      </c>
      <c r="L1" s="2009" t="s">
        <v>1699</v>
      </c>
      <c r="M1" s="2009" t="s">
        <v>1700</v>
      </c>
      <c r="N1" s="2009" t="s">
        <v>1701</v>
      </c>
      <c r="O1" s="2009" t="s">
        <v>1702</v>
      </c>
      <c r="P1" s="2010" t="s">
        <v>753</v>
      </c>
      <c r="Q1" s="2010" t="s">
        <v>1144</v>
      </c>
      <c r="R1" s="2009" t="s">
        <v>1138</v>
      </c>
      <c r="S1" s="2009" t="s">
        <v>1703</v>
      </c>
      <c r="T1" s="2011" t="s">
        <v>1704</v>
      </c>
      <c r="U1" s="2009" t="s">
        <v>1705</v>
      </c>
      <c r="V1" s="2009" t="s">
        <v>1706</v>
      </c>
      <c r="W1" s="2009" t="s">
        <v>755</v>
      </c>
    </row>
    <row r="2" spans="1:23">
      <c r="A2" s="2013" t="s">
        <v>22</v>
      </c>
      <c r="B2" s="2013" t="s">
        <v>1707</v>
      </c>
      <c r="C2" s="2014" t="s">
        <v>760</v>
      </c>
      <c r="D2" s="2015" t="s">
        <v>1708</v>
      </c>
      <c r="E2" s="2015" t="s">
        <v>1709</v>
      </c>
      <c r="F2" s="2015" t="s">
        <v>1710</v>
      </c>
      <c r="G2" s="2015">
        <v>40</v>
      </c>
      <c r="H2" s="2015" t="s">
        <v>1710</v>
      </c>
      <c r="I2" s="2015" t="s">
        <v>1711</v>
      </c>
      <c r="J2" s="2015" t="s">
        <v>1712</v>
      </c>
      <c r="K2" s="2015" t="s">
        <v>1713</v>
      </c>
      <c r="L2" s="2015" t="s">
        <v>1713</v>
      </c>
      <c r="M2" s="2015" t="s">
        <v>1713</v>
      </c>
      <c r="N2" s="2015" t="s">
        <v>1713</v>
      </c>
      <c r="O2" s="2015" t="s">
        <v>1713</v>
      </c>
      <c r="P2" s="2015" t="s">
        <v>1713</v>
      </c>
      <c r="Q2" s="2015" t="s">
        <v>1713</v>
      </c>
      <c r="R2" s="2015" t="s">
        <v>1140</v>
      </c>
      <c r="S2" s="2015" t="s">
        <v>1713</v>
      </c>
      <c r="T2" s="2015" t="s">
        <v>1714</v>
      </c>
      <c r="U2" s="2015" t="s">
        <v>1713</v>
      </c>
      <c r="V2" s="2015" t="s">
        <v>1715</v>
      </c>
      <c r="W2" s="2015" t="s">
        <v>1713</v>
      </c>
    </row>
    <row r="3" spans="1:23">
      <c r="A3" s="2013" t="s">
        <v>1716</v>
      </c>
      <c r="B3" s="2016" t="s">
        <v>1145</v>
      </c>
      <c r="C3" s="2017" t="s">
        <v>761</v>
      </c>
      <c r="D3" s="2015" t="s">
        <v>1717</v>
      </c>
      <c r="E3" s="2015" t="s">
        <v>16</v>
      </c>
      <c r="F3" s="2015" t="s">
        <v>1718</v>
      </c>
      <c r="G3" s="2015">
        <v>50</v>
      </c>
      <c r="H3" s="2015" t="s">
        <v>1718</v>
      </c>
      <c r="I3" s="2015" t="s">
        <v>1719</v>
      </c>
      <c r="J3" s="2015" t="s">
        <v>1720</v>
      </c>
      <c r="K3" s="2015" t="s">
        <v>1721</v>
      </c>
      <c r="L3" s="2015" t="s">
        <v>1721</v>
      </c>
      <c r="M3" s="2015" t="s">
        <v>1721</v>
      </c>
      <c r="N3" s="2015" t="s">
        <v>1721</v>
      </c>
      <c r="O3" s="2015" t="s">
        <v>1721</v>
      </c>
      <c r="P3" s="2015" t="s">
        <v>1721</v>
      </c>
      <c r="Q3" s="2015" t="s">
        <v>1721</v>
      </c>
      <c r="R3" s="2015" t="s">
        <v>1139</v>
      </c>
      <c r="S3" s="2015" t="s">
        <v>1721</v>
      </c>
      <c r="T3" s="2015" t="s">
        <v>1722</v>
      </c>
      <c r="U3" s="2015" t="s">
        <v>1721</v>
      </c>
      <c r="V3" s="2015" t="s">
        <v>1723</v>
      </c>
      <c r="W3" s="2015" t="s">
        <v>1721</v>
      </c>
    </row>
    <row r="4" spans="1:23">
      <c r="A4" s="2013" t="s">
        <v>1724</v>
      </c>
      <c r="B4" s="2013" t="s">
        <v>1725</v>
      </c>
      <c r="C4" s="2014" t="s">
        <v>762</v>
      </c>
      <c r="D4" s="2015" t="s">
        <v>868</v>
      </c>
      <c r="E4" s="2015" t="s">
        <v>1726</v>
      </c>
      <c r="F4" s="2015" t="s">
        <v>1727</v>
      </c>
      <c r="G4" s="2015">
        <v>70</v>
      </c>
      <c r="H4" s="2015" t="s">
        <v>1727</v>
      </c>
      <c r="I4" s="2015" t="s">
        <v>1728</v>
      </c>
      <c r="K4" s="2015" t="s">
        <v>1729</v>
      </c>
      <c r="L4" s="2015" t="s">
        <v>1729</v>
      </c>
      <c r="M4" s="2015" t="s">
        <v>1729</v>
      </c>
      <c r="N4" s="2015" t="s">
        <v>1729</v>
      </c>
      <c r="O4" s="2015" t="s">
        <v>1729</v>
      </c>
      <c r="P4" s="2015" t="s">
        <v>1729</v>
      </c>
      <c r="Q4" s="2015" t="s">
        <v>1729</v>
      </c>
      <c r="R4" s="2015" t="s">
        <v>1141</v>
      </c>
      <c r="S4" s="2015" t="s">
        <v>1729</v>
      </c>
      <c r="T4" s="2015" t="s">
        <v>1730</v>
      </c>
      <c r="U4" s="2015" t="s">
        <v>1729</v>
      </c>
      <c r="W4" s="2015" t="s">
        <v>1729</v>
      </c>
    </row>
    <row r="5" spans="1:23">
      <c r="A5" s="2013" t="s">
        <v>1731</v>
      </c>
      <c r="B5" s="2016" t="s">
        <v>3280</v>
      </c>
      <c r="C5" s="2014" t="s">
        <v>763</v>
      </c>
      <c r="F5" s="2015" t="s">
        <v>1732</v>
      </c>
      <c r="H5" s="2015" t="s">
        <v>1733</v>
      </c>
      <c r="I5" s="2015" t="s">
        <v>1734</v>
      </c>
      <c r="K5" s="2015" t="s">
        <v>1735</v>
      </c>
      <c r="L5" s="2015" t="s">
        <v>1735</v>
      </c>
      <c r="M5" s="2015" t="s">
        <v>1735</v>
      </c>
      <c r="N5" s="2015" t="s">
        <v>1735</v>
      </c>
      <c r="O5" s="2015" t="s">
        <v>1735</v>
      </c>
      <c r="P5" s="2015" t="s">
        <v>1735</v>
      </c>
      <c r="Q5" s="2015" t="s">
        <v>1735</v>
      </c>
      <c r="R5" s="2015" t="s">
        <v>1142</v>
      </c>
      <c r="S5" s="2015" t="s">
        <v>1735</v>
      </c>
      <c r="T5" s="2015" t="s">
        <v>1736</v>
      </c>
      <c r="U5" s="2015" t="s">
        <v>1735</v>
      </c>
      <c r="W5" s="2015" t="s">
        <v>1735</v>
      </c>
    </row>
    <row r="6" spans="1:23">
      <c r="A6" s="2013" t="s">
        <v>1737</v>
      </c>
      <c r="B6" s="2016" t="s">
        <v>1146</v>
      </c>
      <c r="C6" s="2019" t="s">
        <v>30</v>
      </c>
      <c r="F6" s="2015" t="s">
        <v>1733</v>
      </c>
      <c r="H6" s="2015" t="s">
        <v>1738</v>
      </c>
      <c r="I6" s="2015" t="s">
        <v>1739</v>
      </c>
      <c r="K6" s="2015" t="s">
        <v>1740</v>
      </c>
      <c r="L6" s="2015" t="s">
        <v>1740</v>
      </c>
      <c r="M6" s="2015" t="s">
        <v>1740</v>
      </c>
      <c r="N6" s="2015" t="s">
        <v>1740</v>
      </c>
      <c r="O6" s="2015" t="s">
        <v>1740</v>
      </c>
      <c r="P6" s="2015" t="s">
        <v>1740</v>
      </c>
      <c r="Q6" s="2015" t="s">
        <v>1740</v>
      </c>
      <c r="R6" s="2015" t="s">
        <v>1143</v>
      </c>
      <c r="S6" s="2015" t="s">
        <v>1740</v>
      </c>
      <c r="T6" s="2015"/>
      <c r="U6" s="2015" t="s">
        <v>1740</v>
      </c>
      <c r="W6" s="2015" t="s">
        <v>1740</v>
      </c>
    </row>
    <row r="7" spans="1:23">
      <c r="A7" s="2013" t="s">
        <v>1741</v>
      </c>
      <c r="B7" s="2016" t="s">
        <v>1147</v>
      </c>
      <c r="C7" s="2014" t="s">
        <v>31</v>
      </c>
      <c r="F7" s="2015" t="s">
        <v>1742</v>
      </c>
      <c r="H7" s="2015" t="s">
        <v>1743</v>
      </c>
      <c r="I7" s="2015" t="s">
        <v>1744</v>
      </c>
    </row>
    <row r="8" spans="1:23">
      <c r="A8" s="2013" t="s">
        <v>1745</v>
      </c>
      <c r="B8" s="2013" t="s">
        <v>1746</v>
      </c>
      <c r="C8" s="2014" t="s">
        <v>764</v>
      </c>
      <c r="F8" s="2015" t="s">
        <v>1747</v>
      </c>
      <c r="H8" s="2015"/>
      <c r="I8" s="2015" t="s">
        <v>1748</v>
      </c>
    </row>
    <row r="9" spans="1:23">
      <c r="A9" s="2013" t="s">
        <v>1749</v>
      </c>
      <c r="B9" s="2013" t="s">
        <v>1750</v>
      </c>
      <c r="C9" s="2014" t="s">
        <v>765</v>
      </c>
      <c r="F9" s="2015" t="s">
        <v>1751</v>
      </c>
      <c r="H9" s="2015"/>
    </row>
    <row r="10" spans="1:23">
      <c r="A10" s="2013" t="s">
        <v>1752</v>
      </c>
      <c r="B10" s="2013" t="s">
        <v>1753</v>
      </c>
      <c r="C10" s="2014" t="s">
        <v>766</v>
      </c>
      <c r="F10" s="2015" t="s">
        <v>16</v>
      </c>
    </row>
    <row r="11" spans="1:23">
      <c r="A11" s="2013" t="s">
        <v>1754</v>
      </c>
      <c r="B11" s="2013" t="s">
        <v>1755</v>
      </c>
      <c r="C11" s="2014" t="s">
        <v>767</v>
      </c>
    </row>
    <row r="12" spans="1:23">
      <c r="A12" s="2013" t="s">
        <v>1756</v>
      </c>
      <c r="B12" s="2013" t="s">
        <v>1757</v>
      </c>
      <c r="C12" s="2014" t="s">
        <v>768</v>
      </c>
    </row>
    <row r="13" spans="1:23">
      <c r="A13" s="2013" t="s">
        <v>1758</v>
      </c>
      <c r="B13" s="2013" t="s">
        <v>1759</v>
      </c>
      <c r="C13" s="2014" t="s">
        <v>769</v>
      </c>
    </row>
    <row r="14" spans="1:23">
      <c r="A14" s="2013" t="s">
        <v>1760</v>
      </c>
      <c r="B14" s="2013" t="s">
        <v>1761</v>
      </c>
      <c r="C14" s="2015" t="s">
        <v>16</v>
      </c>
    </row>
    <row r="15" spans="1:23">
      <c r="A15" s="2013" t="s">
        <v>1762</v>
      </c>
      <c r="B15" s="2013" t="s">
        <v>1763</v>
      </c>
      <c r="C15" s="2014"/>
    </row>
    <row r="16" spans="1:23">
      <c r="A16" s="2013" t="s">
        <v>1764</v>
      </c>
      <c r="B16" s="2013" t="s">
        <v>756</v>
      </c>
      <c r="C16" s="2014"/>
    </row>
    <row r="17" spans="1:3">
      <c r="A17" s="2013" t="s">
        <v>1765</v>
      </c>
      <c r="B17" s="2013" t="s">
        <v>3282</v>
      </c>
      <c r="C17" s="2014"/>
    </row>
    <row r="18" spans="1:3">
      <c r="A18" s="2013" t="s">
        <v>1766</v>
      </c>
      <c r="B18" s="2013" t="s">
        <v>3284</v>
      </c>
      <c r="C18" s="2014"/>
    </row>
    <row r="19" spans="1:3">
      <c r="A19" s="2013" t="s">
        <v>1767</v>
      </c>
      <c r="B19" s="2013" t="s">
        <v>757</v>
      </c>
      <c r="C19" s="2014"/>
    </row>
    <row r="20" spans="1:3">
      <c r="A20" s="2013" t="s">
        <v>1768</v>
      </c>
      <c r="B20" s="2013" t="s">
        <v>757</v>
      </c>
      <c r="C20" s="2014"/>
    </row>
    <row r="21" spans="1:3">
      <c r="A21" s="2013" t="s">
        <v>1769</v>
      </c>
      <c r="B21" s="2013" t="s">
        <v>757</v>
      </c>
      <c r="C21" s="2014"/>
    </row>
    <row r="22" spans="1:3">
      <c r="A22" s="2013" t="s">
        <v>1770</v>
      </c>
      <c r="B22" s="2013" t="s">
        <v>757</v>
      </c>
      <c r="C22" s="2014"/>
    </row>
    <row r="23" spans="1:3">
      <c r="A23" s="2013" t="s">
        <v>1771</v>
      </c>
      <c r="B23" s="2013" t="s">
        <v>757</v>
      </c>
      <c r="C23" s="2014"/>
    </row>
    <row r="24" spans="1:3">
      <c r="A24" s="2013" t="s">
        <v>1772</v>
      </c>
      <c r="B24" s="2013" t="s">
        <v>757</v>
      </c>
      <c r="C24" s="2014"/>
    </row>
    <row r="25" spans="1:3">
      <c r="A25" s="2013" t="s">
        <v>1773</v>
      </c>
      <c r="B25" s="2013" t="s">
        <v>757</v>
      </c>
      <c r="C25" s="2014"/>
    </row>
    <row r="26" spans="1:3">
      <c r="A26" s="2013" t="s">
        <v>1774</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为估价委托人在向工行丰台幸福街支行办理贷款手续过程中，确定房地产抵押贷款额度提供参考依据而评估房地产抵押价值。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国锐房地产开发有限公司拟使用北京市房地产作为抵押担保物，向工行丰台幸福街支行办理贷款手续。工行丰台幸福街支行特委托北京康正宏基房地产评估有限公司对上述抵押物进行评估。本次评估为确定房地产抵押贷款额度提供参考依据而评估房地产抵押价值。</v>
      </c>
      <c r="D51" s="2021" t="s">
        <v>1284</v>
      </c>
    </row>
    <row r="52" spans="1:4">
      <c r="A52" s="2020" t="s">
        <v>858</v>
      </c>
      <c r="B52" s="2020" t="s">
        <v>859</v>
      </c>
      <c r="C52" s="2018" t="s">
        <v>860</v>
      </c>
      <c r="D52" s="2018" t="s">
        <v>861</v>
      </c>
    </row>
    <row r="53" spans="1:4">
      <c r="A53" s="3051"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1"/>
      <c r="B54" s="2021" t="s">
        <v>864</v>
      </c>
      <c r="C54" s="2018" t="s">
        <v>1281</v>
      </c>
    </row>
    <row r="55" spans="1:4">
      <c r="A55" s="3051"/>
      <c r="B55" s="2021" t="s">
        <v>865</v>
      </c>
      <c r="C55" s="2018" t="s">
        <v>1282</v>
      </c>
    </row>
    <row r="56" spans="1:4">
      <c r="A56" s="3051"/>
      <c r="B56" s="2021" t="s">
        <v>866</v>
      </c>
      <c r="C56" s="2018" t="s">
        <v>1286</v>
      </c>
    </row>
    <row r="57" spans="1:4">
      <c r="A57" s="3051"/>
      <c r="B57" s="2021" t="s">
        <v>867</v>
      </c>
      <c r="C57" s="2018" t="s">
        <v>1283</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K16" sqref="K16"/>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7" customWidth="1"/>
    <col min="10" max="10" width="10" style="2031" customWidth="1"/>
    <col min="11" max="11" width="10" style="2158" customWidth="1"/>
    <col min="12" max="13" width="10" style="2159" customWidth="1"/>
    <col min="14" max="14" width="10" style="2031" customWidth="1"/>
    <col min="15" max="15" width="10" style="2157" customWidth="1"/>
    <col min="16" max="17" width="10" style="2031"/>
    <col min="18" max="18" width="10" style="2031" customWidth="1"/>
    <col min="19" max="16384" width="10" style="2031"/>
  </cols>
  <sheetData>
    <row r="1" spans="1:19" ht="38.25" customHeight="1" thickBot="1">
      <c r="A1" s="2024" t="s">
        <v>1775</v>
      </c>
      <c r="B1" s="3060" t="str">
        <f>IF(B10="北京市","北京市",C10)&amp;F10&amp;IF(结果表办公!G1="在建","出让国有建设用地使用权及在建建筑物",IF(结果表办公!G1="土地","出让国有建设用地使用权",))&amp;B9&amp;"预评估"</f>
        <v>北京市房地产抵押价值预评估</v>
      </c>
      <c r="C1" s="3061"/>
      <c r="D1" s="3061"/>
      <c r="E1" s="3061"/>
      <c r="F1" s="3061"/>
      <c r="G1" s="3061"/>
      <c r="H1" s="3061"/>
      <c r="I1" s="3062"/>
      <c r="J1" s="2025"/>
      <c r="K1" s="2026"/>
      <c r="L1" s="2027"/>
      <c r="M1" s="2027"/>
      <c r="N1" s="2028"/>
      <c r="O1" s="2029"/>
      <c r="P1" s="2028"/>
      <c r="Q1" s="2028"/>
      <c r="R1" s="2028"/>
      <c r="S1" s="2030" t="str">
        <f>IF(B10="北京市","北京市",C10)&amp;F10&amp;IF(结果表办公!G1="在建","出让国有建设用地使用权及在建建筑物房地产抵押价值",IF(结果表办公!G1="土地","出让国有建设用地使用权抵押价值",B9))</f>
        <v>北京市房地产抵押价值</v>
      </c>
    </row>
    <row r="2" spans="1:19" ht="18" customHeight="1">
      <c r="A2" s="2025" t="s">
        <v>1776</v>
      </c>
      <c r="B2" s="1038"/>
      <c r="C2" s="2032"/>
      <c r="D2" s="2025"/>
      <c r="E2" s="2033"/>
      <c r="F2" s="2033"/>
      <c r="G2" s="2025"/>
      <c r="H2" s="2025"/>
      <c r="I2" s="2025"/>
      <c r="J2" s="2025"/>
      <c r="K2" s="2026"/>
      <c r="L2" s="2027"/>
      <c r="M2" s="2027"/>
      <c r="N2" s="2028"/>
      <c r="O2" s="2029"/>
      <c r="P2" s="2028"/>
      <c r="Q2" s="2028"/>
      <c r="R2" s="2028"/>
      <c r="S2" s="2030" t="str">
        <f>IF(B10="北京市","北京市",C10)&amp;F10&amp;IF(结果表办公!G1="在建","出让国有建设用地使用权及在建建筑物房地产",IF(结果表办公!G1="土地","出让国有建设用地使用权","房地产"))</f>
        <v>北京市房地产</v>
      </c>
    </row>
    <row r="3" spans="1:19" ht="18" customHeight="1">
      <c r="A3" s="2034" t="s">
        <v>1777</v>
      </c>
      <c r="B3" s="2035">
        <v>43252</v>
      </c>
      <c r="C3" s="2036" t="s">
        <v>1778</v>
      </c>
      <c r="D3" s="2035">
        <f>B3</f>
        <v>43252</v>
      </c>
      <c r="E3" s="2025"/>
      <c r="F3" s="2025"/>
      <c r="G3" s="2025"/>
      <c r="H3" s="2025"/>
      <c r="I3" s="2025"/>
      <c r="J3" s="2025"/>
      <c r="K3" s="2026"/>
      <c r="L3" s="2027"/>
      <c r="M3" s="2027"/>
      <c r="N3" s="2028"/>
      <c r="O3" s="2029"/>
      <c r="P3" s="2028"/>
      <c r="Q3" s="2028"/>
      <c r="R3" s="2028"/>
      <c r="S3" s="2030"/>
    </row>
    <row r="4" spans="1:19" ht="18" customHeight="1" thickBot="1">
      <c r="A4" s="2037" t="s">
        <v>1779</v>
      </c>
      <c r="B4" s="2038" t="s">
        <v>3050</v>
      </c>
      <c r="C4" s="1036">
        <f ca="1">SUMIF(注册房地产估价师,B4,估价师及机构信息!B3:B24)</f>
        <v>1120140022</v>
      </c>
      <c r="D4" s="2038" t="s">
        <v>3051</v>
      </c>
      <c r="E4" s="1037">
        <f ca="1">SUMIF(注册房地产估价师,D4,估价师及机构信息!B3:B24)</f>
        <v>1419970001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刘梅（注册号：1120140022)、吴薇（注册号：1419970001)</v>
      </c>
      <c r="L4" s="2027"/>
      <c r="M4" s="2027"/>
      <c r="N4" s="2028"/>
      <c r="O4" s="2029"/>
      <c r="P4" s="2028"/>
      <c r="Q4" s="2028"/>
      <c r="R4" s="2028"/>
      <c r="S4" s="2030"/>
    </row>
    <row r="5" spans="1:19" ht="18" customHeight="1" thickTop="1">
      <c r="A5" s="2043" t="s">
        <v>1780</v>
      </c>
      <c r="B5" s="2971" t="s">
        <v>3054</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1781</v>
      </c>
      <c r="B6" s="2970" t="s">
        <v>3052</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1782</v>
      </c>
      <c r="B7" s="2050" t="str">
        <f>B5</f>
        <v>北京国锐房地产开发有限公司</v>
      </c>
      <c r="C7" s="2047"/>
      <c r="D7" s="2048"/>
      <c r="E7" s="2033"/>
      <c r="F7" s="2041"/>
      <c r="G7" s="2041"/>
      <c r="H7" s="2041"/>
      <c r="I7" s="2041"/>
      <c r="J7" s="2041"/>
      <c r="K7" s="2051"/>
      <c r="L7" s="2027"/>
      <c r="M7" s="2027"/>
      <c r="N7" s="2028"/>
      <c r="O7" s="2029"/>
      <c r="P7" s="2028"/>
      <c r="Q7" s="2028"/>
      <c r="R7" s="2028"/>
    </row>
    <row r="8" spans="1:19" ht="18" customHeight="1">
      <c r="A8" s="2046" t="s">
        <v>1783</v>
      </c>
      <c r="B8" s="2052" t="s">
        <v>3053</v>
      </c>
      <c r="C8" s="2053"/>
      <c r="D8" s="3063" t="s">
        <v>1784</v>
      </c>
      <c r="E8" s="2054" t="s">
        <v>3055</v>
      </c>
      <c r="F8" s="2055"/>
      <c r="G8" s="2025"/>
      <c r="H8" s="2025"/>
      <c r="I8" s="2025"/>
      <c r="J8" s="2041"/>
      <c r="K8" s="2042"/>
      <c r="L8" s="2027"/>
      <c r="M8" s="2027"/>
      <c r="N8" s="2028"/>
      <c r="O8" s="2029"/>
      <c r="P8" s="2028"/>
      <c r="Q8" s="2028"/>
      <c r="R8" s="2028"/>
    </row>
    <row r="9" spans="1:19" ht="18" customHeight="1" thickBot="1">
      <c r="A9" s="2039" t="s">
        <v>1785</v>
      </c>
      <c r="B9" s="2056" t="s">
        <v>3055</v>
      </c>
      <c r="C9" s="2057"/>
      <c r="D9" s="3064"/>
      <c r="E9" s="2056"/>
      <c r="F9" s="2058"/>
      <c r="G9" s="2059"/>
      <c r="H9" s="2059"/>
      <c r="I9" s="2059"/>
      <c r="J9" s="2041"/>
      <c r="K9" s="2051"/>
      <c r="L9" s="2027"/>
      <c r="M9" s="2027"/>
      <c r="N9" s="2028"/>
      <c r="O9" s="2029"/>
      <c r="P9" s="2028"/>
      <c r="Q9" s="2028"/>
      <c r="R9" s="2028"/>
    </row>
    <row r="10" spans="1:19" ht="18" customHeight="1" thickTop="1">
      <c r="A10" s="2060" t="s">
        <v>1786</v>
      </c>
      <c r="B10" s="2061" t="s">
        <v>3056</v>
      </c>
      <c r="C10" s="2062"/>
      <c r="D10" s="2045"/>
      <c r="E10" s="2063" t="s">
        <v>1787</v>
      </c>
      <c r="F10" s="2064"/>
      <c r="G10" s="2065"/>
      <c r="H10" s="2066"/>
      <c r="I10" s="2045"/>
      <c r="J10" s="2041"/>
      <c r="K10" s="2051"/>
      <c r="L10" s="2027"/>
      <c r="M10" s="2027"/>
      <c r="N10" s="2028"/>
      <c r="O10" s="2029"/>
      <c r="P10" s="2028"/>
      <c r="Q10" s="2028"/>
      <c r="R10" s="2028"/>
    </row>
    <row r="11" spans="1:19" ht="18" customHeight="1">
      <c r="A11" s="2067" t="s">
        <v>1788</v>
      </c>
      <c r="B11" s="2068" t="s">
        <v>3057</v>
      </c>
      <c r="C11" s="2069"/>
      <c r="D11" s="2070"/>
      <c r="E11" s="2041"/>
      <c r="F11" s="2041"/>
      <c r="G11" s="2041"/>
      <c r="H11" s="2041"/>
      <c r="I11" s="2041"/>
      <c r="J11" s="2041"/>
      <c r="K11" s="2051"/>
      <c r="L11" s="2027"/>
      <c r="M11" s="2027"/>
      <c r="N11" s="2028"/>
      <c r="O11" s="2029"/>
      <c r="P11" s="2028"/>
      <c r="Q11" s="2028"/>
      <c r="R11" s="2028"/>
    </row>
    <row r="12" spans="1:19" ht="18" customHeight="1">
      <c r="A12" s="2071" t="s">
        <v>1789</v>
      </c>
      <c r="B12" s="2068" t="s">
        <v>3058</v>
      </c>
      <c r="C12" s="2072" t="s">
        <v>1790</v>
      </c>
      <c r="D12" s="2073" t="s">
        <v>1791</v>
      </c>
      <c r="E12" s="2073" t="s">
        <v>1792</v>
      </c>
      <c r="F12" s="2073" t="s">
        <v>1793</v>
      </c>
      <c r="G12" s="2073" t="s">
        <v>1794</v>
      </c>
      <c r="H12" s="2073" t="s">
        <v>1795</v>
      </c>
      <c r="I12" s="2073" t="s">
        <v>1796</v>
      </c>
      <c r="J12" s="2041"/>
      <c r="K12" s="2051"/>
      <c r="L12" s="2027"/>
      <c r="M12" s="2027"/>
      <c r="N12" s="2028"/>
      <c r="O12" s="2029"/>
      <c r="P12" s="2028"/>
      <c r="Q12" s="2028"/>
      <c r="R12" s="2028"/>
    </row>
    <row r="13" spans="1:19" ht="18" customHeight="1">
      <c r="A13" s="2074"/>
      <c r="B13" s="2075"/>
      <c r="C13" s="2076" t="s">
        <v>1797</v>
      </c>
      <c r="D13" s="2077"/>
      <c r="E13" s="2077">
        <v>54595</v>
      </c>
      <c r="F13" s="2077">
        <v>58247</v>
      </c>
      <c r="G13" s="2077"/>
      <c r="H13" s="2077">
        <v>58247</v>
      </c>
      <c r="I13" s="1046"/>
      <c r="J13" s="2041"/>
      <c r="K13" s="2051"/>
      <c r="L13" s="2027"/>
      <c r="M13" s="2027"/>
      <c r="N13" s="2028"/>
      <c r="O13" s="2029"/>
      <c r="P13" s="2028"/>
      <c r="Q13" s="2028"/>
      <c r="R13" s="2028"/>
    </row>
    <row r="14" spans="1:19" ht="18" customHeight="1">
      <c r="A14" s="2074"/>
      <c r="B14" s="2075"/>
      <c r="C14" s="2076" t="s">
        <v>1798</v>
      </c>
      <c r="D14" s="1049"/>
      <c r="E14" s="1049">
        <v>40</v>
      </c>
      <c r="F14" s="1049">
        <v>50</v>
      </c>
      <c r="G14" s="1049"/>
      <c r="H14" s="1049">
        <v>50</v>
      </c>
      <c r="I14" s="1049"/>
      <c r="J14" s="2041"/>
      <c r="K14" s="2078"/>
      <c r="L14" s="2027"/>
      <c r="M14" s="2027"/>
      <c r="N14" s="2028"/>
      <c r="O14" s="2029"/>
      <c r="P14" s="2028"/>
      <c r="Q14" s="2028"/>
      <c r="R14" s="2028"/>
    </row>
    <row r="15" spans="1:19" ht="18" customHeight="1">
      <c r="A15" s="2060"/>
      <c r="B15" s="2079"/>
      <c r="C15" s="2076" t="s">
        <v>1799</v>
      </c>
      <c r="D15" s="1048" t="str">
        <f>IF(B12="出让",IF(D13="","",ROUNDDOWN(MIN((D13-$D$3)/365,D14),2)),D14)</f>
        <v/>
      </c>
      <c r="E15" s="1048">
        <f>IF(B12="出让",IF(E13="","",ROUNDDOWN(MIN((E13-$D$3)/365,E14),2)),E14)</f>
        <v>31.07</v>
      </c>
      <c r="F15" s="1048">
        <f>IF(B12="出让",IF(F13="","",ROUNDDOWN(MIN((F13-$D$3)/365,F14),2)),F14)</f>
        <v>41.08</v>
      </c>
      <c r="G15" s="1048" t="str">
        <f>IF(B12="出让",IF(G13="","",ROUNDDOWN(MIN((G13-$D$3)/365,G14),2)),G14)</f>
        <v/>
      </c>
      <c r="H15" s="1048">
        <f>IF(B12="出让",IF(H13="","",ROUNDDOWN(MIN((H13-$D$3)/365,H14),2)),H14)</f>
        <v>41.08</v>
      </c>
      <c r="I15" s="1048" t="str">
        <f>IF(B12="出让",IF(I13="","",ROUNDDOWN(MIN((I13-$D$3)/365,I14),2)),I14)</f>
        <v/>
      </c>
      <c r="J15" s="2041"/>
      <c r="K15" s="2080"/>
      <c r="L15" s="2081"/>
      <c r="M15" s="2081"/>
      <c r="N15" s="2082"/>
      <c r="O15" s="2081"/>
      <c r="P15" s="2082"/>
      <c r="Q15" s="2028"/>
      <c r="R15" s="2028"/>
    </row>
    <row r="16" spans="1:19" ht="30.75" customHeight="1">
      <c r="A16" s="2063" t="s">
        <v>1800</v>
      </c>
      <c r="B16" s="3070"/>
      <c r="C16" s="3071"/>
      <c r="D16" s="3072"/>
      <c r="E16" s="2083" t="s">
        <v>1801</v>
      </c>
      <c r="F16" s="3073"/>
      <c r="G16" s="3074"/>
      <c r="H16" s="3074"/>
      <c r="I16" s="3075"/>
      <c r="J16" s="2028"/>
      <c r="K16" s="2080"/>
      <c r="L16" s="2081"/>
      <c r="M16" s="2081"/>
      <c r="N16" s="2082"/>
      <c r="O16" s="2081"/>
      <c r="P16" s="2082"/>
      <c r="Q16" s="2028"/>
      <c r="R16" s="2028"/>
    </row>
    <row r="17" spans="1:22" ht="18" customHeight="1">
      <c r="A17" s="2084" t="s">
        <v>1802</v>
      </c>
      <c r="B17" s="2034" t="s">
        <v>1803</v>
      </c>
      <c r="C17" s="1053">
        <f>'数据-汇总表'!E3</f>
        <v>14974.55</v>
      </c>
      <c r="D17" s="2085" t="s">
        <v>1804</v>
      </c>
      <c r="E17" s="3076" t="s">
        <v>1805</v>
      </c>
      <c r="F17" s="3077"/>
      <c r="G17" s="3077"/>
      <c r="H17" s="3077"/>
      <c r="I17" s="3078"/>
      <c r="J17" s="2028"/>
      <c r="K17" s="2086"/>
      <c r="L17" s="2081"/>
      <c r="M17" s="2081"/>
      <c r="N17" s="2082"/>
      <c r="O17" s="2081"/>
      <c r="P17" s="2082"/>
      <c r="Q17" s="2028"/>
      <c r="R17" s="2028"/>
      <c r="S17" s="2028"/>
      <c r="T17" s="2028"/>
      <c r="U17" s="2028"/>
      <c r="V17" s="2028"/>
    </row>
    <row r="18" spans="1:22" ht="36" customHeight="1" thickBot="1">
      <c r="A18" s="2087" t="s">
        <v>1806</v>
      </c>
      <c r="B18" s="2037" t="s">
        <v>1807</v>
      </c>
      <c r="C18" s="1443">
        <f>'数据-汇总表'!D3</f>
        <v>3260.64</v>
      </c>
      <c r="D18" s="2088" t="s">
        <v>1804</v>
      </c>
      <c r="E18" s="3079" t="s">
        <v>1808</v>
      </c>
      <c r="F18" s="3080"/>
      <c r="G18" s="3080"/>
      <c r="H18" s="3080"/>
      <c r="I18" s="3081"/>
      <c r="J18" s="2028"/>
      <c r="K18" s="2086"/>
      <c r="L18" s="2081"/>
      <c r="M18" s="2081"/>
      <c r="N18" s="2082"/>
      <c r="O18" s="2081"/>
      <c r="P18" s="2082"/>
      <c r="Q18" s="2028"/>
      <c r="R18" s="2028"/>
      <c r="S18" s="2028"/>
      <c r="T18" s="2028"/>
      <c r="U18" s="2028"/>
      <c r="V18" s="2028"/>
    </row>
    <row r="19" spans="1:22" ht="37.5" customHeight="1" thickTop="1" thickBot="1">
      <c r="A19" s="372" t="s">
        <v>1809</v>
      </c>
      <c r="B19" s="351" t="s">
        <v>1810</v>
      </c>
      <c r="C19" s="2089"/>
      <c r="D19" s="2090" t="s">
        <v>1811</v>
      </c>
      <c r="E19" s="2091"/>
      <c r="F19" s="2092" t="str">
        <f>IF(AND(C19="是",E19="否"),"是否提供他项权证或相关说明","")</f>
        <v/>
      </c>
      <c r="G19" s="2093"/>
      <c r="H19" s="2041"/>
      <c r="I19" s="2041"/>
      <c r="J19" s="2041"/>
      <c r="K19" s="2051"/>
      <c r="L19" s="2027"/>
      <c r="M19" s="2027"/>
      <c r="N19" s="2082"/>
      <c r="O19" s="2081"/>
      <c r="P19" s="2082"/>
      <c r="Q19" s="2028"/>
      <c r="R19" s="2028"/>
      <c r="S19" s="2028"/>
      <c r="T19" s="2028"/>
      <c r="U19" s="2028"/>
      <c r="V19" s="2028"/>
    </row>
    <row r="20" spans="1:22" ht="18" customHeight="1">
      <c r="A20" s="2094" t="s">
        <v>1812</v>
      </c>
      <c r="B20" s="3066" t="s">
        <v>1813</v>
      </c>
      <c r="C20" s="3067"/>
      <c r="D20" s="3068" t="s">
        <v>1814</v>
      </c>
      <c r="E20" s="3069"/>
      <c r="F20" s="2095" t="s">
        <v>1815</v>
      </c>
      <c r="G20" s="2041"/>
      <c r="H20" s="2041"/>
      <c r="I20" s="2041"/>
      <c r="J20" s="2041"/>
      <c r="K20" s="3065" t="s">
        <v>1816</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2"/>
      <c r="O20" s="2081"/>
      <c r="P20" s="2082"/>
      <c r="Q20" s="2028"/>
      <c r="R20" s="2028"/>
      <c r="S20" s="2028"/>
      <c r="T20" s="2028"/>
      <c r="U20" s="2028"/>
      <c r="V20" s="2028"/>
    </row>
    <row r="21" spans="1:22" ht="24.75" customHeight="1">
      <c r="A21" s="2094"/>
      <c r="B21" s="2096" t="s">
        <v>1817</v>
      </c>
      <c r="C21" s="2097" t="s">
        <v>1818</v>
      </c>
      <c r="D21" s="2098" t="s">
        <v>1819</v>
      </c>
      <c r="E21" s="2099" t="s">
        <v>1818</v>
      </c>
      <c r="F21" s="2100"/>
      <c r="G21" s="2041"/>
      <c r="H21" s="2041"/>
      <c r="I21" s="2041"/>
      <c r="J21" s="2041"/>
      <c r="K21" s="3065"/>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2"/>
      <c r="O21" s="2081"/>
      <c r="P21" s="2082"/>
      <c r="Q21" s="2028"/>
      <c r="R21" s="2028"/>
      <c r="S21" s="2028"/>
      <c r="T21" s="2028"/>
      <c r="U21" s="2028"/>
      <c r="V21" s="2028"/>
    </row>
    <row r="22" spans="1:22" ht="24.75" customHeight="1" thickBot="1">
      <c r="A22" s="2094"/>
      <c r="B22" s="2101" t="s">
        <v>1820</v>
      </c>
      <c r="C22" s="2097" t="s">
        <v>1821</v>
      </c>
      <c r="D22" s="2025"/>
      <c r="E22" s="2025"/>
      <c r="F22" s="2102"/>
      <c r="G22" s="2041"/>
      <c r="H22" s="2041"/>
      <c r="I22" s="2041"/>
      <c r="J22" s="2041"/>
      <c r="K22" s="3065"/>
      <c r="L22" s="747"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2"/>
      <c r="O22" s="2081"/>
      <c r="P22" s="2082"/>
      <c r="Q22" s="2028"/>
      <c r="R22" s="2028"/>
      <c r="S22" s="2028"/>
      <c r="T22" s="2028"/>
      <c r="U22" s="2028"/>
      <c r="V22" s="2028"/>
    </row>
    <row r="23" spans="1:22" ht="18" customHeight="1">
      <c r="A23" s="2103" t="s">
        <v>1822</v>
      </c>
      <c r="B23" s="182" t="s">
        <v>1823</v>
      </c>
      <c r="C23" s="2104"/>
      <c r="D23" s="2105" t="s">
        <v>1823</v>
      </c>
      <c r="E23" s="2106"/>
      <c r="F23" s="2102"/>
      <c r="G23" s="2041"/>
      <c r="H23" s="2041"/>
      <c r="I23" s="2041"/>
      <c r="J23" s="2041"/>
      <c r="K23" s="2107"/>
      <c r="L23" s="747"/>
      <c r="M23" s="2027"/>
      <c r="N23" s="2082"/>
      <c r="O23" s="2081"/>
      <c r="P23" s="2082"/>
      <c r="Q23" s="2028"/>
      <c r="R23" s="2028"/>
      <c r="S23" s="2028"/>
      <c r="T23" s="2028"/>
      <c r="U23" s="2028"/>
      <c r="V23" s="2028"/>
    </row>
    <row r="24" spans="1:22" ht="18" customHeight="1">
      <c r="A24" s="2108"/>
      <c r="B24" s="182" t="s">
        <v>1824</v>
      </c>
      <c r="C24" s="2109"/>
      <c r="D24" s="2103" t="s">
        <v>1824</v>
      </c>
      <c r="E24" s="2110"/>
      <c r="F24" s="2102"/>
      <c r="G24" s="2041"/>
      <c r="H24" s="2041"/>
      <c r="I24" s="2041"/>
      <c r="J24" s="2041"/>
      <c r="K24" s="2107"/>
      <c r="L24" s="747"/>
      <c r="M24" s="2027"/>
      <c r="N24" s="2082"/>
      <c r="O24" s="2081"/>
      <c r="P24" s="2082"/>
      <c r="Q24" s="2028"/>
      <c r="R24" s="2028"/>
      <c r="S24" s="2028"/>
      <c r="T24" s="2028"/>
      <c r="U24" s="2028"/>
      <c r="V24" s="2028"/>
    </row>
    <row r="25" spans="1:22" ht="18" customHeight="1">
      <c r="A25" s="2108"/>
      <c r="B25" s="182" t="s">
        <v>1825</v>
      </c>
      <c r="C25" s="2109"/>
      <c r="D25" s="2103" t="s">
        <v>1825</v>
      </c>
      <c r="E25" s="2110"/>
      <c r="F25" s="2102"/>
      <c r="G25" s="2041"/>
      <c r="H25" s="2041"/>
      <c r="I25" s="2041"/>
      <c r="J25" s="2041"/>
      <c r="K25" s="2051"/>
      <c r="L25" s="2027"/>
      <c r="M25" s="2027"/>
      <c r="N25" s="2082"/>
      <c r="O25" s="2081"/>
      <c r="P25" s="2082"/>
      <c r="Q25" s="2028"/>
      <c r="R25" s="2028"/>
      <c r="S25" s="2028"/>
      <c r="T25" s="2028"/>
      <c r="U25" s="2028"/>
      <c r="V25" s="2028"/>
    </row>
    <row r="26" spans="1:22" ht="18" customHeight="1" thickBot="1">
      <c r="A26" s="2111"/>
      <c r="B26" s="2112" t="s">
        <v>1826</v>
      </c>
      <c r="C26" s="2113"/>
      <c r="D26" s="2114" t="s">
        <v>1827</v>
      </c>
      <c r="E26" s="2115"/>
      <c r="F26" s="2116"/>
      <c r="G26" s="2059"/>
      <c r="H26" s="2059"/>
      <c r="I26" s="2059"/>
      <c r="J26" s="2041"/>
      <c r="K26" s="2051"/>
      <c r="L26" s="2027"/>
      <c r="M26" s="2027"/>
      <c r="N26" s="2082"/>
      <c r="O26" s="2081"/>
      <c r="P26" s="2082"/>
      <c r="Q26" s="2028"/>
      <c r="R26" s="2028"/>
      <c r="S26" s="2028"/>
      <c r="T26" s="2028"/>
      <c r="U26" s="2028"/>
      <c r="V26" s="2028"/>
    </row>
    <row r="27" spans="1:22" ht="18" customHeight="1" thickTop="1">
      <c r="A27" s="3053" t="s">
        <v>1828</v>
      </c>
      <c r="B27" s="2060" t="s">
        <v>1829</v>
      </c>
      <c r="C27" s="2117" t="s">
        <v>3059</v>
      </c>
      <c r="D27" s="2118"/>
      <c r="E27" s="2041"/>
      <c r="F27" s="2041"/>
      <c r="G27" s="2041"/>
      <c r="H27" s="2041"/>
      <c r="I27" s="2041"/>
      <c r="J27" s="2028"/>
      <c r="K27" s="2080"/>
      <c r="L27" s="2081"/>
      <c r="M27" s="2081"/>
      <c r="N27" s="2082"/>
      <c r="O27" s="2081"/>
      <c r="P27" s="2082"/>
      <c r="Q27" s="2028"/>
      <c r="R27" s="2028"/>
      <c r="S27" s="2028"/>
      <c r="T27" s="2028"/>
      <c r="U27" s="2028"/>
      <c r="V27" s="2028"/>
    </row>
    <row r="28" spans="1:22" ht="18" customHeight="1">
      <c r="A28" s="3053"/>
      <c r="B28" s="2034" t="s">
        <v>1830</v>
      </c>
      <c r="C28" s="2119"/>
      <c r="D28" s="2120"/>
      <c r="E28" s="2041"/>
      <c r="F28" s="2041"/>
      <c r="G28" s="2041"/>
      <c r="H28" s="2041"/>
      <c r="I28" s="2041"/>
      <c r="J28" s="2028"/>
      <c r="K28" s="2121"/>
      <c r="L28" s="2027"/>
      <c r="M28" s="2027"/>
      <c r="N28" s="2028"/>
      <c r="O28" s="2029"/>
      <c r="P28" s="2028"/>
      <c r="Q28" s="2028"/>
      <c r="R28" s="2028"/>
      <c r="S28" s="2028"/>
      <c r="T28" s="2028"/>
      <c r="U28" s="2028"/>
      <c r="V28" s="2028"/>
    </row>
    <row r="29" spans="1:22" ht="18" customHeight="1">
      <c r="A29" s="3053"/>
      <c r="B29" s="2034" t="s">
        <v>1831</v>
      </c>
      <c r="C29" s="2122"/>
      <c r="D29" s="2123"/>
      <c r="E29" s="2041"/>
      <c r="F29" s="2041"/>
      <c r="G29" s="2041"/>
      <c r="H29" s="2041"/>
      <c r="I29" s="2041"/>
      <c r="J29" s="2028"/>
      <c r="K29" s="2121"/>
      <c r="L29" s="2027"/>
      <c r="M29" s="2027"/>
      <c r="N29" s="2028"/>
      <c r="O29" s="2029"/>
      <c r="P29" s="2028"/>
      <c r="Q29" s="2028"/>
      <c r="R29" s="2028"/>
      <c r="S29" s="2028"/>
      <c r="T29" s="2028"/>
      <c r="U29" s="2028"/>
      <c r="V29" s="2028"/>
    </row>
    <row r="30" spans="1:22" ht="18" customHeight="1">
      <c r="A30" s="3054"/>
      <c r="B30" s="2034" t="s">
        <v>1832</v>
      </c>
      <c r="C30" s="3055"/>
      <c r="D30" s="3056"/>
      <c r="E30" s="2041"/>
      <c r="F30" s="2041"/>
      <c r="G30" s="2041"/>
      <c r="H30" s="2041"/>
      <c r="I30" s="2041"/>
      <c r="J30" s="2028"/>
      <c r="K30" s="2121"/>
      <c r="L30" s="2027"/>
      <c r="M30" s="2027"/>
      <c r="N30" s="2028"/>
      <c r="O30" s="2029"/>
      <c r="P30" s="2028"/>
      <c r="Q30" s="2028"/>
      <c r="R30" s="2028"/>
      <c r="S30" s="2028"/>
      <c r="T30" s="2028"/>
      <c r="U30" s="2028"/>
      <c r="V30" s="2028"/>
    </row>
    <row r="31" spans="1:22" ht="18" customHeight="1">
      <c r="A31" s="3057" t="s">
        <v>1833</v>
      </c>
      <c r="B31" s="2124" t="s">
        <v>3060</v>
      </c>
      <c r="C31" s="2125" t="str">
        <f>IF(B31="现房","成新及维护状况正常否",IF(B31="在建","工程状态是否正常",IF(B31="土地","是否闲置","-")))</f>
        <v>成新及维护状况正常否</v>
      </c>
      <c r="D31" s="2126"/>
      <c r="E31" s="2127"/>
      <c r="F31" s="2041"/>
      <c r="G31" s="2041"/>
      <c r="H31" s="2041"/>
      <c r="I31" s="2041"/>
      <c r="J31" s="2041"/>
      <c r="K31" s="2049"/>
      <c r="L31" s="2027"/>
      <c r="M31" s="2027"/>
      <c r="N31" s="2028"/>
      <c r="O31" s="2029"/>
      <c r="P31" s="2028"/>
      <c r="Q31" s="2028"/>
      <c r="R31" s="2028"/>
      <c r="S31" s="2028"/>
      <c r="T31" s="2028"/>
      <c r="U31" s="2028"/>
      <c r="V31" s="2028"/>
    </row>
    <row r="32" spans="1:22" ht="18" customHeight="1">
      <c r="A32" s="3058"/>
      <c r="B32" s="2124"/>
      <c r="C32" s="2125" t="str">
        <f>IF(B32="现房","成新及维护状况是否正常",IF(B32="在建","工程状态是否正常",IF(B32="土地","是否闲置","-")))</f>
        <v>-</v>
      </c>
      <c r="D32" s="2126"/>
      <c r="E32" s="2127"/>
      <c r="F32" s="2041"/>
      <c r="G32" s="2041"/>
      <c r="H32" s="2041"/>
      <c r="I32" s="2041"/>
      <c r="J32" s="2041"/>
      <c r="K32" s="2051"/>
      <c r="L32" s="2027"/>
      <c r="M32" s="2027"/>
      <c r="N32" s="2028"/>
      <c r="O32" s="2029"/>
      <c r="P32" s="2028"/>
      <c r="Q32" s="2028"/>
      <c r="R32" s="2028"/>
      <c r="S32" s="2028"/>
      <c r="T32" s="2028"/>
      <c r="U32" s="2028"/>
      <c r="V32" s="2028"/>
    </row>
    <row r="33" spans="1:22" ht="18" customHeight="1">
      <c r="A33" s="3058"/>
      <c r="B33" s="2128"/>
      <c r="C33" s="2067" t="str">
        <f>IF(B33="现房","成新及维护状况是否正常",IF(B33="在建","工程状态是否正常",IF(B33="土地","是否闲置","-")))</f>
        <v>-</v>
      </c>
      <c r="D33" s="2129"/>
      <c r="E33" s="2130"/>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1834</v>
      </c>
      <c r="B34" s="2131" t="s">
        <v>3061</v>
      </c>
      <c r="C34" s="2131" t="s">
        <v>3062</v>
      </c>
      <c r="D34" s="2131" t="s">
        <v>3063</v>
      </c>
      <c r="E34" s="2131" t="s">
        <v>3064</v>
      </c>
      <c r="F34" s="2131" t="s">
        <v>3065</v>
      </c>
      <c r="G34" s="2131"/>
      <c r="H34" s="2131"/>
      <c r="I34" s="2041"/>
      <c r="J34" s="2041"/>
      <c r="K34" s="1794">
        <f>COUNTIF(B34:H34,"——")</f>
        <v>0</v>
      </c>
      <c r="L34" s="2072" t="s">
        <v>1835</v>
      </c>
      <c r="M34" s="2072" t="s">
        <v>1836</v>
      </c>
      <c r="N34" s="2072" t="s">
        <v>1837</v>
      </c>
      <c r="O34" s="2072" t="s">
        <v>1838</v>
      </c>
      <c r="P34" s="2072" t="s">
        <v>1839</v>
      </c>
      <c r="Q34" s="2072" t="s">
        <v>1840</v>
      </c>
      <c r="R34" s="2072" t="s">
        <v>1841</v>
      </c>
      <c r="S34" s="3052" t="s">
        <v>1842</v>
      </c>
      <c r="T34" s="2132" t="str">
        <f>NUMBERSTRING(7-K34,1)&amp;"通"</f>
        <v>七通</v>
      </c>
      <c r="U34" s="2028"/>
      <c r="V34" s="2028"/>
    </row>
    <row r="35" spans="1:22" ht="18" customHeight="1">
      <c r="A35" s="2133"/>
      <c r="B35" s="3059" t="s">
        <v>1843</v>
      </c>
      <c r="C35" s="3059"/>
      <c r="D35" s="3059"/>
      <c r="E35" s="3059"/>
      <c r="F35" s="2134">
        <f>C10</f>
        <v>0</v>
      </c>
      <c r="G35" s="2041"/>
      <c r="H35" s="2041"/>
      <c r="I35" s="2041"/>
      <c r="J35" s="2041"/>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52"/>
      <c r="T35" s="48" t="str">
        <f>IF(T34="一通",L35,IF(T34="二通",M35,IF(T34="三通",N35,IF(T34="四通",O35,IF(T34="五通",P35,IF(T34="六通",Q35,R35))))))</f>
        <v>通路、通电、通讯、通上水、通下水、、</v>
      </c>
      <c r="U35" s="2028"/>
      <c r="V35" s="2028"/>
    </row>
    <row r="36" spans="1:22" ht="18" customHeight="1">
      <c r="A36" s="2135"/>
      <c r="B36" s="2134" t="s">
        <v>1844</v>
      </c>
      <c r="C36" s="2134" t="s">
        <v>1845</v>
      </c>
      <c r="D36" s="2134" t="s">
        <v>1846</v>
      </c>
      <c r="E36" s="2134" t="s">
        <v>1847</v>
      </c>
      <c r="F36" s="2136"/>
      <c r="G36" s="2041"/>
      <c r="H36" s="2041"/>
      <c r="I36" s="2041"/>
      <c r="J36" s="2041"/>
      <c r="K36" s="2051"/>
      <c r="L36" s="2027"/>
      <c r="M36" s="2027"/>
      <c r="N36" s="2028"/>
      <c r="O36" s="2029"/>
      <c r="P36" s="2028"/>
      <c r="Q36" s="2028"/>
      <c r="R36" s="2028"/>
      <c r="S36" s="2028"/>
      <c r="T36" s="2028"/>
      <c r="U36" s="2028"/>
      <c r="V36" s="2028"/>
    </row>
    <row r="37" spans="1:22" ht="18" customHeight="1">
      <c r="A37" s="2137" t="s">
        <v>1848</v>
      </c>
      <c r="B37" s="2138" t="s">
        <v>56</v>
      </c>
      <c r="C37" s="2138" t="s">
        <v>56</v>
      </c>
      <c r="D37" s="2138"/>
      <c r="E37" s="2138"/>
      <c r="F37" s="2136"/>
      <c r="G37" s="2041"/>
      <c r="H37" s="2041"/>
      <c r="I37" s="2041"/>
      <c r="J37" s="2041"/>
      <c r="K37" s="2051"/>
      <c r="L37" s="2027"/>
      <c r="M37" s="2027"/>
      <c r="N37" s="2028"/>
      <c r="O37" s="2029"/>
      <c r="P37" s="2028"/>
      <c r="Q37" s="2028"/>
      <c r="R37" s="2028"/>
      <c r="S37" s="2028"/>
      <c r="T37" s="2028"/>
      <c r="U37" s="2028"/>
      <c r="V37" s="2028"/>
    </row>
    <row r="38" spans="1:22" ht="18" customHeight="1" thickBot="1">
      <c r="A38" s="2139" t="s">
        <v>1849</v>
      </c>
      <c r="B38" s="2140" t="s">
        <v>3066</v>
      </c>
      <c r="C38" s="2140" t="s">
        <v>3066</v>
      </c>
      <c r="D38" s="2140"/>
      <c r="E38" s="2140"/>
      <c r="F38" s="2141"/>
      <c r="G38" s="2059"/>
      <c r="H38" s="2059"/>
      <c r="I38" s="2059"/>
      <c r="J38" s="2041"/>
      <c r="K38" s="2051"/>
      <c r="L38" s="2027"/>
      <c r="M38" s="2027"/>
      <c r="N38" s="2028"/>
      <c r="O38" s="2029"/>
      <c r="P38" s="2028"/>
      <c r="Q38" s="2028"/>
      <c r="R38" s="2028"/>
      <c r="S38" s="2028"/>
      <c r="T38" s="2028"/>
      <c r="U38" s="2028"/>
      <c r="V38" s="2028"/>
    </row>
    <row r="39" spans="1:22" s="2146" customFormat="1" ht="18" customHeight="1" thickTop="1" thickBot="1">
      <c r="A39" s="2142" t="s">
        <v>1850</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8"/>
      <c r="B40" s="2028"/>
      <c r="C40" s="2028"/>
      <c r="D40" s="2028"/>
      <c r="E40" s="2028"/>
      <c r="F40" s="2028"/>
      <c r="G40" s="2028"/>
      <c r="H40" s="2028"/>
      <c r="I40" s="2147"/>
      <c r="J40" s="2082"/>
      <c r="K40" s="665"/>
      <c r="L40" s="2081"/>
      <c r="M40" s="2081"/>
      <c r="N40" s="2082"/>
      <c r="O40" s="2081"/>
      <c r="P40" s="2028"/>
      <c r="Q40" s="2028"/>
      <c r="R40" s="2028"/>
      <c r="S40" s="2028"/>
      <c r="T40" s="2028"/>
      <c r="U40" s="2028"/>
      <c r="V40" s="2028"/>
    </row>
    <row r="41" spans="1:22" ht="18" customHeight="1">
      <c r="A41" s="8" t="s">
        <v>1851</v>
      </c>
      <c r="B41" s="2148"/>
      <c r="C41" s="2149"/>
      <c r="D41" s="2028"/>
      <c r="E41" s="2028"/>
      <c r="F41" s="2028"/>
      <c r="G41" s="2028"/>
      <c r="H41" s="2028"/>
      <c r="I41" s="2029"/>
      <c r="J41" s="2028"/>
      <c r="K41" s="2121"/>
      <c r="L41" s="2027"/>
      <c r="M41" s="2027"/>
      <c r="N41" s="2028"/>
      <c r="O41" s="2029"/>
      <c r="P41" s="2028"/>
      <c r="Q41" s="2028"/>
      <c r="R41" s="2028"/>
      <c r="S41" s="2028"/>
      <c r="T41" s="2028"/>
      <c r="U41" s="2028"/>
      <c r="V41" s="2028"/>
    </row>
    <row r="42" spans="1:22" ht="18" customHeight="1">
      <c r="A42" s="2072" t="s">
        <v>1852</v>
      </c>
      <c r="B42" s="1794" t="s">
        <v>1853</v>
      </c>
      <c r="C42" s="1794" t="s">
        <v>1854</v>
      </c>
      <c r="D42" s="1794" t="s">
        <v>1855</v>
      </c>
      <c r="E42" s="1794" t="s">
        <v>1856</v>
      </c>
      <c r="F42" s="1794" t="s">
        <v>1857</v>
      </c>
      <c r="G42" s="1794" t="s">
        <v>1858</v>
      </c>
      <c r="H42" s="1794" t="s">
        <v>1859</v>
      </c>
      <c r="I42" s="1794" t="s">
        <v>1860</v>
      </c>
      <c r="J42" s="2150" t="s">
        <v>1861</v>
      </c>
      <c r="K42" s="2073" t="s">
        <v>1862</v>
      </c>
      <c r="L42" s="2073" t="s">
        <v>1863</v>
      </c>
      <c r="M42" s="2073" t="s">
        <v>1864</v>
      </c>
      <c r="N42" s="1794" t="s">
        <v>1865</v>
      </c>
      <c r="O42" s="1794" t="s">
        <v>1866</v>
      </c>
      <c r="P42" s="1794" t="s">
        <v>1867</v>
      </c>
      <c r="Q42" s="2072" t="s">
        <v>1868</v>
      </c>
      <c r="R42" s="2072" t="s">
        <v>1869</v>
      </c>
      <c r="S42" s="2028"/>
      <c r="T42" s="2028"/>
      <c r="U42" s="2028"/>
      <c r="V42" s="2028"/>
    </row>
    <row r="43" spans="1:22" s="2155" customFormat="1" ht="18" customHeight="1">
      <c r="A43" s="2151"/>
      <c r="B43" s="1271"/>
      <c r="C43" s="1271"/>
      <c r="D43" s="1271"/>
      <c r="E43" s="1271"/>
      <c r="F43" s="1271"/>
      <c r="G43" s="1271"/>
      <c r="H43" s="9"/>
      <c r="I43" s="9"/>
      <c r="J43" s="2152"/>
      <c r="K43" s="2153"/>
      <c r="L43" s="2153"/>
      <c r="M43" s="9"/>
      <c r="N43" s="1271"/>
      <c r="O43" s="9"/>
      <c r="P43" s="1271"/>
      <c r="Q43" s="1271"/>
      <c r="R43" s="1271"/>
      <c r="S43" s="2154"/>
      <c r="T43" s="2154"/>
      <c r="U43" s="2154"/>
      <c r="V43" s="2154"/>
    </row>
    <row r="44" spans="1:22" s="2155" customFormat="1" ht="18" customHeight="1">
      <c r="A44" s="2151"/>
      <c r="B44" s="2151"/>
      <c r="C44" s="1271"/>
      <c r="D44" s="1271"/>
      <c r="E44" s="1271"/>
      <c r="F44" s="1271"/>
      <c r="G44" s="1271"/>
      <c r="H44" s="9"/>
      <c r="I44" s="9"/>
      <c r="J44" s="2152"/>
      <c r="K44" s="2153"/>
      <c r="L44" s="2153"/>
      <c r="M44" s="9"/>
      <c r="N44" s="1271"/>
      <c r="O44" s="9"/>
      <c r="P44" s="1271"/>
      <c r="Q44" s="1271"/>
      <c r="R44" s="1271"/>
      <c r="S44" s="2154"/>
      <c r="T44" s="2154"/>
      <c r="U44" s="2154"/>
      <c r="V44" s="2154"/>
    </row>
    <row r="45" spans="1:22" s="2155" customFormat="1" ht="18" customHeight="1">
      <c r="A45" s="2151"/>
      <c r="B45" s="2151"/>
      <c r="C45" s="1271"/>
      <c r="D45" s="1271"/>
      <c r="E45" s="1271"/>
      <c r="F45" s="1271"/>
      <c r="G45" s="1271"/>
      <c r="H45" s="9"/>
      <c r="I45" s="9"/>
      <c r="J45" s="2152"/>
      <c r="K45" s="2153"/>
      <c r="L45" s="2153"/>
      <c r="M45" s="9"/>
      <c r="N45" s="1271"/>
      <c r="O45" s="9"/>
      <c r="P45" s="1271"/>
      <c r="Q45" s="1271"/>
      <c r="R45" s="1271"/>
      <c r="S45" s="2154"/>
      <c r="T45" s="2154"/>
      <c r="U45" s="2154"/>
      <c r="V45" s="2154"/>
    </row>
    <row r="46" spans="1:22" s="2155" customFormat="1" ht="18" customHeight="1">
      <c r="A46" s="2151"/>
      <c r="B46" s="2151"/>
      <c r="C46" s="1271"/>
      <c r="D46" s="1271"/>
      <c r="E46" s="1271"/>
      <c r="F46" s="1271"/>
      <c r="G46" s="1271"/>
      <c r="H46" s="9"/>
      <c r="I46" s="9"/>
      <c r="J46" s="2152"/>
      <c r="K46" s="2153"/>
      <c r="L46" s="2153"/>
      <c r="M46" s="9"/>
      <c r="N46" s="1271"/>
      <c r="O46" s="9"/>
      <c r="P46" s="1271"/>
      <c r="Q46" s="1271"/>
      <c r="R46" s="1271"/>
      <c r="S46" s="2154"/>
      <c r="T46" s="2154"/>
      <c r="U46" s="2154"/>
      <c r="V46" s="2154"/>
    </row>
    <row r="47" spans="1:22" s="2155" customFormat="1" ht="18" customHeight="1">
      <c r="A47" s="2151"/>
      <c r="B47" s="2151"/>
      <c r="C47" s="1271"/>
      <c r="D47" s="1271"/>
      <c r="E47" s="1271"/>
      <c r="F47" s="1271"/>
      <c r="G47" s="1271"/>
      <c r="H47" s="9"/>
      <c r="I47" s="9"/>
      <c r="J47" s="2152"/>
      <c r="K47" s="2153"/>
      <c r="L47" s="2153"/>
      <c r="M47" s="9"/>
      <c r="N47" s="1271"/>
      <c r="O47" s="9"/>
      <c r="P47" s="1271"/>
      <c r="Q47" s="1271"/>
      <c r="R47" s="1271"/>
      <c r="S47" s="2154"/>
      <c r="T47" s="2154"/>
      <c r="U47" s="2154"/>
      <c r="V47" s="2154"/>
    </row>
    <row r="48" spans="1:22" s="2155" customFormat="1" ht="18" customHeight="1">
      <c r="A48" s="2151"/>
      <c r="B48" s="2151"/>
      <c r="C48" s="1271"/>
      <c r="D48" s="1271"/>
      <c r="E48" s="1271"/>
      <c r="F48" s="1271"/>
      <c r="G48" s="1271"/>
      <c r="H48" s="9"/>
      <c r="I48" s="9"/>
      <c r="J48" s="2152"/>
      <c r="K48" s="2153"/>
      <c r="L48" s="2153"/>
      <c r="M48" s="9"/>
      <c r="N48" s="1271"/>
      <c r="O48" s="9"/>
      <c r="P48" s="1271"/>
      <c r="Q48" s="1271"/>
      <c r="R48" s="1271"/>
      <c r="S48" s="2154"/>
      <c r="T48" s="2154"/>
      <c r="U48" s="2154"/>
      <c r="V48" s="2154"/>
    </row>
    <row r="49" spans="1:22" s="2155" customFormat="1" ht="18" customHeight="1">
      <c r="A49" s="2151"/>
      <c r="B49" s="2151"/>
      <c r="C49" s="1271"/>
      <c r="D49" s="1271"/>
      <c r="E49" s="1271"/>
      <c r="F49" s="1271"/>
      <c r="G49" s="1271"/>
      <c r="H49" s="9"/>
      <c r="I49" s="9"/>
      <c r="J49" s="2152"/>
      <c r="K49" s="2153"/>
      <c r="L49" s="2153"/>
      <c r="M49" s="9"/>
      <c r="N49" s="1271"/>
      <c r="O49" s="9"/>
      <c r="P49" s="1271"/>
      <c r="Q49" s="1271"/>
      <c r="R49" s="1271"/>
      <c r="S49" s="2154"/>
      <c r="T49" s="2154"/>
      <c r="U49" s="2154"/>
      <c r="V49" s="2154"/>
    </row>
    <row r="50" spans="1:22" s="2155" customFormat="1" ht="18" customHeight="1">
      <c r="A50" s="2151"/>
      <c r="B50" s="2151"/>
      <c r="C50" s="1271"/>
      <c r="D50" s="1271"/>
      <c r="E50" s="1271"/>
      <c r="F50" s="1271"/>
      <c r="G50" s="1271"/>
      <c r="H50" s="9"/>
      <c r="I50" s="9"/>
      <c r="J50" s="2152"/>
      <c r="K50" s="2153"/>
      <c r="L50" s="2153"/>
      <c r="M50" s="9"/>
      <c r="N50" s="1271"/>
      <c r="O50" s="9"/>
      <c r="P50" s="1271"/>
      <c r="Q50" s="1271"/>
      <c r="R50" s="1271"/>
      <c r="S50" s="2154"/>
      <c r="T50" s="2154"/>
      <c r="U50" s="2154"/>
      <c r="V50" s="2154"/>
    </row>
    <row r="51" spans="1:22" s="2155" customFormat="1" ht="18" customHeight="1">
      <c r="A51" s="2151"/>
      <c r="B51" s="2151"/>
      <c r="C51" s="1271"/>
      <c r="D51" s="1271"/>
      <c r="E51" s="1271"/>
      <c r="F51" s="1271"/>
      <c r="G51" s="1271"/>
      <c r="H51" s="9"/>
      <c r="I51" s="9"/>
      <c r="J51" s="2152"/>
      <c r="K51" s="2153"/>
      <c r="L51" s="2153"/>
      <c r="M51" s="9"/>
      <c r="N51" s="1271"/>
      <c r="O51" s="9"/>
      <c r="P51" s="1271"/>
      <c r="Q51" s="1271"/>
      <c r="R51" s="1271"/>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38"/>
  <sheetViews>
    <sheetView topLeftCell="G1" workbookViewId="0">
      <selection activeCell="J33" sqref="J33"/>
    </sheetView>
  </sheetViews>
  <sheetFormatPr defaultRowHeight="13.5"/>
  <cols>
    <col min="1" max="1" width="13" style="2978" hidden="1" customWidth="1"/>
    <col min="2" max="2" width="9" style="2978" hidden="1" customWidth="1"/>
    <col min="3" max="3" width="12.125" style="2978" hidden="1" customWidth="1"/>
    <col min="4" max="6" width="0" style="2978" hidden="1" customWidth="1"/>
    <col min="7" max="15" width="9" style="2978"/>
    <col min="16" max="16" width="15.25" style="2999" customWidth="1"/>
    <col min="17" max="17" width="16.125" style="2978" customWidth="1"/>
    <col min="18" max="18" width="18" style="2978" customWidth="1"/>
    <col min="19" max="16384" width="9" style="2978"/>
  </cols>
  <sheetData>
    <row r="1" spans="1:18">
      <c r="A1" s="3088" t="s">
        <v>3111</v>
      </c>
      <c r="B1" s="3089"/>
      <c r="C1" s="3089"/>
      <c r="D1" s="3090"/>
      <c r="H1" s="3091" t="s">
        <v>3112</v>
      </c>
      <c r="I1" s="3092"/>
      <c r="J1" s="3092"/>
      <c r="K1" s="3092"/>
      <c r="L1" s="3093"/>
      <c r="O1" s="2981" t="s">
        <v>3527</v>
      </c>
      <c r="P1" s="3000" t="s">
        <v>3525</v>
      </c>
      <c r="Q1" s="2981" t="s">
        <v>3526</v>
      </c>
      <c r="R1" s="2981" t="s">
        <v>3115</v>
      </c>
    </row>
    <row r="2" spans="1:18">
      <c r="A2" s="2979" t="s">
        <v>3113</v>
      </c>
      <c r="B2" s="2979"/>
      <c r="C2" s="2980" t="s">
        <v>3114</v>
      </c>
      <c r="D2" s="2979" t="s">
        <v>3116</v>
      </c>
      <c r="H2" s="2979" t="s">
        <v>3113</v>
      </c>
      <c r="I2" s="2979" t="s">
        <v>3117</v>
      </c>
      <c r="J2" s="2979" t="s">
        <v>3118</v>
      </c>
      <c r="K2" s="2979" t="s">
        <v>3119</v>
      </c>
      <c r="L2" s="2979" t="s">
        <v>3120</v>
      </c>
      <c r="O2" s="3082" t="s">
        <v>3427</v>
      </c>
      <c r="P2" s="3000" t="s">
        <v>3428</v>
      </c>
      <c r="Q2" s="2981">
        <v>166.93</v>
      </c>
      <c r="R2" s="2981" t="s">
        <v>3529</v>
      </c>
    </row>
    <row r="3" spans="1:18">
      <c r="A3" s="2982" t="s">
        <v>3382</v>
      </c>
      <c r="B3" s="2982"/>
      <c r="C3" s="2982">
        <v>2125.33</v>
      </c>
      <c r="D3" s="2982" t="s">
        <v>3121</v>
      </c>
      <c r="H3" s="2979" t="s">
        <v>3122</v>
      </c>
      <c r="I3" s="2981">
        <v>1</v>
      </c>
      <c r="J3" s="2981" t="e">
        <f ca="1">结果表商业!I118</f>
        <v>#N/A</v>
      </c>
      <c r="K3" s="2981">
        <f>I12</f>
        <v>1175.17</v>
      </c>
      <c r="L3" s="2981" t="e">
        <f ca="1">ROUND(K3*J3/10000,0)</f>
        <v>#N/A</v>
      </c>
      <c r="O3" s="3083"/>
      <c r="P3" s="3000" t="s">
        <v>3429</v>
      </c>
      <c r="Q3" s="2981">
        <v>338.48</v>
      </c>
      <c r="R3" s="2981" t="s">
        <v>3529</v>
      </c>
    </row>
    <row r="4" spans="1:18">
      <c r="A4" s="2982" t="s">
        <v>3383</v>
      </c>
      <c r="B4" s="2982"/>
      <c r="C4" s="2982">
        <v>273.63</v>
      </c>
      <c r="D4" s="2982" t="s">
        <v>3121</v>
      </c>
      <c r="H4" s="2979" t="s">
        <v>3124</v>
      </c>
      <c r="I4" s="2981">
        <v>0.5</v>
      </c>
      <c r="J4" s="2981" t="e">
        <f ca="1">ROUND(J3*I4,0)</f>
        <v>#N/A</v>
      </c>
      <c r="K4" s="2981">
        <f>Q29</f>
        <v>3921.88</v>
      </c>
      <c r="L4" s="2981" t="e">
        <f t="shared" ref="L4:L6" ca="1" si="0">ROUND(K4*J4/10000,0)</f>
        <v>#N/A</v>
      </c>
      <c r="O4" s="3083"/>
      <c r="P4" s="3000" t="s">
        <v>3131</v>
      </c>
      <c r="Q4" s="2981">
        <v>54.2</v>
      </c>
      <c r="R4" s="2981" t="s">
        <v>3529</v>
      </c>
    </row>
    <row r="5" spans="1:18">
      <c r="A5" s="2982" t="s">
        <v>3384</v>
      </c>
      <c r="B5" s="2982"/>
      <c r="C5" s="2982">
        <v>2425.84</v>
      </c>
      <c r="D5" s="2982" t="s">
        <v>3123</v>
      </c>
      <c r="H5" s="2979" t="s">
        <v>3126</v>
      </c>
      <c r="I5" s="2981">
        <v>0.6</v>
      </c>
      <c r="J5" s="2981" t="e">
        <f ca="1">ROUND(J3*I5,0)</f>
        <v>#N/A</v>
      </c>
      <c r="K5" s="2981">
        <f>Q235</f>
        <v>391.97</v>
      </c>
      <c r="L5" s="2981" t="e">
        <f t="shared" ca="1" si="0"/>
        <v>#N/A</v>
      </c>
      <c r="O5" s="3083"/>
      <c r="P5" s="3000" t="s">
        <v>3132</v>
      </c>
      <c r="Q5" s="2981">
        <v>51.23</v>
      </c>
      <c r="R5" s="2981" t="s">
        <v>3529</v>
      </c>
    </row>
    <row r="6" spans="1:18">
      <c r="A6" s="2983" t="s">
        <v>3385</v>
      </c>
      <c r="B6" s="2983"/>
      <c r="C6" s="2983">
        <v>3107.96</v>
      </c>
      <c r="D6" s="2983" t="s">
        <v>3125</v>
      </c>
      <c r="H6" s="2979" t="s">
        <v>3128</v>
      </c>
      <c r="I6" s="2981">
        <f>I5</f>
        <v>0.6</v>
      </c>
      <c r="J6" s="2981" t="e">
        <f ca="1">ROUND(J3*I6,0)</f>
        <v>#N/A</v>
      </c>
      <c r="K6" s="2981">
        <f>Q237</f>
        <v>3630.35</v>
      </c>
      <c r="L6" s="2981" t="e">
        <f t="shared" ca="1" si="0"/>
        <v>#N/A</v>
      </c>
      <c r="O6" s="3083"/>
      <c r="P6" s="3000" t="s">
        <v>3133</v>
      </c>
      <c r="Q6" s="2981">
        <v>51.23</v>
      </c>
      <c r="R6" s="2981" t="s">
        <v>3529</v>
      </c>
    </row>
    <row r="7" spans="1:18">
      <c r="A7" s="2979" t="s">
        <v>3275</v>
      </c>
      <c r="B7" s="2981"/>
      <c r="C7" s="2981">
        <v>61.73</v>
      </c>
      <c r="D7" s="2983"/>
      <c r="H7" s="3094" t="s">
        <v>3130</v>
      </c>
      <c r="I7" s="3095"/>
      <c r="J7" s="3096"/>
      <c r="K7" s="2985">
        <f>K3+K4+K5+K6</f>
        <v>9119.3700000000008</v>
      </c>
      <c r="L7" s="2985" t="e">
        <f ca="1">L3+L4+L5+L6</f>
        <v>#N/A</v>
      </c>
      <c r="O7" s="3083"/>
      <c r="P7" s="3000" t="s">
        <v>3134</v>
      </c>
      <c r="Q7" s="2981">
        <v>39.549999999999997</v>
      </c>
      <c r="R7" s="2981" t="s">
        <v>3529</v>
      </c>
    </row>
    <row r="8" spans="1:18">
      <c r="A8" s="2979" t="s">
        <v>3276</v>
      </c>
      <c r="B8" s="2981"/>
      <c r="C8" s="2981">
        <v>949.25</v>
      </c>
      <c r="D8" s="2983"/>
      <c r="O8" s="3083"/>
      <c r="P8" s="3000" t="s">
        <v>3135</v>
      </c>
      <c r="Q8" s="2981">
        <v>26.22</v>
      </c>
      <c r="R8" s="2981" t="s">
        <v>3529</v>
      </c>
    </row>
    <row r="9" spans="1:18">
      <c r="A9" s="2983" t="s">
        <v>3386</v>
      </c>
      <c r="B9" s="2983"/>
      <c r="C9" s="2983">
        <v>2044.76</v>
      </c>
      <c r="D9" s="2983" t="s">
        <v>3127</v>
      </c>
      <c r="O9" s="3083"/>
      <c r="P9" s="3000" t="s">
        <v>3136</v>
      </c>
      <c r="Q9" s="2981">
        <v>67.25</v>
      </c>
      <c r="R9" s="2981" t="s">
        <v>3529</v>
      </c>
    </row>
    <row r="10" spans="1:18">
      <c r="A10" s="2984" t="s">
        <v>3386</v>
      </c>
      <c r="B10" s="2984"/>
      <c r="C10" s="2984">
        <v>1261.43</v>
      </c>
      <c r="D10" s="2984" t="s">
        <v>3129</v>
      </c>
      <c r="H10" s="3087" t="s">
        <v>3272</v>
      </c>
      <c r="I10" s="3087"/>
      <c r="J10" s="3087"/>
      <c r="K10" s="3087"/>
      <c r="O10" s="3083"/>
      <c r="P10" s="3000" t="s">
        <v>3137</v>
      </c>
      <c r="Q10" s="2981">
        <v>80.61</v>
      </c>
      <c r="R10" s="2981" t="s">
        <v>3529</v>
      </c>
    </row>
    <row r="11" spans="1:18">
      <c r="A11" s="2984" t="s">
        <v>3387</v>
      </c>
      <c r="B11" s="2984"/>
      <c r="C11" s="2984">
        <v>1924.81</v>
      </c>
      <c r="D11" s="2984" t="s">
        <v>3129</v>
      </c>
      <c r="H11" s="2979" t="s">
        <v>3535</v>
      </c>
      <c r="I11" s="2981" t="s">
        <v>3536</v>
      </c>
      <c r="J11" s="2981" t="s">
        <v>3537</v>
      </c>
      <c r="K11" s="2981" t="s">
        <v>3534</v>
      </c>
      <c r="O11" s="3083"/>
      <c r="P11" s="3000" t="s">
        <v>3138</v>
      </c>
      <c r="Q11" s="2981">
        <v>41.84</v>
      </c>
      <c r="R11" s="2981" t="s">
        <v>3529</v>
      </c>
    </row>
    <row r="12" spans="1:18">
      <c r="A12" s="2984" t="s">
        <v>3388</v>
      </c>
      <c r="B12" s="2984"/>
      <c r="C12" s="2984">
        <v>1924.81</v>
      </c>
      <c r="D12" s="2984" t="s">
        <v>3129</v>
      </c>
      <c r="H12" s="2979" t="s">
        <v>3273</v>
      </c>
      <c r="I12" s="3006">
        <f>Q36</f>
        <v>1175.17</v>
      </c>
      <c r="J12" s="2981">
        <v>0</v>
      </c>
      <c r="K12" s="2981">
        <f>I12</f>
        <v>1175.17</v>
      </c>
      <c r="O12" s="3083"/>
      <c r="P12" s="3000" t="s">
        <v>3139</v>
      </c>
      <c r="Q12" s="2981">
        <v>54.2</v>
      </c>
      <c r="R12" s="2981" t="s">
        <v>3529</v>
      </c>
    </row>
    <row r="13" spans="1:18">
      <c r="A13" s="2984" t="s">
        <v>3389</v>
      </c>
      <c r="B13" s="2984"/>
      <c r="C13" s="2984">
        <v>1924.81</v>
      </c>
      <c r="D13" s="2984" t="s">
        <v>3129</v>
      </c>
      <c r="H13" s="2979" t="s">
        <v>3270</v>
      </c>
      <c r="I13" s="2981">
        <f>Q235+Q237</f>
        <v>4022.3199999999997</v>
      </c>
      <c r="J13" s="2981">
        <f>Q29</f>
        <v>3921.88</v>
      </c>
      <c r="K13" s="2981">
        <f>I13+J13</f>
        <v>7944.2</v>
      </c>
      <c r="O13" s="3083"/>
      <c r="P13" s="3000" t="s">
        <v>3430</v>
      </c>
      <c r="Q13" s="2981">
        <v>61.71</v>
      </c>
      <c r="R13" s="2981" t="s">
        <v>3529</v>
      </c>
    </row>
    <row r="14" spans="1:18">
      <c r="A14" s="2984" t="s">
        <v>3390</v>
      </c>
      <c r="B14" s="2984"/>
      <c r="C14" s="2984">
        <v>1924.81</v>
      </c>
      <c r="D14" s="2984" t="s">
        <v>3129</v>
      </c>
      <c r="H14" s="2980" t="s">
        <v>3268</v>
      </c>
      <c r="I14" s="2981">
        <f>Q39+Q50+Q61+Q72+Q83+Q94+Q105+Q116+Q127+Q138+Q149+Q153+Q158+Q163+Q168+Q173+Q178+Q183+Q188+Q193+Q198+Q203+Q206+Q209+Q212+Q215+Q218+Q221+Q224+Q227+Q230+Q233</f>
        <v>61545.99</v>
      </c>
      <c r="J14" s="2981">
        <v>0</v>
      </c>
      <c r="K14" s="2981">
        <f>I14</f>
        <v>61545.99</v>
      </c>
      <c r="O14" s="3083"/>
      <c r="P14" s="3000" t="s">
        <v>3431</v>
      </c>
      <c r="Q14" s="2981">
        <v>90.37</v>
      </c>
      <c r="R14" s="2981" t="s">
        <v>3529</v>
      </c>
    </row>
    <row r="15" spans="1:18">
      <c r="A15" s="2984" t="s">
        <v>3391</v>
      </c>
      <c r="B15" s="2984"/>
      <c r="C15" s="2984">
        <v>1924.81</v>
      </c>
      <c r="D15" s="2984" t="s">
        <v>3129</v>
      </c>
      <c r="H15" s="2980" t="s">
        <v>3274</v>
      </c>
      <c r="I15" s="2977">
        <v>0</v>
      </c>
      <c r="J15" s="2981">
        <f>Q16+Q27</f>
        <v>2396.8900000000003</v>
      </c>
      <c r="K15" s="2977">
        <f>J15</f>
        <v>2396.8900000000003</v>
      </c>
      <c r="O15" s="3083"/>
      <c r="P15" s="3000" t="s">
        <v>3432</v>
      </c>
      <c r="Q15" s="2981">
        <v>83.78</v>
      </c>
      <c r="R15" s="2981" t="s">
        <v>3529</v>
      </c>
    </row>
    <row r="16" spans="1:18">
      <c r="A16" s="2984" t="s">
        <v>3392</v>
      </c>
      <c r="B16" s="2984"/>
      <c r="C16" s="2984">
        <v>1924.81</v>
      </c>
      <c r="D16" s="2984" t="s">
        <v>3129</v>
      </c>
      <c r="H16" s="2979" t="s">
        <v>3528</v>
      </c>
      <c r="I16" s="2977">
        <f>SUM(I12:I15)</f>
        <v>66743.48</v>
      </c>
      <c r="J16" s="2977">
        <f>SUM(J12:J15)</f>
        <v>6318.77</v>
      </c>
      <c r="K16" s="2977">
        <f>I16+J16</f>
        <v>73062.25</v>
      </c>
      <c r="O16" s="3084"/>
      <c r="P16" s="2985" t="s">
        <v>3528</v>
      </c>
      <c r="Q16" s="2985">
        <f>SUM(Q2:Q15)</f>
        <v>1207.6000000000001</v>
      </c>
      <c r="R16" s="2981" t="s">
        <v>3529</v>
      </c>
    </row>
    <row r="17" spans="1:18">
      <c r="A17" s="2984" t="s">
        <v>3393</v>
      </c>
      <c r="B17" s="2984"/>
      <c r="C17" s="2984">
        <v>1924.81</v>
      </c>
      <c r="D17" s="2984" t="s">
        <v>3129</v>
      </c>
      <c r="O17" s="3082" t="s">
        <v>3433</v>
      </c>
      <c r="P17" s="3000" t="s">
        <v>3434</v>
      </c>
      <c r="Q17" s="2981">
        <v>268.01</v>
      </c>
      <c r="R17" s="2981" t="s">
        <v>3529</v>
      </c>
    </row>
    <row r="18" spans="1:18">
      <c r="A18" s="2984" t="s">
        <v>3394</v>
      </c>
      <c r="B18" s="2984"/>
      <c r="C18" s="2984">
        <v>1924.81</v>
      </c>
      <c r="D18" s="2984" t="s">
        <v>3129</v>
      </c>
      <c r="O18" s="3083"/>
      <c r="P18" s="3000" t="s">
        <v>3435</v>
      </c>
      <c r="Q18" s="2981">
        <v>193.23</v>
      </c>
      <c r="R18" s="2981" t="s">
        <v>3529</v>
      </c>
    </row>
    <row r="19" spans="1:18">
      <c r="A19" s="2984" t="s">
        <v>3395</v>
      </c>
      <c r="B19" s="2984"/>
      <c r="C19" s="2984">
        <v>1924.81</v>
      </c>
      <c r="D19" s="2984" t="s">
        <v>3129</v>
      </c>
      <c r="O19" s="3083"/>
      <c r="P19" s="3000" t="s">
        <v>3140</v>
      </c>
      <c r="Q19" s="2981">
        <v>54.2</v>
      </c>
      <c r="R19" s="2981" t="s">
        <v>3529</v>
      </c>
    </row>
    <row r="20" spans="1:18">
      <c r="A20" s="2984" t="s">
        <v>3396</v>
      </c>
      <c r="B20" s="2984"/>
      <c r="C20" s="2984">
        <v>1924.81</v>
      </c>
      <c r="D20" s="2984" t="s">
        <v>3129</v>
      </c>
      <c r="O20" s="3083"/>
      <c r="P20" s="3000" t="s">
        <v>3141</v>
      </c>
      <c r="Q20" s="2981">
        <v>51.23</v>
      </c>
      <c r="R20" s="2981" t="s">
        <v>3529</v>
      </c>
    </row>
    <row r="21" spans="1:18">
      <c r="A21" s="2984" t="s">
        <v>3397</v>
      </c>
      <c r="B21" s="2984"/>
      <c r="C21" s="2984">
        <v>1711.05</v>
      </c>
      <c r="D21" s="2984"/>
      <c r="O21" s="3083"/>
      <c r="P21" s="3000" t="s">
        <v>3142</v>
      </c>
      <c r="Q21" s="2981">
        <v>51.23</v>
      </c>
      <c r="R21" s="2981" t="s">
        <v>3529</v>
      </c>
    </row>
    <row r="22" spans="1:18">
      <c r="A22" s="2984" t="s">
        <v>3398</v>
      </c>
      <c r="B22" s="2984"/>
      <c r="C22" s="2984">
        <v>1230.06</v>
      </c>
      <c r="D22" s="2984" t="s">
        <v>3129</v>
      </c>
      <c r="O22" s="3083"/>
      <c r="P22" s="3000" t="s">
        <v>3143</v>
      </c>
      <c r="Q22" s="2981">
        <v>39.549999999999997</v>
      </c>
      <c r="R22" s="2981" t="s">
        <v>3529</v>
      </c>
    </row>
    <row r="23" spans="1:18">
      <c r="A23" s="2984" t="s">
        <v>3399</v>
      </c>
      <c r="B23" s="2984"/>
      <c r="C23" s="2984">
        <v>1924.81</v>
      </c>
      <c r="D23" s="2984" t="s">
        <v>3129</v>
      </c>
      <c r="O23" s="3083"/>
      <c r="P23" s="3000" t="s">
        <v>3144</v>
      </c>
      <c r="Q23" s="2981">
        <v>272.52</v>
      </c>
      <c r="R23" s="2981" t="s">
        <v>3529</v>
      </c>
    </row>
    <row r="24" spans="1:18">
      <c r="A24" s="2984" t="s">
        <v>3400</v>
      </c>
      <c r="B24" s="2984"/>
      <c r="C24" s="2984">
        <v>1924.81</v>
      </c>
      <c r="D24" s="2984" t="s">
        <v>3129</v>
      </c>
      <c r="O24" s="3083"/>
      <c r="P24" s="3000" t="s">
        <v>3145</v>
      </c>
      <c r="Q24" s="2981">
        <v>41.84</v>
      </c>
      <c r="R24" s="2981" t="s">
        <v>3529</v>
      </c>
    </row>
    <row r="25" spans="1:18">
      <c r="A25" s="2984" t="s">
        <v>3401</v>
      </c>
      <c r="B25" s="2984"/>
      <c r="C25" s="2984">
        <v>1924.81</v>
      </c>
      <c r="D25" s="2984" t="s">
        <v>3129</v>
      </c>
      <c r="O25" s="3083"/>
      <c r="P25" s="3000" t="s">
        <v>3146</v>
      </c>
      <c r="Q25" s="2981">
        <v>54.2</v>
      </c>
      <c r="R25" s="2981" t="s">
        <v>3529</v>
      </c>
    </row>
    <row r="26" spans="1:18">
      <c r="A26" s="2984" t="s">
        <v>3402</v>
      </c>
      <c r="B26" s="2984"/>
      <c r="C26" s="2984">
        <v>1924.81</v>
      </c>
      <c r="D26" s="2984" t="s">
        <v>3129</v>
      </c>
      <c r="O26" s="3083"/>
      <c r="P26" s="3000" t="s">
        <v>3147</v>
      </c>
      <c r="Q26" s="2981">
        <v>163.28</v>
      </c>
      <c r="R26" s="2981" t="s">
        <v>3529</v>
      </c>
    </row>
    <row r="27" spans="1:18">
      <c r="A27" s="2984" t="s">
        <v>3403</v>
      </c>
      <c r="B27" s="2984"/>
      <c r="C27" s="2984">
        <v>1924.81</v>
      </c>
      <c r="D27" s="2984" t="s">
        <v>3129</v>
      </c>
      <c r="O27" s="3084"/>
      <c r="P27" s="2985" t="s">
        <v>3528</v>
      </c>
      <c r="Q27" s="2985">
        <f>SUM(Q17:Q26)</f>
        <v>1189.29</v>
      </c>
      <c r="R27" s="2985"/>
    </row>
    <row r="28" spans="1:18">
      <c r="A28" s="2984" t="s">
        <v>3404</v>
      </c>
      <c r="B28" s="2984"/>
      <c r="C28" s="2984">
        <v>1924.81</v>
      </c>
      <c r="D28" s="2984" t="s">
        <v>3129</v>
      </c>
      <c r="O28" s="3082" t="s">
        <v>3436</v>
      </c>
      <c r="P28" s="3000" t="s">
        <v>3437</v>
      </c>
      <c r="Q28" s="2981">
        <v>3921.88</v>
      </c>
      <c r="R28" s="2981" t="s">
        <v>3530</v>
      </c>
    </row>
    <row r="29" spans="1:18">
      <c r="A29" s="2984" t="s">
        <v>3405</v>
      </c>
      <c r="B29" s="2984"/>
      <c r="C29" s="2984">
        <v>1924.81</v>
      </c>
      <c r="D29" s="2984" t="s">
        <v>3129</v>
      </c>
      <c r="O29" s="3084"/>
      <c r="P29" s="2985" t="s">
        <v>3528</v>
      </c>
      <c r="Q29" s="2985">
        <f>SUM(Q28)</f>
        <v>3921.88</v>
      </c>
      <c r="R29" s="2985"/>
    </row>
    <row r="30" spans="1:18">
      <c r="A30" s="2984" t="s">
        <v>3406</v>
      </c>
      <c r="B30" s="2984"/>
      <c r="C30" s="2984">
        <v>1924.81</v>
      </c>
      <c r="D30" s="2984" t="s">
        <v>3129</v>
      </c>
      <c r="O30" s="3082" t="s">
        <v>3278</v>
      </c>
      <c r="P30" s="3000" t="s">
        <v>3438</v>
      </c>
      <c r="Q30" s="2981">
        <v>308.73</v>
      </c>
      <c r="R30" s="2981" t="s">
        <v>3531</v>
      </c>
    </row>
    <row r="31" spans="1:18">
      <c r="A31" s="2984" t="s">
        <v>3407</v>
      </c>
      <c r="B31" s="2984"/>
      <c r="C31" s="2984">
        <v>1924.81</v>
      </c>
      <c r="D31" s="2984" t="s">
        <v>3129</v>
      </c>
      <c r="O31" s="3083"/>
      <c r="P31" s="3000" t="s">
        <v>3148</v>
      </c>
      <c r="Q31" s="3007">
        <v>124.31</v>
      </c>
      <c r="R31" s="2981" t="s">
        <v>3531</v>
      </c>
    </row>
    <row r="32" spans="1:18">
      <c r="A32" s="2984" t="s">
        <v>3408</v>
      </c>
      <c r="B32" s="2984"/>
      <c r="C32" s="2984">
        <v>1924.81</v>
      </c>
      <c r="D32" s="2984" t="s">
        <v>3129</v>
      </c>
      <c r="O32" s="3083"/>
      <c r="P32" s="3000" t="s">
        <v>3149</v>
      </c>
      <c r="Q32" s="2981">
        <v>175.31</v>
      </c>
      <c r="R32" s="2981" t="s">
        <v>3531</v>
      </c>
    </row>
    <row r="33" spans="1:18">
      <c r="A33" s="2984" t="s">
        <v>3409</v>
      </c>
      <c r="B33" s="2984"/>
      <c r="C33" s="2984">
        <v>1701.47</v>
      </c>
      <c r="D33" s="2984"/>
      <c r="O33" s="3083"/>
      <c r="P33" s="3000" t="s">
        <v>3150</v>
      </c>
      <c r="Q33" s="2981">
        <v>182.72</v>
      </c>
      <c r="R33" s="2981" t="s">
        <v>3531</v>
      </c>
    </row>
    <row r="34" spans="1:18">
      <c r="A34" s="2984" t="s">
        <v>3410</v>
      </c>
      <c r="B34" s="2984"/>
      <c r="C34" s="2984">
        <v>1925.46</v>
      </c>
      <c r="D34" s="2984" t="s">
        <v>3129</v>
      </c>
      <c r="O34" s="3083"/>
      <c r="P34" s="3000" t="s">
        <v>3151</v>
      </c>
      <c r="Q34" s="2981">
        <v>114.31</v>
      </c>
      <c r="R34" s="2981" t="s">
        <v>3531</v>
      </c>
    </row>
    <row r="35" spans="1:18">
      <c r="A35" s="2984" t="s">
        <v>3411</v>
      </c>
      <c r="B35" s="2984"/>
      <c r="C35" s="2984">
        <v>1925.46</v>
      </c>
      <c r="D35" s="2984" t="s">
        <v>3129</v>
      </c>
      <c r="O35" s="3083"/>
      <c r="P35" s="3000" t="s">
        <v>3152</v>
      </c>
      <c r="Q35" s="2981">
        <v>269.79000000000002</v>
      </c>
      <c r="R35" s="2981" t="s">
        <v>3531</v>
      </c>
    </row>
    <row r="36" spans="1:18">
      <c r="A36" s="2984" t="s">
        <v>3412</v>
      </c>
      <c r="B36" s="2984"/>
      <c r="C36" s="2984">
        <v>1925.46</v>
      </c>
      <c r="D36" s="2984" t="s">
        <v>3129</v>
      </c>
      <c r="O36" s="3084"/>
      <c r="P36" s="2985" t="s">
        <v>3528</v>
      </c>
      <c r="Q36" s="2985">
        <f>SUM(Q30:Q35)</f>
        <v>1175.17</v>
      </c>
      <c r="R36" s="2985"/>
    </row>
    <row r="37" spans="1:18">
      <c r="A37" s="2984" t="s">
        <v>3413</v>
      </c>
      <c r="B37" s="2984"/>
      <c r="C37" s="2984">
        <v>1925.46</v>
      </c>
      <c r="D37" s="2984" t="s">
        <v>3129</v>
      </c>
      <c r="O37" s="3082" t="s">
        <v>3439</v>
      </c>
      <c r="P37" s="3000" t="s">
        <v>3440</v>
      </c>
      <c r="Q37" s="2981">
        <v>506.6</v>
      </c>
      <c r="R37" s="2981" t="s">
        <v>3532</v>
      </c>
    </row>
    <row r="38" spans="1:18">
      <c r="A38" s="2984" t="s">
        <v>3414</v>
      </c>
      <c r="B38" s="2984"/>
      <c r="C38" s="2984">
        <v>1925.46</v>
      </c>
      <c r="D38" s="2984" t="s">
        <v>3129</v>
      </c>
      <c r="O38" s="3083"/>
      <c r="P38" s="3000" t="s">
        <v>3441</v>
      </c>
      <c r="Q38" s="2981">
        <v>493.23</v>
      </c>
      <c r="R38" s="2981" t="s">
        <v>3532</v>
      </c>
    </row>
    <row r="39" spans="1:18">
      <c r="A39" s="2984" t="s">
        <v>3415</v>
      </c>
      <c r="B39" s="2984"/>
      <c r="C39" s="2984">
        <v>1925.46</v>
      </c>
      <c r="D39" s="2984" t="s">
        <v>3129</v>
      </c>
      <c r="O39" s="3084"/>
      <c r="P39" s="2985" t="s">
        <v>3533</v>
      </c>
      <c r="Q39" s="2985">
        <f>SUM(Q37:Q38)</f>
        <v>999.83</v>
      </c>
      <c r="R39" s="2985"/>
    </row>
    <row r="40" spans="1:18">
      <c r="A40" s="2984" t="s">
        <v>3416</v>
      </c>
      <c r="B40" s="2984"/>
      <c r="C40" s="2984">
        <v>1925.46</v>
      </c>
      <c r="D40" s="2984" t="s">
        <v>3129</v>
      </c>
      <c r="O40" s="3082" t="s">
        <v>3442</v>
      </c>
      <c r="P40" s="3000" t="s">
        <v>3443</v>
      </c>
      <c r="Q40" s="2981">
        <v>148.62</v>
      </c>
      <c r="R40" s="2981" t="s">
        <v>3532</v>
      </c>
    </row>
    <row r="41" spans="1:18">
      <c r="A41" s="2984" t="s">
        <v>3417</v>
      </c>
      <c r="B41" s="2984"/>
      <c r="C41" s="2984">
        <v>1925.46</v>
      </c>
      <c r="D41" s="2984" t="s">
        <v>3129</v>
      </c>
      <c r="O41" s="3083"/>
      <c r="P41" s="3000" t="s">
        <v>3444</v>
      </c>
      <c r="Q41" s="2981">
        <v>80.959999999999994</v>
      </c>
      <c r="R41" s="2981" t="s">
        <v>3532</v>
      </c>
    </row>
    <row r="42" spans="1:18">
      <c r="A42" s="2984" t="s">
        <v>3418</v>
      </c>
      <c r="B42" s="2984"/>
      <c r="C42" s="2984">
        <v>1925.46</v>
      </c>
      <c r="D42" s="2984" t="s">
        <v>3129</v>
      </c>
      <c r="O42" s="3083"/>
      <c r="P42" s="3000" t="s">
        <v>3153</v>
      </c>
      <c r="Q42" s="2981">
        <v>183.48</v>
      </c>
      <c r="R42" s="2981" t="s">
        <v>3532</v>
      </c>
    </row>
    <row r="43" spans="1:18">
      <c r="A43" s="2984" t="s">
        <v>3419</v>
      </c>
      <c r="B43" s="2984"/>
      <c r="C43" s="2984">
        <v>1925.46</v>
      </c>
      <c r="D43" s="2984" t="s">
        <v>3129</v>
      </c>
      <c r="O43" s="3083"/>
      <c r="P43" s="3000" t="s">
        <v>3154</v>
      </c>
      <c r="Q43" s="2981">
        <v>292.17</v>
      </c>
      <c r="R43" s="2981" t="s">
        <v>3532</v>
      </c>
    </row>
    <row r="44" spans="1:18">
      <c r="A44" s="2983" t="s">
        <v>3420</v>
      </c>
      <c r="B44" s="2983"/>
      <c r="C44" s="2983">
        <v>1691.88</v>
      </c>
      <c r="D44" s="2983" t="s">
        <v>3269</v>
      </c>
      <c r="O44" s="3083"/>
      <c r="P44" s="3000" t="s">
        <v>3155</v>
      </c>
      <c r="Q44" s="2981">
        <v>183.48</v>
      </c>
      <c r="R44" s="2981" t="s">
        <v>3532</v>
      </c>
    </row>
    <row r="45" spans="1:18">
      <c r="A45" s="2983" t="s">
        <v>3421</v>
      </c>
      <c r="B45" s="2983"/>
      <c r="C45" s="2983">
        <v>1902.01</v>
      </c>
      <c r="D45" s="2983" t="s">
        <v>3270</v>
      </c>
      <c r="O45" s="3083"/>
      <c r="P45" s="3000" t="s">
        <v>3156</v>
      </c>
      <c r="Q45" s="2981">
        <v>148.62</v>
      </c>
      <c r="R45" s="2981" t="s">
        <v>3532</v>
      </c>
    </row>
    <row r="46" spans="1:18">
      <c r="A46" s="2983" t="s">
        <v>3422</v>
      </c>
      <c r="B46" s="2983"/>
      <c r="C46" s="2983">
        <v>1074.23</v>
      </c>
      <c r="D46" s="2983"/>
      <c r="O46" s="3083"/>
      <c r="P46" s="3000" t="s">
        <v>3157</v>
      </c>
      <c r="Q46" s="2981">
        <v>78.489999999999995</v>
      </c>
      <c r="R46" s="2981" t="s">
        <v>3532</v>
      </c>
    </row>
    <row r="47" spans="1:18">
      <c r="A47" s="2983" t="s">
        <v>3423</v>
      </c>
      <c r="B47" s="2983"/>
      <c r="C47" s="2983">
        <v>346.08</v>
      </c>
      <c r="D47" s="2983"/>
      <c r="O47" s="3083"/>
      <c r="P47" s="3000" t="s">
        <v>3158</v>
      </c>
      <c r="Q47" s="2981">
        <v>183.48</v>
      </c>
      <c r="R47" s="2981" t="s">
        <v>3532</v>
      </c>
    </row>
    <row r="48" spans="1:18">
      <c r="A48" s="2983" t="s">
        <v>3424</v>
      </c>
      <c r="B48" s="2983"/>
      <c r="C48" s="2983">
        <v>157.76</v>
      </c>
      <c r="D48" s="2983"/>
      <c r="O48" s="3083"/>
      <c r="P48" s="3000" t="s">
        <v>3159</v>
      </c>
      <c r="Q48" s="2981">
        <v>292.17</v>
      </c>
      <c r="R48" s="2981" t="s">
        <v>3532</v>
      </c>
    </row>
    <row r="49" spans="1:18">
      <c r="A49" s="2979" t="s">
        <v>3271</v>
      </c>
      <c r="B49" s="2981"/>
      <c r="C49" s="2981">
        <f>SUM(C3:C48)</f>
        <v>79815.27</v>
      </c>
      <c r="D49" s="2981"/>
      <c r="O49" s="3083"/>
      <c r="P49" s="3000" t="s">
        <v>3160</v>
      </c>
      <c r="Q49" s="2981">
        <v>183.48</v>
      </c>
      <c r="R49" s="2981" t="s">
        <v>3532</v>
      </c>
    </row>
    <row r="50" spans="1:18">
      <c r="O50" s="3084"/>
      <c r="P50" s="2985" t="s">
        <v>3528</v>
      </c>
      <c r="Q50" s="2985">
        <f>SUM(Q40:Q49)</f>
        <v>1774.95</v>
      </c>
      <c r="R50" s="2985"/>
    </row>
    <row r="51" spans="1:18">
      <c r="A51" s="3087" t="s">
        <v>3272</v>
      </c>
      <c r="B51" s="3087"/>
      <c r="C51" s="3087"/>
      <c r="D51" s="3087"/>
      <c r="O51" s="3082" t="s">
        <v>3445</v>
      </c>
      <c r="P51" s="3000" t="s">
        <v>3446</v>
      </c>
      <c r="Q51" s="2981">
        <v>148.62</v>
      </c>
      <c r="R51" s="2981" t="s">
        <v>3532</v>
      </c>
    </row>
    <row r="52" spans="1:18">
      <c r="A52" s="2979" t="s">
        <v>3273</v>
      </c>
      <c r="B52" s="2981"/>
      <c r="C52" s="2981">
        <f>C9</f>
        <v>2044.76</v>
      </c>
      <c r="D52" s="2981"/>
      <c r="O52" s="3083"/>
      <c r="P52" s="3000" t="s">
        <v>3447</v>
      </c>
      <c r="Q52" s="2981">
        <v>80.959999999999994</v>
      </c>
      <c r="R52" s="2981" t="s">
        <v>3532</v>
      </c>
    </row>
    <row r="53" spans="1:18">
      <c r="A53" s="2979" t="s">
        <v>3270</v>
      </c>
      <c r="B53" s="2981"/>
      <c r="C53" s="2981">
        <f>C6++C44+C45</f>
        <v>6701.85</v>
      </c>
      <c r="D53" s="2981"/>
      <c r="O53" s="3083"/>
      <c r="P53" s="3000" t="s">
        <v>3161</v>
      </c>
      <c r="Q53" s="2981">
        <v>183.48</v>
      </c>
      <c r="R53" s="2981" t="s">
        <v>3532</v>
      </c>
    </row>
    <row r="54" spans="1:18">
      <c r="A54" s="2980" t="s">
        <v>3268</v>
      </c>
      <c r="B54" s="2981"/>
      <c r="C54" s="2981">
        <f>SUM(C10:C43)</f>
        <v>63654.809999999983</v>
      </c>
      <c r="D54" s="2981"/>
      <c r="O54" s="3083"/>
      <c r="P54" s="3000" t="s">
        <v>3162</v>
      </c>
      <c r="Q54" s="2981">
        <v>292.17</v>
      </c>
      <c r="R54" s="2981" t="s">
        <v>3532</v>
      </c>
    </row>
    <row r="55" spans="1:18">
      <c r="A55" s="2980" t="s">
        <v>3274</v>
      </c>
      <c r="B55" s="2981"/>
      <c r="C55" s="2981">
        <f>C3+C4+C5</f>
        <v>4824.8</v>
      </c>
      <c r="D55" s="2981"/>
      <c r="O55" s="3083"/>
      <c r="P55" s="3000" t="s">
        <v>3163</v>
      </c>
      <c r="Q55" s="2981">
        <v>183.48</v>
      </c>
      <c r="R55" s="2981" t="s">
        <v>3532</v>
      </c>
    </row>
    <row r="56" spans="1:18">
      <c r="A56" s="2979" t="s">
        <v>3271</v>
      </c>
      <c r="B56" s="2977"/>
      <c r="C56" s="2981">
        <f>C55+C54+C53+C52</f>
        <v>77226.219999999987</v>
      </c>
      <c r="D56" s="2977"/>
      <c r="O56" s="3083"/>
      <c r="P56" s="3000" t="s">
        <v>3164</v>
      </c>
      <c r="Q56" s="2981">
        <v>148.62</v>
      </c>
      <c r="R56" s="2981" t="s">
        <v>3532</v>
      </c>
    </row>
    <row r="57" spans="1:18">
      <c r="O57" s="3083"/>
      <c r="P57" s="3000" t="s">
        <v>3165</v>
      </c>
      <c r="Q57" s="2981">
        <v>78.489999999999995</v>
      </c>
      <c r="R57" s="2981" t="s">
        <v>3532</v>
      </c>
    </row>
    <row r="58" spans="1:18">
      <c r="O58" s="3083"/>
      <c r="P58" s="3000" t="s">
        <v>3166</v>
      </c>
      <c r="Q58" s="2981">
        <v>183.48</v>
      </c>
      <c r="R58" s="2981" t="s">
        <v>3532</v>
      </c>
    </row>
    <row r="59" spans="1:18">
      <c r="O59" s="3083"/>
      <c r="P59" s="3000" t="s">
        <v>3167</v>
      </c>
      <c r="Q59" s="2981">
        <v>292.17</v>
      </c>
      <c r="R59" s="2981" t="s">
        <v>3532</v>
      </c>
    </row>
    <row r="60" spans="1:18">
      <c r="O60" s="3083"/>
      <c r="P60" s="3000" t="s">
        <v>3168</v>
      </c>
      <c r="Q60" s="2981">
        <v>183.48</v>
      </c>
      <c r="R60" s="2981" t="s">
        <v>3532</v>
      </c>
    </row>
    <row r="61" spans="1:18">
      <c r="O61" s="3084"/>
      <c r="P61" s="2985" t="s">
        <v>3528</v>
      </c>
      <c r="Q61" s="2985">
        <f>SUM(Q51:Q60)</f>
        <v>1774.95</v>
      </c>
      <c r="R61" s="2985"/>
    </row>
    <row r="62" spans="1:18">
      <c r="O62" s="3082" t="s">
        <v>3448</v>
      </c>
      <c r="P62" s="3000" t="s">
        <v>3449</v>
      </c>
      <c r="Q62" s="2981">
        <v>149.80000000000001</v>
      </c>
      <c r="R62" s="2981" t="s">
        <v>3532</v>
      </c>
    </row>
    <row r="63" spans="1:18">
      <c r="O63" s="3083"/>
      <c r="P63" s="3000" t="s">
        <v>3169</v>
      </c>
      <c r="Q63" s="2981">
        <v>81.239999999999995</v>
      </c>
      <c r="R63" s="2981" t="s">
        <v>3532</v>
      </c>
    </row>
    <row r="64" spans="1:18">
      <c r="O64" s="3083"/>
      <c r="P64" s="3000" t="s">
        <v>3170</v>
      </c>
      <c r="Q64" s="2981">
        <v>185.31</v>
      </c>
      <c r="R64" s="2981" t="s">
        <v>3532</v>
      </c>
    </row>
    <row r="65" spans="15:18">
      <c r="O65" s="3083"/>
      <c r="P65" s="3000" t="s">
        <v>3171</v>
      </c>
      <c r="Q65" s="2981">
        <v>295.45</v>
      </c>
      <c r="R65" s="2981" t="s">
        <v>3532</v>
      </c>
    </row>
    <row r="66" spans="15:18">
      <c r="O66" s="3083"/>
      <c r="P66" s="3000" t="s">
        <v>3172</v>
      </c>
      <c r="Q66" s="2981">
        <v>185.31</v>
      </c>
      <c r="R66" s="2981" t="s">
        <v>3532</v>
      </c>
    </row>
    <row r="67" spans="15:18">
      <c r="O67" s="3083"/>
      <c r="P67" s="3000" t="s">
        <v>3173</v>
      </c>
      <c r="Q67" s="2981">
        <v>149.80000000000001</v>
      </c>
      <c r="R67" s="2981" t="s">
        <v>3532</v>
      </c>
    </row>
    <row r="68" spans="15:18">
      <c r="O68" s="3083"/>
      <c r="P68" s="3000" t="s">
        <v>3174</v>
      </c>
      <c r="Q68" s="2981">
        <v>78.53</v>
      </c>
      <c r="R68" s="2981" t="s">
        <v>3532</v>
      </c>
    </row>
    <row r="69" spans="15:18">
      <c r="O69" s="3083"/>
      <c r="P69" s="3000" t="s">
        <v>3175</v>
      </c>
      <c r="Q69" s="2981">
        <v>185.31</v>
      </c>
      <c r="R69" s="2981" t="s">
        <v>3532</v>
      </c>
    </row>
    <row r="70" spans="15:18">
      <c r="O70" s="3083"/>
      <c r="P70" s="3000" t="s">
        <v>3176</v>
      </c>
      <c r="Q70" s="2981">
        <v>295.45</v>
      </c>
      <c r="R70" s="2981" t="s">
        <v>3532</v>
      </c>
    </row>
    <row r="71" spans="15:18">
      <c r="O71" s="3083"/>
      <c r="P71" s="3000" t="s">
        <v>3177</v>
      </c>
      <c r="Q71" s="2981">
        <v>185.31</v>
      </c>
      <c r="R71" s="2981" t="s">
        <v>3532</v>
      </c>
    </row>
    <row r="72" spans="15:18">
      <c r="O72" s="3084"/>
      <c r="P72" s="2985" t="s">
        <v>3528</v>
      </c>
      <c r="Q72" s="2985">
        <f>SUM(Q62:Q71)</f>
        <v>1791.5099999999998</v>
      </c>
      <c r="R72" s="2985"/>
    </row>
    <row r="73" spans="15:18">
      <c r="O73" s="3082" t="s">
        <v>3450</v>
      </c>
      <c r="P73" s="3000" t="s">
        <v>3451</v>
      </c>
      <c r="Q73" s="2981">
        <v>149.80000000000001</v>
      </c>
      <c r="R73" s="2981" t="s">
        <v>3532</v>
      </c>
    </row>
    <row r="74" spans="15:18">
      <c r="O74" s="3083"/>
      <c r="P74" s="3000" t="s">
        <v>3178</v>
      </c>
      <c r="Q74" s="2981">
        <v>81.239999999999995</v>
      </c>
      <c r="R74" s="2981" t="s">
        <v>3532</v>
      </c>
    </row>
    <row r="75" spans="15:18">
      <c r="O75" s="3083"/>
      <c r="P75" s="3000" t="s">
        <v>3179</v>
      </c>
      <c r="Q75" s="2981">
        <v>185.31</v>
      </c>
      <c r="R75" s="2981" t="s">
        <v>3532</v>
      </c>
    </row>
    <row r="76" spans="15:18">
      <c r="O76" s="3083"/>
      <c r="P76" s="3000" t="s">
        <v>3180</v>
      </c>
      <c r="Q76" s="2981">
        <v>295.45</v>
      </c>
      <c r="R76" s="2981" t="s">
        <v>3532</v>
      </c>
    </row>
    <row r="77" spans="15:18">
      <c r="O77" s="3083"/>
      <c r="P77" s="3000" t="s">
        <v>3181</v>
      </c>
      <c r="Q77" s="2981">
        <v>185.31</v>
      </c>
      <c r="R77" s="2981" t="s">
        <v>3532</v>
      </c>
    </row>
    <row r="78" spans="15:18">
      <c r="O78" s="3083"/>
      <c r="P78" s="3000" t="s">
        <v>3182</v>
      </c>
      <c r="Q78" s="2981">
        <v>149.80000000000001</v>
      </c>
      <c r="R78" s="2981" t="s">
        <v>3532</v>
      </c>
    </row>
    <row r="79" spans="15:18">
      <c r="O79" s="3083"/>
      <c r="P79" s="3000" t="s">
        <v>3183</v>
      </c>
      <c r="Q79" s="2981">
        <v>78.53</v>
      </c>
      <c r="R79" s="2981" t="s">
        <v>3532</v>
      </c>
    </row>
    <row r="80" spans="15:18">
      <c r="O80" s="3083"/>
      <c r="P80" s="3000" t="s">
        <v>3184</v>
      </c>
      <c r="Q80" s="2981">
        <v>185.31</v>
      </c>
      <c r="R80" s="2981" t="s">
        <v>3532</v>
      </c>
    </row>
    <row r="81" spans="15:18">
      <c r="O81" s="3083"/>
      <c r="P81" s="3000" t="s">
        <v>3185</v>
      </c>
      <c r="Q81" s="2981">
        <v>295.45</v>
      </c>
      <c r="R81" s="2981" t="s">
        <v>3532</v>
      </c>
    </row>
    <row r="82" spans="15:18">
      <c r="O82" s="3083"/>
      <c r="P82" s="3000" t="s">
        <v>3186</v>
      </c>
      <c r="Q82" s="2981">
        <v>185.31</v>
      </c>
      <c r="R82" s="2981" t="s">
        <v>3532</v>
      </c>
    </row>
    <row r="83" spans="15:18">
      <c r="O83" s="3084"/>
      <c r="P83" s="2985" t="s">
        <v>3528</v>
      </c>
      <c r="Q83" s="2985">
        <f>SUM(Q73:Q82)</f>
        <v>1791.5099999999998</v>
      </c>
      <c r="R83" s="2985"/>
    </row>
    <row r="84" spans="15:18">
      <c r="O84" s="3082" t="s">
        <v>3452</v>
      </c>
      <c r="P84" s="3000" t="s">
        <v>3453</v>
      </c>
      <c r="Q84" s="2981">
        <v>149.80000000000001</v>
      </c>
      <c r="R84" s="2981" t="s">
        <v>3532</v>
      </c>
    </row>
    <row r="85" spans="15:18">
      <c r="O85" s="3083"/>
      <c r="P85" s="3000" t="s">
        <v>3187</v>
      </c>
      <c r="Q85" s="2981">
        <v>81.239999999999995</v>
      </c>
      <c r="R85" s="2981" t="s">
        <v>3532</v>
      </c>
    </row>
    <row r="86" spans="15:18">
      <c r="O86" s="3083"/>
      <c r="P86" s="3000" t="s">
        <v>3188</v>
      </c>
      <c r="Q86" s="2981">
        <v>185.31</v>
      </c>
      <c r="R86" s="2981" t="s">
        <v>3532</v>
      </c>
    </row>
    <row r="87" spans="15:18">
      <c r="O87" s="3083"/>
      <c r="P87" s="3000" t="s">
        <v>3189</v>
      </c>
      <c r="Q87" s="2981">
        <v>295.45</v>
      </c>
      <c r="R87" s="2981" t="s">
        <v>3532</v>
      </c>
    </row>
    <row r="88" spans="15:18">
      <c r="O88" s="3083"/>
      <c r="P88" s="3000" t="s">
        <v>3190</v>
      </c>
      <c r="Q88" s="2981">
        <v>185.31</v>
      </c>
      <c r="R88" s="2981" t="s">
        <v>3532</v>
      </c>
    </row>
    <row r="89" spans="15:18">
      <c r="O89" s="3083"/>
      <c r="P89" s="3000" t="s">
        <v>3191</v>
      </c>
      <c r="Q89" s="2981">
        <v>149.80000000000001</v>
      </c>
      <c r="R89" s="2981" t="s">
        <v>3532</v>
      </c>
    </row>
    <row r="90" spans="15:18">
      <c r="O90" s="3083"/>
      <c r="P90" s="3000" t="s">
        <v>3192</v>
      </c>
      <c r="Q90" s="2981">
        <v>78.53</v>
      </c>
      <c r="R90" s="2981" t="s">
        <v>3532</v>
      </c>
    </row>
    <row r="91" spans="15:18">
      <c r="O91" s="3083"/>
      <c r="P91" s="3000" t="s">
        <v>3193</v>
      </c>
      <c r="Q91" s="2981">
        <v>185.31</v>
      </c>
      <c r="R91" s="2981" t="s">
        <v>3532</v>
      </c>
    </row>
    <row r="92" spans="15:18">
      <c r="O92" s="3083"/>
      <c r="P92" s="3000" t="s">
        <v>3194</v>
      </c>
      <c r="Q92" s="2981">
        <v>295.45</v>
      </c>
      <c r="R92" s="2981" t="s">
        <v>3532</v>
      </c>
    </row>
    <row r="93" spans="15:18">
      <c r="O93" s="3083"/>
      <c r="P93" s="3000" t="s">
        <v>3195</v>
      </c>
      <c r="Q93" s="2981">
        <v>185.31</v>
      </c>
      <c r="R93" s="2981" t="s">
        <v>3532</v>
      </c>
    </row>
    <row r="94" spans="15:18">
      <c r="O94" s="3084"/>
      <c r="P94" s="2985" t="s">
        <v>3528</v>
      </c>
      <c r="Q94" s="2985">
        <f>SUM(Q84:Q93)</f>
        <v>1791.5099999999998</v>
      </c>
      <c r="R94" s="2985"/>
    </row>
    <row r="95" spans="15:18">
      <c r="O95" s="3082" t="s">
        <v>3454</v>
      </c>
      <c r="P95" s="3000" t="s">
        <v>3455</v>
      </c>
      <c r="Q95" s="2981">
        <v>149.80000000000001</v>
      </c>
      <c r="R95" s="2981" t="s">
        <v>3532</v>
      </c>
    </row>
    <row r="96" spans="15:18">
      <c r="O96" s="3083"/>
      <c r="P96" s="3000" t="s">
        <v>3196</v>
      </c>
      <c r="Q96" s="2981">
        <v>81.239999999999995</v>
      </c>
      <c r="R96" s="2981" t="s">
        <v>3532</v>
      </c>
    </row>
    <row r="97" spans="15:18">
      <c r="O97" s="3083"/>
      <c r="P97" s="3000" t="s">
        <v>3197</v>
      </c>
      <c r="Q97" s="2981">
        <v>185.31</v>
      </c>
      <c r="R97" s="2981" t="s">
        <v>3532</v>
      </c>
    </row>
    <row r="98" spans="15:18">
      <c r="O98" s="3083"/>
      <c r="P98" s="3000" t="s">
        <v>3198</v>
      </c>
      <c r="Q98" s="2981">
        <v>295.45</v>
      </c>
      <c r="R98" s="2981" t="s">
        <v>3532</v>
      </c>
    </row>
    <row r="99" spans="15:18">
      <c r="O99" s="3083"/>
      <c r="P99" s="3000" t="s">
        <v>3199</v>
      </c>
      <c r="Q99" s="2981">
        <v>185.31</v>
      </c>
      <c r="R99" s="2981" t="s">
        <v>3532</v>
      </c>
    </row>
    <row r="100" spans="15:18">
      <c r="O100" s="3083"/>
      <c r="P100" s="3000" t="s">
        <v>3200</v>
      </c>
      <c r="Q100" s="2981">
        <v>149.80000000000001</v>
      </c>
      <c r="R100" s="2981" t="s">
        <v>3532</v>
      </c>
    </row>
    <row r="101" spans="15:18">
      <c r="O101" s="3083"/>
      <c r="P101" s="3000" t="s">
        <v>3201</v>
      </c>
      <c r="Q101" s="2981">
        <v>78.53</v>
      </c>
      <c r="R101" s="2981" t="s">
        <v>3532</v>
      </c>
    </row>
    <row r="102" spans="15:18">
      <c r="O102" s="3083"/>
      <c r="P102" s="3000" t="s">
        <v>3202</v>
      </c>
      <c r="Q102" s="2981">
        <v>185.31</v>
      </c>
      <c r="R102" s="2981" t="s">
        <v>3532</v>
      </c>
    </row>
    <row r="103" spans="15:18">
      <c r="O103" s="3083"/>
      <c r="P103" s="3000" t="s">
        <v>3203</v>
      </c>
      <c r="Q103" s="2981">
        <v>295.45</v>
      </c>
      <c r="R103" s="2981" t="s">
        <v>3532</v>
      </c>
    </row>
    <row r="104" spans="15:18">
      <c r="O104" s="3083"/>
      <c r="P104" s="3000" t="s">
        <v>3204</v>
      </c>
      <c r="Q104" s="2981">
        <v>185.31</v>
      </c>
      <c r="R104" s="2981" t="s">
        <v>3532</v>
      </c>
    </row>
    <row r="105" spans="15:18">
      <c r="O105" s="3084"/>
      <c r="P105" s="2985" t="s">
        <v>3528</v>
      </c>
      <c r="Q105" s="2985">
        <f>SUM(Q95:Q104)</f>
        <v>1791.5099999999998</v>
      </c>
      <c r="R105" s="2985"/>
    </row>
    <row r="106" spans="15:18">
      <c r="O106" s="3082" t="s">
        <v>3456</v>
      </c>
      <c r="P106" s="3000" t="s">
        <v>3457</v>
      </c>
      <c r="Q106" s="2981">
        <v>150.96</v>
      </c>
      <c r="R106" s="2981" t="s">
        <v>3532</v>
      </c>
    </row>
    <row r="107" spans="15:18">
      <c r="O107" s="3083"/>
      <c r="P107" s="3000" t="s">
        <v>3205</v>
      </c>
      <c r="Q107" s="2981">
        <v>81.48</v>
      </c>
      <c r="R107" s="2981" t="s">
        <v>3532</v>
      </c>
    </row>
    <row r="108" spans="15:18">
      <c r="O108" s="3083"/>
      <c r="P108" s="3000" t="s">
        <v>3206</v>
      </c>
      <c r="Q108" s="2981">
        <v>187.13</v>
      </c>
      <c r="R108" s="2981" t="s">
        <v>3532</v>
      </c>
    </row>
    <row r="109" spans="15:18">
      <c r="O109" s="3083"/>
      <c r="P109" s="3000" t="s">
        <v>3207</v>
      </c>
      <c r="Q109" s="2981">
        <v>298.73</v>
      </c>
      <c r="R109" s="2981" t="s">
        <v>3532</v>
      </c>
    </row>
    <row r="110" spans="15:18">
      <c r="O110" s="3083"/>
      <c r="P110" s="3000" t="s">
        <v>3208</v>
      </c>
      <c r="Q110" s="2981">
        <v>187.13</v>
      </c>
      <c r="R110" s="2981" t="s">
        <v>3532</v>
      </c>
    </row>
    <row r="111" spans="15:18">
      <c r="O111" s="3083"/>
      <c r="P111" s="3000" t="s">
        <v>3209</v>
      </c>
      <c r="Q111" s="2981">
        <v>150.96</v>
      </c>
      <c r="R111" s="2981" t="s">
        <v>3532</v>
      </c>
    </row>
    <row r="112" spans="15:18">
      <c r="O112" s="3083"/>
      <c r="P112" s="3000" t="s">
        <v>3210</v>
      </c>
      <c r="Q112" s="2981">
        <v>78.53</v>
      </c>
      <c r="R112" s="2981" t="s">
        <v>3532</v>
      </c>
    </row>
    <row r="113" spans="15:18">
      <c r="O113" s="3083"/>
      <c r="P113" s="3000" t="s">
        <v>3211</v>
      </c>
      <c r="Q113" s="2981">
        <v>187.13</v>
      </c>
      <c r="R113" s="2981" t="s">
        <v>3532</v>
      </c>
    </row>
    <row r="114" spans="15:18">
      <c r="O114" s="3083"/>
      <c r="P114" s="3000" t="s">
        <v>3212</v>
      </c>
      <c r="Q114" s="2981">
        <v>298.73</v>
      </c>
      <c r="R114" s="2981" t="s">
        <v>3532</v>
      </c>
    </row>
    <row r="115" spans="15:18">
      <c r="O115" s="3083"/>
      <c r="P115" s="3000" t="s">
        <v>3213</v>
      </c>
      <c r="Q115" s="2981">
        <v>187.13</v>
      </c>
      <c r="R115" s="2981" t="s">
        <v>3532</v>
      </c>
    </row>
    <row r="116" spans="15:18">
      <c r="O116" s="3084"/>
      <c r="P116" s="2985" t="s">
        <v>3528</v>
      </c>
      <c r="Q116" s="2985">
        <f>SUM(Q106:Q115)</f>
        <v>1807.9099999999999</v>
      </c>
      <c r="R116" s="2985"/>
    </row>
    <row r="117" spans="15:18">
      <c r="O117" s="3082" t="s">
        <v>3458</v>
      </c>
      <c r="P117" s="3000" t="s">
        <v>3459</v>
      </c>
      <c r="Q117" s="2981">
        <v>150.96</v>
      </c>
      <c r="R117" s="2981" t="s">
        <v>3532</v>
      </c>
    </row>
    <row r="118" spans="15:18">
      <c r="O118" s="3083"/>
      <c r="P118" s="3000" t="s">
        <v>3214</v>
      </c>
      <c r="Q118" s="2981">
        <v>81.48</v>
      </c>
      <c r="R118" s="2981" t="s">
        <v>3532</v>
      </c>
    </row>
    <row r="119" spans="15:18">
      <c r="O119" s="3083"/>
      <c r="P119" s="3000" t="s">
        <v>3215</v>
      </c>
      <c r="Q119" s="2981">
        <v>187.13</v>
      </c>
      <c r="R119" s="2981" t="s">
        <v>3532</v>
      </c>
    </row>
    <row r="120" spans="15:18">
      <c r="O120" s="3083"/>
      <c r="P120" s="3000" t="s">
        <v>3216</v>
      </c>
      <c r="Q120" s="2981">
        <v>298.73</v>
      </c>
      <c r="R120" s="2981" t="s">
        <v>3532</v>
      </c>
    </row>
    <row r="121" spans="15:18">
      <c r="O121" s="3083"/>
      <c r="P121" s="3000" t="s">
        <v>3217</v>
      </c>
      <c r="Q121" s="2981">
        <v>187.13</v>
      </c>
      <c r="R121" s="2981" t="s">
        <v>3532</v>
      </c>
    </row>
    <row r="122" spans="15:18">
      <c r="O122" s="3083"/>
      <c r="P122" s="3000" t="s">
        <v>3218</v>
      </c>
      <c r="Q122" s="2981">
        <v>150.96</v>
      </c>
      <c r="R122" s="2981" t="s">
        <v>3532</v>
      </c>
    </row>
    <row r="123" spans="15:18">
      <c r="O123" s="3083"/>
      <c r="P123" s="3000" t="s">
        <v>3219</v>
      </c>
      <c r="Q123" s="2981">
        <v>78.53</v>
      </c>
      <c r="R123" s="2981" t="s">
        <v>3532</v>
      </c>
    </row>
    <row r="124" spans="15:18">
      <c r="O124" s="3083"/>
      <c r="P124" s="3000" t="s">
        <v>3220</v>
      </c>
      <c r="Q124" s="2981">
        <v>187.13</v>
      </c>
      <c r="R124" s="2981" t="s">
        <v>3532</v>
      </c>
    </row>
    <row r="125" spans="15:18">
      <c r="O125" s="3083"/>
      <c r="P125" s="3000" t="s">
        <v>3221</v>
      </c>
      <c r="Q125" s="2981">
        <v>298.73</v>
      </c>
      <c r="R125" s="2981" t="s">
        <v>3532</v>
      </c>
    </row>
    <row r="126" spans="15:18">
      <c r="O126" s="3083"/>
      <c r="P126" s="3000" t="s">
        <v>3222</v>
      </c>
      <c r="Q126" s="2981">
        <v>187.13</v>
      </c>
      <c r="R126" s="2981" t="s">
        <v>3532</v>
      </c>
    </row>
    <row r="127" spans="15:18">
      <c r="O127" s="3084"/>
      <c r="P127" s="2985" t="s">
        <v>3528</v>
      </c>
      <c r="Q127" s="2985">
        <f>SUM(Q117:Q126)</f>
        <v>1807.9099999999999</v>
      </c>
      <c r="R127" s="2985"/>
    </row>
    <row r="128" spans="15:18">
      <c r="O128" s="3082" t="s">
        <v>3460</v>
      </c>
      <c r="P128" s="3000" t="s">
        <v>3461</v>
      </c>
      <c r="Q128" s="2981">
        <v>150.96</v>
      </c>
      <c r="R128" s="2981" t="s">
        <v>3532</v>
      </c>
    </row>
    <row r="129" spans="15:18">
      <c r="O129" s="3083"/>
      <c r="P129" s="3000" t="s">
        <v>3223</v>
      </c>
      <c r="Q129" s="2981">
        <v>81.48</v>
      </c>
      <c r="R129" s="2981" t="s">
        <v>3532</v>
      </c>
    </row>
    <row r="130" spans="15:18">
      <c r="O130" s="3083"/>
      <c r="P130" s="3000" t="s">
        <v>3224</v>
      </c>
      <c r="Q130" s="2981">
        <v>187.13</v>
      </c>
      <c r="R130" s="2981" t="s">
        <v>3532</v>
      </c>
    </row>
    <row r="131" spans="15:18">
      <c r="O131" s="3083"/>
      <c r="P131" s="3000" t="s">
        <v>3225</v>
      </c>
      <c r="Q131" s="2981">
        <v>298.73</v>
      </c>
      <c r="R131" s="2981" t="s">
        <v>3532</v>
      </c>
    </row>
    <row r="132" spans="15:18">
      <c r="O132" s="3083"/>
      <c r="P132" s="3000" t="s">
        <v>3226</v>
      </c>
      <c r="Q132" s="2981">
        <v>187.13</v>
      </c>
      <c r="R132" s="2981" t="s">
        <v>3532</v>
      </c>
    </row>
    <row r="133" spans="15:18">
      <c r="O133" s="3083"/>
      <c r="P133" s="3000" t="s">
        <v>3227</v>
      </c>
      <c r="Q133" s="2981">
        <v>150.96</v>
      </c>
      <c r="R133" s="2981" t="s">
        <v>3532</v>
      </c>
    </row>
    <row r="134" spans="15:18">
      <c r="O134" s="3083"/>
      <c r="P134" s="3000" t="s">
        <v>3228</v>
      </c>
      <c r="Q134" s="2981">
        <v>78.53</v>
      </c>
      <c r="R134" s="2981" t="s">
        <v>3532</v>
      </c>
    </row>
    <row r="135" spans="15:18">
      <c r="O135" s="3083"/>
      <c r="P135" s="3000" t="s">
        <v>3229</v>
      </c>
      <c r="Q135" s="2981">
        <v>187.13</v>
      </c>
      <c r="R135" s="2981" t="s">
        <v>3532</v>
      </c>
    </row>
    <row r="136" spans="15:18">
      <c r="O136" s="3083"/>
      <c r="P136" s="3000" t="s">
        <v>3230</v>
      </c>
      <c r="Q136" s="2981">
        <v>298.73</v>
      </c>
      <c r="R136" s="2981" t="s">
        <v>3532</v>
      </c>
    </row>
    <row r="137" spans="15:18">
      <c r="O137" s="3083"/>
      <c r="P137" s="3000" t="s">
        <v>3231</v>
      </c>
      <c r="Q137" s="2981">
        <v>187.13</v>
      </c>
      <c r="R137" s="2981" t="s">
        <v>3532</v>
      </c>
    </row>
    <row r="138" spans="15:18">
      <c r="O138" s="3084"/>
      <c r="P138" s="2985" t="s">
        <v>3528</v>
      </c>
      <c r="Q138" s="2985">
        <f>SUM(Q128:Q137)</f>
        <v>1807.9099999999999</v>
      </c>
      <c r="R138" s="2985"/>
    </row>
    <row r="139" spans="15:18">
      <c r="O139" s="3082" t="s">
        <v>3462</v>
      </c>
      <c r="P139" s="3000" t="s">
        <v>3463</v>
      </c>
      <c r="Q139" s="2981">
        <v>150.96</v>
      </c>
      <c r="R139" s="2981" t="s">
        <v>3532</v>
      </c>
    </row>
    <row r="140" spans="15:18">
      <c r="O140" s="3083"/>
      <c r="P140" s="3000" t="s">
        <v>3232</v>
      </c>
      <c r="Q140" s="2981">
        <v>81.48</v>
      </c>
      <c r="R140" s="2981" t="s">
        <v>3532</v>
      </c>
    </row>
    <row r="141" spans="15:18">
      <c r="O141" s="3083"/>
      <c r="P141" s="3000" t="s">
        <v>3233</v>
      </c>
      <c r="Q141" s="2981">
        <v>187.13</v>
      </c>
      <c r="R141" s="2981" t="s">
        <v>3532</v>
      </c>
    </row>
    <row r="142" spans="15:18">
      <c r="O142" s="3083"/>
      <c r="P142" s="3000" t="s">
        <v>3234</v>
      </c>
      <c r="Q142" s="2981">
        <v>298.73</v>
      </c>
      <c r="R142" s="2981" t="s">
        <v>3532</v>
      </c>
    </row>
    <row r="143" spans="15:18">
      <c r="O143" s="3083"/>
      <c r="P143" s="3000" t="s">
        <v>3235</v>
      </c>
      <c r="Q143" s="2981">
        <v>187.13</v>
      </c>
      <c r="R143" s="2981" t="s">
        <v>3532</v>
      </c>
    </row>
    <row r="144" spans="15:18">
      <c r="O144" s="3083"/>
      <c r="P144" s="3000" t="s">
        <v>3236</v>
      </c>
      <c r="Q144" s="2981">
        <v>150.96</v>
      </c>
      <c r="R144" s="2981" t="s">
        <v>3532</v>
      </c>
    </row>
    <row r="145" spans="15:18">
      <c r="O145" s="3083"/>
      <c r="P145" s="3000" t="s">
        <v>3237</v>
      </c>
      <c r="Q145" s="2981">
        <v>78.53</v>
      </c>
      <c r="R145" s="2981" t="s">
        <v>3532</v>
      </c>
    </row>
    <row r="146" spans="15:18">
      <c r="O146" s="3083"/>
      <c r="P146" s="3000" t="s">
        <v>3238</v>
      </c>
      <c r="Q146" s="2981">
        <v>187.13</v>
      </c>
      <c r="R146" s="2981" t="s">
        <v>3532</v>
      </c>
    </row>
    <row r="147" spans="15:18">
      <c r="O147" s="3083"/>
      <c r="P147" s="3000" t="s">
        <v>3239</v>
      </c>
      <c r="Q147" s="2981">
        <v>298.73</v>
      </c>
      <c r="R147" s="2981" t="s">
        <v>3532</v>
      </c>
    </row>
    <row r="148" spans="15:18">
      <c r="O148" s="3083"/>
      <c r="P148" s="3000" t="s">
        <v>3240</v>
      </c>
      <c r="Q148" s="2981">
        <v>187.13</v>
      </c>
      <c r="R148" s="2981" t="s">
        <v>3532</v>
      </c>
    </row>
    <row r="149" spans="15:18">
      <c r="O149" s="3084"/>
      <c r="P149" s="2985" t="s">
        <v>3528</v>
      </c>
      <c r="Q149" s="2985">
        <f>SUM(Q139:Q148)</f>
        <v>1807.9099999999999</v>
      </c>
      <c r="R149" s="2985"/>
    </row>
    <row r="150" spans="15:18">
      <c r="O150" s="3082" t="s">
        <v>3464</v>
      </c>
      <c r="P150" s="3000" t="s">
        <v>3465</v>
      </c>
      <c r="Q150" s="2981">
        <v>37.06</v>
      </c>
      <c r="R150" s="2981" t="s">
        <v>3532</v>
      </c>
    </row>
    <row r="151" spans="15:18">
      <c r="O151" s="3083"/>
      <c r="P151" s="3000" t="s">
        <v>3466</v>
      </c>
      <c r="Q151" s="2981">
        <v>553.53</v>
      </c>
      <c r="R151" s="2981" t="s">
        <v>3532</v>
      </c>
    </row>
    <row r="152" spans="15:18">
      <c r="O152" s="3083"/>
      <c r="P152" s="3000" t="s">
        <v>3467</v>
      </c>
      <c r="Q152" s="2981">
        <v>89.9</v>
      </c>
      <c r="R152" s="2981" t="s">
        <v>3532</v>
      </c>
    </row>
    <row r="153" spans="15:18">
      <c r="O153" s="3084"/>
      <c r="P153" s="2985" t="s">
        <v>3528</v>
      </c>
      <c r="Q153" s="2985">
        <f>SUM(Q150:Q152)</f>
        <v>680.4899999999999</v>
      </c>
      <c r="R153" s="2985"/>
    </row>
    <row r="154" spans="15:18">
      <c r="O154" s="3082" t="s">
        <v>3468</v>
      </c>
      <c r="P154" s="3000" t="s">
        <v>3469</v>
      </c>
      <c r="Q154" s="2981">
        <v>460.66</v>
      </c>
      <c r="R154" s="2981" t="s">
        <v>3532</v>
      </c>
    </row>
    <row r="155" spans="15:18">
      <c r="O155" s="3083"/>
      <c r="P155" s="3000" t="s">
        <v>3470</v>
      </c>
      <c r="Q155" s="2981">
        <v>580.66999999999996</v>
      </c>
      <c r="R155" s="2981" t="s">
        <v>3532</v>
      </c>
    </row>
    <row r="156" spans="15:18">
      <c r="O156" s="3083"/>
      <c r="P156" s="3000" t="s">
        <v>3471</v>
      </c>
      <c r="Q156" s="2981">
        <v>510.2</v>
      </c>
      <c r="R156" s="2981" t="s">
        <v>3532</v>
      </c>
    </row>
    <row r="157" spans="15:18">
      <c r="O157" s="3083"/>
      <c r="P157" s="3000" t="s">
        <v>3472</v>
      </c>
      <c r="Q157" s="2981">
        <v>455.55</v>
      </c>
      <c r="R157" s="2981" t="s">
        <v>3532</v>
      </c>
    </row>
    <row r="158" spans="15:18">
      <c r="O158" s="3084"/>
      <c r="P158" s="2985" t="s">
        <v>3528</v>
      </c>
      <c r="Q158" s="2985">
        <f>SUM(Q154:Q157)</f>
        <v>2007.08</v>
      </c>
      <c r="R158" s="2985"/>
    </row>
    <row r="159" spans="15:18">
      <c r="O159" s="3082" t="s">
        <v>3473</v>
      </c>
      <c r="P159" s="3000" t="s">
        <v>3474</v>
      </c>
      <c r="Q159" s="2981">
        <v>460.66</v>
      </c>
      <c r="R159" s="2981" t="s">
        <v>3532</v>
      </c>
    </row>
    <row r="160" spans="15:18">
      <c r="O160" s="3083"/>
      <c r="P160" s="3000" t="s">
        <v>3241</v>
      </c>
      <c r="Q160" s="2981">
        <v>580.66999999999996</v>
      </c>
      <c r="R160" s="2981" t="s">
        <v>3532</v>
      </c>
    </row>
    <row r="161" spans="15:18">
      <c r="O161" s="3083"/>
      <c r="P161" s="3000" t="s">
        <v>3242</v>
      </c>
      <c r="Q161" s="2981">
        <v>510.2</v>
      </c>
      <c r="R161" s="2981" t="s">
        <v>3532</v>
      </c>
    </row>
    <row r="162" spans="15:18">
      <c r="O162" s="3083"/>
      <c r="P162" s="3000" t="s">
        <v>3243</v>
      </c>
      <c r="Q162" s="2981">
        <v>455.55</v>
      </c>
      <c r="R162" s="2981" t="s">
        <v>3532</v>
      </c>
    </row>
    <row r="163" spans="15:18">
      <c r="O163" s="3084"/>
      <c r="P163" s="2985" t="s">
        <v>3528</v>
      </c>
      <c r="Q163" s="2985">
        <f>SUM(Q159:Q162)</f>
        <v>2007.08</v>
      </c>
      <c r="R163" s="2985"/>
    </row>
    <row r="164" spans="15:18">
      <c r="O164" s="3082" t="s">
        <v>3475</v>
      </c>
      <c r="P164" s="3000" t="s">
        <v>3476</v>
      </c>
      <c r="Q164" s="2981">
        <v>460.66</v>
      </c>
      <c r="R164" s="2981" t="s">
        <v>3532</v>
      </c>
    </row>
    <row r="165" spans="15:18">
      <c r="O165" s="3083"/>
      <c r="P165" s="3000" t="s">
        <v>3244</v>
      </c>
      <c r="Q165" s="2981">
        <v>580.66999999999996</v>
      </c>
      <c r="R165" s="2981" t="s">
        <v>3532</v>
      </c>
    </row>
    <row r="166" spans="15:18">
      <c r="O166" s="3083"/>
      <c r="P166" s="3000" t="s">
        <v>3245</v>
      </c>
      <c r="Q166" s="2981">
        <v>510.2</v>
      </c>
      <c r="R166" s="2981" t="s">
        <v>3532</v>
      </c>
    </row>
    <row r="167" spans="15:18">
      <c r="O167" s="3083"/>
      <c r="P167" s="3000" t="s">
        <v>3246</v>
      </c>
      <c r="Q167" s="2981">
        <v>455.55</v>
      </c>
      <c r="R167" s="2981" t="s">
        <v>3532</v>
      </c>
    </row>
    <row r="168" spans="15:18">
      <c r="O168" s="3084"/>
      <c r="P168" s="2985" t="s">
        <v>3528</v>
      </c>
      <c r="Q168" s="2985">
        <f>SUM(Q164:Q167)</f>
        <v>2007.08</v>
      </c>
      <c r="R168" s="2985"/>
    </row>
    <row r="169" spans="15:18">
      <c r="O169" s="3082" t="s">
        <v>3477</v>
      </c>
      <c r="P169" s="3000" t="s">
        <v>3478</v>
      </c>
      <c r="Q169" s="2981">
        <v>460.66</v>
      </c>
      <c r="R169" s="2981" t="s">
        <v>3532</v>
      </c>
    </row>
    <row r="170" spans="15:18">
      <c r="O170" s="3083"/>
      <c r="P170" s="3000" t="s">
        <v>3247</v>
      </c>
      <c r="Q170" s="2981">
        <v>580.66999999999996</v>
      </c>
      <c r="R170" s="2981" t="s">
        <v>3532</v>
      </c>
    </row>
    <row r="171" spans="15:18">
      <c r="O171" s="3083"/>
      <c r="P171" s="3000" t="s">
        <v>3248</v>
      </c>
      <c r="Q171" s="2981">
        <v>510.2</v>
      </c>
      <c r="R171" s="2981" t="s">
        <v>3532</v>
      </c>
    </row>
    <row r="172" spans="15:18">
      <c r="O172" s="3083"/>
      <c r="P172" s="3000" t="s">
        <v>3249</v>
      </c>
      <c r="Q172" s="2981">
        <v>455.55</v>
      </c>
      <c r="R172" s="2981" t="s">
        <v>3532</v>
      </c>
    </row>
    <row r="173" spans="15:18">
      <c r="O173" s="3084"/>
      <c r="P173" s="2985" t="s">
        <v>3528</v>
      </c>
      <c r="Q173" s="2985">
        <f>SUM(Q169:Q172)</f>
        <v>2007.08</v>
      </c>
      <c r="R173" s="2985"/>
    </row>
    <row r="174" spans="15:18">
      <c r="O174" s="3082" t="s">
        <v>3479</v>
      </c>
      <c r="P174" s="3000" t="s">
        <v>3480</v>
      </c>
      <c r="Q174" s="2981">
        <v>462.36</v>
      </c>
      <c r="R174" s="2981" t="s">
        <v>3532</v>
      </c>
    </row>
    <row r="175" spans="15:18">
      <c r="O175" s="3083"/>
      <c r="P175" s="3000" t="s">
        <v>3250</v>
      </c>
      <c r="Q175" s="2981">
        <v>582.9</v>
      </c>
      <c r="R175" s="2981" t="s">
        <v>3532</v>
      </c>
    </row>
    <row r="176" spans="15:18">
      <c r="O176" s="3083"/>
      <c r="P176" s="3000" t="s">
        <v>3251</v>
      </c>
      <c r="Q176" s="2981">
        <v>511.16</v>
      </c>
      <c r="R176" s="2981" t="s">
        <v>3532</v>
      </c>
    </row>
    <row r="177" spans="15:19">
      <c r="O177" s="3083"/>
      <c r="P177" s="3000" t="s">
        <v>3252</v>
      </c>
      <c r="Q177" s="2981">
        <v>457.89</v>
      </c>
      <c r="R177" s="2981" t="s">
        <v>3532</v>
      </c>
    </row>
    <row r="178" spans="15:19">
      <c r="O178" s="3084"/>
      <c r="P178" s="2985" t="s">
        <v>3528</v>
      </c>
      <c r="Q178" s="2985">
        <f>SUM(Q174:Q177)</f>
        <v>2014.31</v>
      </c>
      <c r="R178" s="2985"/>
    </row>
    <row r="179" spans="15:19">
      <c r="O179" s="3082" t="s">
        <v>3481</v>
      </c>
      <c r="P179" s="3000" t="s">
        <v>3482</v>
      </c>
      <c r="Q179" s="2981">
        <v>462.36</v>
      </c>
      <c r="R179" s="2981" t="s">
        <v>3532</v>
      </c>
    </row>
    <row r="180" spans="15:19">
      <c r="O180" s="3083"/>
      <c r="P180" s="3000" t="s">
        <v>3253</v>
      </c>
      <c r="Q180" s="2981">
        <v>582.9</v>
      </c>
      <c r="R180" s="2981" t="s">
        <v>3532</v>
      </c>
    </row>
    <row r="181" spans="15:19">
      <c r="O181" s="3083"/>
      <c r="P181" s="3000" t="s">
        <v>3254</v>
      </c>
      <c r="Q181" s="2981">
        <v>511.16</v>
      </c>
      <c r="R181" s="2981" t="s">
        <v>3532</v>
      </c>
    </row>
    <row r="182" spans="15:19">
      <c r="O182" s="3083"/>
      <c r="P182" s="3000" t="s">
        <v>3255</v>
      </c>
      <c r="Q182" s="2981">
        <v>457.89</v>
      </c>
      <c r="R182" s="2981" t="s">
        <v>3532</v>
      </c>
    </row>
    <row r="183" spans="15:19">
      <c r="O183" s="3084"/>
      <c r="P183" s="2985" t="s">
        <v>3528</v>
      </c>
      <c r="Q183" s="2985">
        <f>SUM(Q179:Q182)</f>
        <v>2014.31</v>
      </c>
      <c r="R183" s="2985"/>
    </row>
    <row r="184" spans="15:19">
      <c r="O184" s="3082" t="s">
        <v>3483</v>
      </c>
      <c r="P184" s="3000" t="s">
        <v>3484</v>
      </c>
      <c r="Q184" s="2981">
        <v>462.36</v>
      </c>
      <c r="R184" s="2981" t="s">
        <v>3532</v>
      </c>
    </row>
    <row r="185" spans="15:19">
      <c r="O185" s="3083"/>
      <c r="P185" s="3000" t="s">
        <v>3256</v>
      </c>
      <c r="Q185" s="2981">
        <v>582.9</v>
      </c>
      <c r="R185" s="2981" t="s">
        <v>3532</v>
      </c>
    </row>
    <row r="186" spans="15:19">
      <c r="O186" s="3083"/>
      <c r="P186" s="3000" t="s">
        <v>3257</v>
      </c>
      <c r="Q186" s="2981">
        <v>511.16</v>
      </c>
      <c r="R186" s="2981" t="s">
        <v>3532</v>
      </c>
    </row>
    <row r="187" spans="15:19">
      <c r="O187" s="3083"/>
      <c r="P187" s="3000" t="s">
        <v>3258</v>
      </c>
      <c r="Q187" s="2981">
        <v>457.89</v>
      </c>
      <c r="R187" s="2981" t="s">
        <v>3532</v>
      </c>
    </row>
    <row r="188" spans="15:19">
      <c r="O188" s="3084"/>
      <c r="P188" s="2985" t="s">
        <v>3528</v>
      </c>
      <c r="Q188" s="2985">
        <f>SUM(Q184:Q187)</f>
        <v>2014.31</v>
      </c>
      <c r="R188" s="2985"/>
    </row>
    <row r="189" spans="15:19">
      <c r="O189" s="3082" t="s">
        <v>3485</v>
      </c>
      <c r="P189" s="3000" t="s">
        <v>3486</v>
      </c>
      <c r="Q189" s="3007">
        <v>462.36</v>
      </c>
      <c r="R189" s="2981" t="s">
        <v>3532</v>
      </c>
      <c r="S189" s="2978" t="s">
        <v>3546</v>
      </c>
    </row>
    <row r="190" spans="15:19">
      <c r="O190" s="3083"/>
      <c r="P190" s="3000" t="s">
        <v>3259</v>
      </c>
      <c r="Q190" s="2981">
        <v>582.9</v>
      </c>
      <c r="R190" s="2981" t="s">
        <v>3532</v>
      </c>
    </row>
    <row r="191" spans="15:19">
      <c r="O191" s="3083"/>
      <c r="P191" s="3000" t="s">
        <v>3260</v>
      </c>
      <c r="Q191" s="2981">
        <v>511.16</v>
      </c>
      <c r="R191" s="2981" t="s">
        <v>3532</v>
      </c>
    </row>
    <row r="192" spans="15:19">
      <c r="O192" s="3083"/>
      <c r="P192" s="3000" t="s">
        <v>3261</v>
      </c>
      <c r="Q192" s="2981">
        <v>457.89</v>
      </c>
      <c r="R192" s="2981" t="s">
        <v>3532</v>
      </c>
    </row>
    <row r="193" spans="15:18">
      <c r="O193" s="3084"/>
      <c r="P193" s="2985" t="s">
        <v>3528</v>
      </c>
      <c r="Q193" s="2985">
        <f>SUM(Q189:Q192)</f>
        <v>2014.31</v>
      </c>
      <c r="R193" s="2985"/>
    </row>
    <row r="194" spans="15:18">
      <c r="O194" s="3082" t="s">
        <v>3487</v>
      </c>
      <c r="P194" s="3000" t="s">
        <v>3488</v>
      </c>
      <c r="Q194" s="2981">
        <v>462.36</v>
      </c>
      <c r="R194" s="2981" t="s">
        <v>3532</v>
      </c>
    </row>
    <row r="195" spans="15:18">
      <c r="O195" s="3083"/>
      <c r="P195" s="3000" t="s">
        <v>3262</v>
      </c>
      <c r="Q195" s="2981">
        <v>582.9</v>
      </c>
      <c r="R195" s="2981" t="s">
        <v>3532</v>
      </c>
    </row>
    <row r="196" spans="15:18">
      <c r="O196" s="3083"/>
      <c r="P196" s="3000" t="s">
        <v>3263</v>
      </c>
      <c r="Q196" s="2981">
        <v>511.16</v>
      </c>
      <c r="R196" s="2981" t="s">
        <v>3532</v>
      </c>
    </row>
    <row r="197" spans="15:18">
      <c r="O197" s="3083"/>
      <c r="P197" s="3000" t="s">
        <v>3264</v>
      </c>
      <c r="Q197" s="2981">
        <v>457.89</v>
      </c>
      <c r="R197" s="2981" t="s">
        <v>3532</v>
      </c>
    </row>
    <row r="198" spans="15:18">
      <c r="O198" s="3084"/>
      <c r="P198" s="2985" t="s">
        <v>3528</v>
      </c>
      <c r="Q198" s="2985">
        <f>SUM(Q194:Q197)</f>
        <v>2014.31</v>
      </c>
      <c r="R198" s="2985"/>
    </row>
    <row r="199" spans="15:18">
      <c r="O199" s="3082" t="s">
        <v>3489</v>
      </c>
      <c r="P199" s="3000" t="s">
        <v>3490</v>
      </c>
      <c r="Q199" s="2981">
        <v>462.36</v>
      </c>
      <c r="R199" s="2981" t="s">
        <v>3532</v>
      </c>
    </row>
    <row r="200" spans="15:18">
      <c r="O200" s="3083"/>
      <c r="P200" s="3000" t="s">
        <v>3265</v>
      </c>
      <c r="Q200" s="2981">
        <v>582.9</v>
      </c>
      <c r="R200" s="2981" t="s">
        <v>3532</v>
      </c>
    </row>
    <row r="201" spans="15:18">
      <c r="O201" s="3083"/>
      <c r="P201" s="3000" t="s">
        <v>3266</v>
      </c>
      <c r="Q201" s="2981">
        <v>511.16</v>
      </c>
      <c r="R201" s="2981" t="s">
        <v>3532</v>
      </c>
    </row>
    <row r="202" spans="15:18">
      <c r="O202" s="3083"/>
      <c r="P202" s="3000" t="s">
        <v>3267</v>
      </c>
      <c r="Q202" s="2981">
        <v>457.89</v>
      </c>
      <c r="R202" s="2981" t="s">
        <v>3532</v>
      </c>
    </row>
    <row r="203" spans="15:18">
      <c r="O203" s="3084"/>
      <c r="P203" s="2985" t="s">
        <v>3528</v>
      </c>
      <c r="Q203" s="2985">
        <f>SUM(Q199:Q202)</f>
        <v>2014.31</v>
      </c>
      <c r="R203" s="2985"/>
    </row>
    <row r="204" spans="15:18">
      <c r="O204" s="3082" t="s">
        <v>3491</v>
      </c>
      <c r="P204" s="3000" t="s">
        <v>3492</v>
      </c>
      <c r="Q204" s="2981">
        <v>955.78</v>
      </c>
      <c r="R204" s="2981" t="s">
        <v>3532</v>
      </c>
    </row>
    <row r="205" spans="15:18">
      <c r="O205" s="3083"/>
      <c r="P205" s="3000" t="s">
        <v>3493</v>
      </c>
      <c r="Q205" s="2981">
        <v>1216.56</v>
      </c>
      <c r="R205" s="2981" t="s">
        <v>3532</v>
      </c>
    </row>
    <row r="206" spans="15:18">
      <c r="O206" s="3084"/>
      <c r="P206" s="2985" t="s">
        <v>3528</v>
      </c>
      <c r="Q206" s="2985">
        <f>SUM(Q204:Q205)</f>
        <v>2172.34</v>
      </c>
      <c r="R206" s="2985"/>
    </row>
    <row r="207" spans="15:18">
      <c r="O207" s="3082" t="s">
        <v>3494</v>
      </c>
      <c r="P207" s="3000" t="s">
        <v>3495</v>
      </c>
      <c r="Q207" s="2981">
        <v>955.78</v>
      </c>
      <c r="R207" s="2981" t="s">
        <v>3532</v>
      </c>
    </row>
    <row r="208" spans="15:18">
      <c r="O208" s="3083"/>
      <c r="P208" s="3000" t="s">
        <v>3496</v>
      </c>
      <c r="Q208" s="2981">
        <v>1216.56</v>
      </c>
      <c r="R208" s="2981" t="s">
        <v>3532</v>
      </c>
    </row>
    <row r="209" spans="15:18">
      <c r="O209" s="3084"/>
      <c r="P209" s="2985" t="s">
        <v>3528</v>
      </c>
      <c r="Q209" s="2985">
        <f>SUM(Q207:Q208)</f>
        <v>2172.34</v>
      </c>
      <c r="R209" s="2985"/>
    </row>
    <row r="210" spans="15:18">
      <c r="O210" s="3082" t="s">
        <v>3497</v>
      </c>
      <c r="P210" s="3000" t="s">
        <v>3498</v>
      </c>
      <c r="Q210" s="2981">
        <v>959</v>
      </c>
      <c r="R210" s="2981" t="s">
        <v>3532</v>
      </c>
    </row>
    <row r="211" spans="15:18">
      <c r="O211" s="3083"/>
      <c r="P211" s="3000" t="s">
        <v>3499</v>
      </c>
      <c r="Q211" s="2981">
        <v>1219.96</v>
      </c>
      <c r="R211" s="2981" t="s">
        <v>3532</v>
      </c>
    </row>
    <row r="212" spans="15:18">
      <c r="O212" s="3084"/>
      <c r="P212" s="2985" t="s">
        <v>3528</v>
      </c>
      <c r="Q212" s="2985">
        <f>SUM(Q210:Q211)</f>
        <v>2178.96</v>
      </c>
      <c r="R212" s="2985"/>
    </row>
    <row r="213" spans="15:18">
      <c r="O213" s="3082" t="s">
        <v>3500</v>
      </c>
      <c r="P213" s="3000" t="s">
        <v>3501</v>
      </c>
      <c r="Q213" s="2981">
        <v>959</v>
      </c>
      <c r="R213" s="2981" t="s">
        <v>3532</v>
      </c>
    </row>
    <row r="214" spans="15:18">
      <c r="O214" s="3083"/>
      <c r="P214" s="3000" t="s">
        <v>3502</v>
      </c>
      <c r="Q214" s="2981">
        <v>1219.96</v>
      </c>
      <c r="R214" s="2981" t="s">
        <v>3532</v>
      </c>
    </row>
    <row r="215" spans="15:18">
      <c r="O215" s="3084"/>
      <c r="P215" s="2985" t="s">
        <v>3528</v>
      </c>
      <c r="Q215" s="2985">
        <f>SUM(Q213:Q214)</f>
        <v>2178.96</v>
      </c>
      <c r="R215" s="2985"/>
    </row>
    <row r="216" spans="15:18">
      <c r="O216" s="3082" t="s">
        <v>3503</v>
      </c>
      <c r="P216" s="3000" t="s">
        <v>3504</v>
      </c>
      <c r="Q216" s="2981">
        <v>959</v>
      </c>
      <c r="R216" s="2981" t="s">
        <v>3532</v>
      </c>
    </row>
    <row r="217" spans="15:18">
      <c r="O217" s="3083"/>
      <c r="P217" s="3000" t="s">
        <v>3505</v>
      </c>
      <c r="Q217" s="2981">
        <v>1219.96</v>
      </c>
      <c r="R217" s="2981" t="s">
        <v>3532</v>
      </c>
    </row>
    <row r="218" spans="15:18">
      <c r="O218" s="3084"/>
      <c r="P218" s="2985" t="s">
        <v>3528</v>
      </c>
      <c r="Q218" s="2985">
        <f>SUM(Q216:Q217)</f>
        <v>2178.96</v>
      </c>
      <c r="R218" s="2985"/>
    </row>
    <row r="219" spans="15:18">
      <c r="O219" s="3082" t="s">
        <v>3506</v>
      </c>
      <c r="P219" s="3000" t="s">
        <v>3507</v>
      </c>
      <c r="Q219" s="2981">
        <v>961.91</v>
      </c>
      <c r="R219" s="2981" t="s">
        <v>3532</v>
      </c>
    </row>
    <row r="220" spans="15:18">
      <c r="O220" s="3083"/>
      <c r="P220" s="3000" t="s">
        <v>3508</v>
      </c>
      <c r="Q220" s="2981">
        <v>1222.56</v>
      </c>
      <c r="R220" s="2981" t="s">
        <v>3532</v>
      </c>
    </row>
    <row r="221" spans="15:18">
      <c r="O221" s="3084"/>
      <c r="P221" s="2985" t="s">
        <v>3528</v>
      </c>
      <c r="Q221" s="2985">
        <f>SUM(Q219:Q220)</f>
        <v>2184.4699999999998</v>
      </c>
      <c r="R221" s="2985"/>
    </row>
    <row r="222" spans="15:18">
      <c r="O222" s="3082" t="s">
        <v>3509</v>
      </c>
      <c r="P222" s="3000" t="s">
        <v>3510</v>
      </c>
      <c r="Q222" s="2981">
        <v>961.91</v>
      </c>
      <c r="R222" s="2981" t="s">
        <v>3532</v>
      </c>
    </row>
    <row r="223" spans="15:18">
      <c r="O223" s="3083"/>
      <c r="P223" s="3000" t="s">
        <v>3511</v>
      </c>
      <c r="Q223" s="2981">
        <v>1222.56</v>
      </c>
      <c r="R223" s="2981" t="s">
        <v>3532</v>
      </c>
    </row>
    <row r="224" spans="15:18">
      <c r="O224" s="3084"/>
      <c r="P224" s="2985" t="s">
        <v>3528</v>
      </c>
      <c r="Q224" s="2985">
        <f>SUM(Q222:Q223)</f>
        <v>2184.4699999999998</v>
      </c>
      <c r="R224" s="2985"/>
    </row>
    <row r="225" spans="15:18">
      <c r="O225" s="3082" t="s">
        <v>3512</v>
      </c>
      <c r="P225" s="3000" t="s">
        <v>3513</v>
      </c>
      <c r="Q225" s="2981">
        <v>961.91</v>
      </c>
      <c r="R225" s="2981" t="s">
        <v>3532</v>
      </c>
    </row>
    <row r="226" spans="15:18">
      <c r="O226" s="3083"/>
      <c r="P226" s="3000" t="s">
        <v>3514</v>
      </c>
      <c r="Q226" s="2981">
        <v>1222.56</v>
      </c>
      <c r="R226" s="2981" t="s">
        <v>3532</v>
      </c>
    </row>
    <row r="227" spans="15:18">
      <c r="O227" s="3084"/>
      <c r="P227" s="2985" t="s">
        <v>3528</v>
      </c>
      <c r="Q227" s="2985">
        <f>SUM(Q225:Q226)</f>
        <v>2184.4699999999998</v>
      </c>
      <c r="R227" s="2985"/>
    </row>
    <row r="228" spans="15:18">
      <c r="O228" s="3082" t="s">
        <v>3517</v>
      </c>
      <c r="P228" s="3000" t="s">
        <v>3515</v>
      </c>
      <c r="Q228" s="2981">
        <v>961.91</v>
      </c>
      <c r="R228" s="2981" t="s">
        <v>3532</v>
      </c>
    </row>
    <row r="229" spans="15:18">
      <c r="O229" s="3083"/>
      <c r="P229" s="3000" t="s">
        <v>3516</v>
      </c>
      <c r="Q229" s="2981">
        <v>1222.56</v>
      </c>
      <c r="R229" s="2981" t="s">
        <v>3532</v>
      </c>
    </row>
    <row r="230" spans="15:18">
      <c r="O230" s="3084"/>
      <c r="P230" s="2985" t="s">
        <v>3528</v>
      </c>
      <c r="Q230" s="2985">
        <f>SUM(Q228:Q229)</f>
        <v>2184.4699999999998</v>
      </c>
      <c r="R230" s="2985"/>
    </row>
    <row r="231" spans="15:18">
      <c r="O231" s="3082" t="s">
        <v>3518</v>
      </c>
      <c r="P231" s="3000" t="s">
        <v>3519</v>
      </c>
      <c r="Q231" s="2981">
        <v>961.91</v>
      </c>
      <c r="R231" s="2981" t="s">
        <v>3532</v>
      </c>
    </row>
    <row r="232" spans="15:18">
      <c r="O232" s="3083"/>
      <c r="P232" s="3000" t="s">
        <v>3520</v>
      </c>
      <c r="Q232" s="2981">
        <v>1222.56</v>
      </c>
      <c r="R232" s="2981" t="s">
        <v>3532</v>
      </c>
    </row>
    <row r="233" spans="15:18">
      <c r="O233" s="3084"/>
      <c r="P233" s="2985" t="s">
        <v>3528</v>
      </c>
      <c r="Q233" s="2985">
        <f>SUM(Q231:Q232)</f>
        <v>2184.4699999999998</v>
      </c>
      <c r="R233" s="2985"/>
    </row>
    <row r="234" spans="15:18">
      <c r="O234" s="3082" t="s">
        <v>3521</v>
      </c>
      <c r="P234" s="3000" t="s">
        <v>3522</v>
      </c>
      <c r="Q234" s="2981">
        <v>391.97</v>
      </c>
      <c r="R234" s="2981" t="s">
        <v>3530</v>
      </c>
    </row>
    <row r="235" spans="15:18">
      <c r="O235" s="3084"/>
      <c r="P235" s="2985" t="s">
        <v>3528</v>
      </c>
      <c r="Q235" s="2985">
        <f>SUM(Q234)</f>
        <v>391.97</v>
      </c>
      <c r="R235" s="2985"/>
    </row>
    <row r="236" spans="15:18">
      <c r="O236" s="3082" t="s">
        <v>3523</v>
      </c>
      <c r="P236" s="3000" t="s">
        <v>3524</v>
      </c>
      <c r="Q236" s="2981">
        <v>3630.35</v>
      </c>
      <c r="R236" s="2981" t="s">
        <v>3530</v>
      </c>
    </row>
    <row r="237" spans="15:18">
      <c r="O237" s="3084"/>
      <c r="P237" s="2985" t="s">
        <v>3528</v>
      </c>
      <c r="Q237" s="2979">
        <f>Q236</f>
        <v>3630.35</v>
      </c>
      <c r="R237" s="2979"/>
    </row>
    <row r="238" spans="15:18">
      <c r="O238" s="3085" t="s">
        <v>3534</v>
      </c>
      <c r="P238" s="3086"/>
      <c r="Q238" s="2985">
        <f>Q16+Q27+Q36+Q39+Q50+Q61+Q72+Q83+Q94+Q105+Q116+Q127+Q138+Q149+Q153+Q158+Q163+Q168+Q173+Q178+Q183+Q188+Q193+Q198+Q203+Q206+Q209+Q212+Q215+Q218+Q221+Q224+Q227+Q230+Q233+Q235+Q237+Q29</f>
        <v>73062.25</v>
      </c>
      <c r="R238" s="2981"/>
    </row>
  </sheetData>
  <mergeCells count="44">
    <mergeCell ref="A1:D1"/>
    <mergeCell ref="H1:L1"/>
    <mergeCell ref="H7:J7"/>
    <mergeCell ref="A51:D51"/>
    <mergeCell ref="O2:O16"/>
    <mergeCell ref="O17:O27"/>
    <mergeCell ref="O28:O29"/>
    <mergeCell ref="O30:O36"/>
    <mergeCell ref="O37:O39"/>
    <mergeCell ref="O154:O158"/>
    <mergeCell ref="O40:O50"/>
    <mergeCell ref="O51:O61"/>
    <mergeCell ref="O62:O72"/>
    <mergeCell ref="O73:O83"/>
    <mergeCell ref="O84:O94"/>
    <mergeCell ref="O95:O105"/>
    <mergeCell ref="O106:O116"/>
    <mergeCell ref="O117:O127"/>
    <mergeCell ref="O128:O138"/>
    <mergeCell ref="O139:O149"/>
    <mergeCell ref="O150:O153"/>
    <mergeCell ref="O210:O212"/>
    <mergeCell ref="O159:O163"/>
    <mergeCell ref="O164:O168"/>
    <mergeCell ref="O169:O173"/>
    <mergeCell ref="O174:O178"/>
    <mergeCell ref="O179:O183"/>
    <mergeCell ref="O184:O188"/>
    <mergeCell ref="O231:O233"/>
    <mergeCell ref="O234:O235"/>
    <mergeCell ref="O236:O237"/>
    <mergeCell ref="O238:P238"/>
    <mergeCell ref="H10:K10"/>
    <mergeCell ref="O213:O215"/>
    <mergeCell ref="O216:O218"/>
    <mergeCell ref="O219:O221"/>
    <mergeCell ref="O222:O224"/>
    <mergeCell ref="O225:O227"/>
    <mergeCell ref="O228:O230"/>
    <mergeCell ref="O189:O193"/>
    <mergeCell ref="O194:O198"/>
    <mergeCell ref="O199:O203"/>
    <mergeCell ref="O204:O206"/>
    <mergeCell ref="O207:O209"/>
  </mergeCells>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1870</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1" t="s">
        <v>1871</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5" customFormat="1" ht="24">
      <c r="A2" s="11" t="s">
        <v>1872</v>
      </c>
      <c r="B2" s="11" t="s">
        <v>1873</v>
      </c>
      <c r="C2" s="11" t="s">
        <v>1874</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8" t="s">
        <v>1875</v>
      </c>
      <c r="AZ2" s="1269" t="s">
        <v>1876</v>
      </c>
      <c r="BA2" s="11" t="s">
        <v>1877</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f>ROUND(14974.55/546395.11*118974.9,2)</f>
        <v>3260.64</v>
      </c>
      <c r="B3" s="14">
        <f>IF(C3="否",G5-AT5,G5)</f>
        <v>14974.55</v>
      </c>
      <c r="C3" s="2166" t="s">
        <v>1878</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0"/>
      <c r="AZ3" s="1271"/>
      <c r="BA3" s="1272"/>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1879</v>
      </c>
      <c r="B5" s="1802"/>
      <c r="C5" s="1802"/>
      <c r="D5" s="1805"/>
      <c r="E5" s="16" t="s">
        <v>1</v>
      </c>
      <c r="F5" s="16">
        <f>SUM(F13:F587)</f>
        <v>0</v>
      </c>
      <c r="G5" s="16">
        <f>SUM(G13:G587)</f>
        <v>14974.55</v>
      </c>
      <c r="H5" s="16">
        <f t="shared" ref="H5:AT5" si="0">SUM(H13:H656)</f>
        <v>14974.55</v>
      </c>
      <c r="I5" s="16">
        <f t="shared" si="0"/>
        <v>14974.55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1879</v>
      </c>
      <c r="AW5" s="1802"/>
      <c r="AX5" s="1802"/>
      <c r="AY5" s="17" t="s">
        <v>3</v>
      </c>
      <c r="AZ5" s="18">
        <f t="shared" ref="AZ5:BT5" si="1">SUM(AZ13:AZ656)</f>
        <v>14974.55</v>
      </c>
      <c r="BA5" s="18">
        <f t="shared" si="1"/>
        <v>14974.55</v>
      </c>
      <c r="BB5" s="18">
        <f t="shared" si="1"/>
        <v>14974.55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1880</v>
      </c>
      <c r="B6" s="2172"/>
      <c r="C6" s="2172"/>
      <c r="D6" s="2173"/>
      <c r="E6" s="16">
        <f>H6+AC6+AT6</f>
        <v>3260.64</v>
      </c>
      <c r="F6" s="16" t="s">
        <v>1</v>
      </c>
      <c r="G6" s="16" t="s">
        <v>2</v>
      </c>
      <c r="H6" s="20">
        <f>SUMIF(I$12:AB$12,"总值",I6:AB6)</f>
        <v>3260.64</v>
      </c>
      <c r="I6" s="16">
        <f t="shared" ref="I6:AB6" si="2">ROUND($A$3*I5/$B$3,2)</f>
        <v>3260.64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1880</v>
      </c>
      <c r="AW6" s="2172"/>
      <c r="AX6" s="2172"/>
      <c r="AY6" s="21">
        <f>IF(AY3&gt;0,AY3,ROUND($A$3*AZ5/$B$3,2))</f>
        <v>3260.64</v>
      </c>
      <c r="AZ6" s="16" t="s">
        <v>3</v>
      </c>
      <c r="BA6" s="16">
        <f>ROUND($AY$6*BA5/$AZ$5,2)</f>
        <v>3260.64</v>
      </c>
      <c r="BB6" s="16">
        <f>ROUND($AY$6*BB5/$AZ$5,2)</f>
        <v>3260.64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1881</v>
      </c>
      <c r="B7" s="2107" t="s">
        <v>1882</v>
      </c>
      <c r="C7" s="2107" t="s">
        <v>1883</v>
      </c>
      <c r="D7" s="2107" t="s">
        <v>1884</v>
      </c>
      <c r="E7" s="2107" t="s">
        <v>1885</v>
      </c>
      <c r="F7" s="2107" t="s">
        <v>1886</v>
      </c>
      <c r="G7" s="2176" t="s">
        <v>1887</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5"/>
      <c r="AU7" s="2177" t="s">
        <v>1888</v>
      </c>
      <c r="AV7" s="23" t="s">
        <v>1889</v>
      </c>
      <c r="AW7" s="2164" t="s">
        <v>1890</v>
      </c>
      <c r="AX7" s="23" t="s">
        <v>1883</v>
      </c>
      <c r="AY7" s="1802" t="s">
        <v>1891</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1892</v>
      </c>
      <c r="H8" s="2182" t="s">
        <v>1893</v>
      </c>
      <c r="I8" s="2183"/>
      <c r="J8" s="1817"/>
      <c r="K8" s="1817"/>
      <c r="L8" s="1817"/>
      <c r="M8" s="1817"/>
      <c r="N8" s="1817"/>
      <c r="O8" s="1817"/>
      <c r="P8" s="1817"/>
      <c r="Q8" s="1817"/>
      <c r="R8" s="1817"/>
      <c r="S8" s="1817"/>
      <c r="T8" s="1817"/>
      <c r="U8" s="1817"/>
      <c r="V8" s="2184"/>
      <c r="W8" s="1817"/>
      <c r="X8" s="1817"/>
      <c r="Y8" s="1817"/>
      <c r="Z8" s="1817"/>
      <c r="AA8" s="2184"/>
      <c r="AB8" s="2185"/>
      <c r="AC8" s="980" t="s">
        <v>1894</v>
      </c>
      <c r="AD8" s="2186"/>
      <c r="AE8" s="2178"/>
      <c r="AF8" s="1817"/>
      <c r="AG8" s="1817"/>
      <c r="AH8" s="1817"/>
      <c r="AI8" s="1817"/>
      <c r="AJ8" s="1817"/>
      <c r="AK8" s="1817"/>
      <c r="AL8" s="1817"/>
      <c r="AM8" s="1817"/>
      <c r="AN8" s="1817"/>
      <c r="AO8" s="1817"/>
      <c r="AP8" s="1817"/>
      <c r="AQ8" s="1817"/>
      <c r="AR8" s="1817"/>
      <c r="AS8" s="1817"/>
      <c r="AT8" s="1291" t="s">
        <v>1895</v>
      </c>
      <c r="AU8" s="2180" t="s">
        <v>1896</v>
      </c>
      <c r="AV8" s="1291"/>
      <c r="AW8" s="2163"/>
      <c r="AX8" s="1291"/>
      <c r="AY8" s="2164" t="s">
        <v>1897</v>
      </c>
      <c r="AZ8" s="1816" t="s">
        <v>1898</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7" customFormat="1" ht="12.75">
      <c r="A9" s="2180"/>
      <c r="B9" s="2180"/>
      <c r="C9" s="2180"/>
      <c r="D9" s="2180"/>
      <c r="E9" s="2180"/>
      <c r="F9" s="2180"/>
      <c r="G9" s="1291"/>
      <c r="H9" s="2188" t="s">
        <v>1899</v>
      </c>
      <c r="I9" s="2189" t="s">
        <v>3104</v>
      </c>
      <c r="J9" s="980"/>
      <c r="K9" s="2189" t="s">
        <v>3104</v>
      </c>
      <c r="L9" s="980"/>
      <c r="M9" s="2189" t="s">
        <v>3377</v>
      </c>
      <c r="N9" s="980"/>
      <c r="O9" s="2189" t="s">
        <v>3377</v>
      </c>
      <c r="P9" s="980"/>
      <c r="Q9" s="2189"/>
      <c r="R9" s="980"/>
      <c r="S9" s="2189"/>
      <c r="T9" s="980"/>
      <c r="U9" s="2189"/>
      <c r="V9" s="980"/>
      <c r="W9" s="2189"/>
      <c r="X9" s="2190"/>
      <c r="Y9" s="2189"/>
      <c r="Z9" s="980"/>
      <c r="AA9" s="2189"/>
      <c r="AB9" s="980"/>
      <c r="AC9" s="2181" t="s">
        <v>1899</v>
      </c>
      <c r="AD9" s="15" t="s">
        <v>1900</v>
      </c>
      <c r="AE9" s="1297"/>
      <c r="AF9" s="15" t="s">
        <v>1901</v>
      </c>
      <c r="AG9" s="1297"/>
      <c r="AH9" s="15" t="s">
        <v>1900</v>
      </c>
      <c r="AI9" s="1297"/>
      <c r="AJ9" s="15" t="s">
        <v>1901</v>
      </c>
      <c r="AK9" s="1297"/>
      <c r="AL9" s="15" t="s">
        <v>1900</v>
      </c>
      <c r="AM9" s="1297"/>
      <c r="AN9" s="15" t="s">
        <v>1901</v>
      </c>
      <c r="AO9" s="1297"/>
      <c r="AP9" s="15" t="s">
        <v>1900</v>
      </c>
      <c r="AQ9" s="1297"/>
      <c r="AR9" s="15" t="s">
        <v>1901</v>
      </c>
      <c r="AS9" s="2191"/>
      <c r="AT9" s="2180"/>
      <c r="AU9" s="2180" t="s">
        <v>1902</v>
      </c>
      <c r="AV9" s="1291"/>
      <c r="AW9" s="2163"/>
      <c r="AX9" s="1291"/>
      <c r="AY9" s="28"/>
      <c r="AZ9" s="28" t="s">
        <v>1892</v>
      </c>
      <c r="BA9" s="2192" t="s">
        <v>1903</v>
      </c>
      <c r="BB9" s="2193"/>
      <c r="BC9" s="1337"/>
      <c r="BD9" s="1337"/>
      <c r="BE9" s="1337"/>
      <c r="BF9" s="1337"/>
      <c r="BG9" s="1337"/>
      <c r="BH9" s="1337"/>
      <c r="BI9" s="1337"/>
      <c r="BJ9" s="1337"/>
      <c r="BK9" s="2194"/>
      <c r="BL9" s="15" t="s">
        <v>1904</v>
      </c>
      <c r="BM9" s="1817"/>
      <c r="BN9" s="2183"/>
      <c r="BO9" s="1817"/>
      <c r="BP9" s="1817"/>
      <c r="BQ9" s="1817"/>
      <c r="BR9" s="1817"/>
      <c r="BS9" s="1817"/>
      <c r="BT9" s="26"/>
    </row>
    <row r="10" spans="1:72" s="2187" customFormat="1" ht="12.75">
      <c r="A10" s="2180"/>
      <c r="B10" s="2180"/>
      <c r="C10" s="2180"/>
      <c r="D10" s="2180"/>
      <c r="E10" s="2180"/>
      <c r="F10" s="2180"/>
      <c r="G10" s="1291"/>
      <c r="H10" s="28"/>
      <c r="I10" s="2189" t="s">
        <v>27</v>
      </c>
      <c r="J10" s="980"/>
      <c r="K10" s="2195" t="s">
        <v>1377</v>
      </c>
      <c r="L10" s="980"/>
      <c r="M10" s="2195" t="s">
        <v>1377</v>
      </c>
      <c r="N10" s="980"/>
      <c r="O10" s="2195" t="s">
        <v>3376</v>
      </c>
      <c r="P10" s="980"/>
      <c r="Q10" s="2195"/>
      <c r="R10" s="980"/>
      <c r="S10" s="2195"/>
      <c r="T10" s="980"/>
      <c r="U10" s="2195"/>
      <c r="V10" s="980"/>
      <c r="W10" s="2195"/>
      <c r="X10" s="980"/>
      <c r="Y10" s="2195"/>
      <c r="Z10" s="980"/>
      <c r="AA10" s="2195"/>
      <c r="AB10" s="980"/>
      <c r="AC10" s="1291"/>
      <c r="AD10" s="15" t="s">
        <v>1905</v>
      </c>
      <c r="AE10" s="2196"/>
      <c r="AF10" s="15" t="s">
        <v>1905</v>
      </c>
      <c r="AG10" s="2196"/>
      <c r="AH10" s="15" t="s">
        <v>1906</v>
      </c>
      <c r="AI10" s="2196"/>
      <c r="AJ10" s="15" t="s">
        <v>1906</v>
      </c>
      <c r="AK10" s="2196"/>
      <c r="AL10" s="15" t="s">
        <v>1907</v>
      </c>
      <c r="AM10" s="1297"/>
      <c r="AN10" s="15" t="s">
        <v>1907</v>
      </c>
      <c r="AO10" s="1297"/>
      <c r="AP10" s="15" t="s">
        <v>1908</v>
      </c>
      <c r="AQ10" s="1297"/>
      <c r="AR10" s="15" t="s">
        <v>1908</v>
      </c>
      <c r="AS10" s="1297"/>
      <c r="AT10" s="2180"/>
      <c r="AU10" s="2180"/>
      <c r="AV10" s="1291"/>
      <c r="AW10" s="2163"/>
      <c r="AX10" s="1291"/>
      <c r="AY10" s="28"/>
      <c r="AZ10" s="28"/>
      <c r="BA10" s="2197" t="s">
        <v>1899</v>
      </c>
      <c r="BB10" s="2198" t="str">
        <f>I9</f>
        <v>地上</v>
      </c>
      <c r="BC10" s="29" t="str">
        <f>K9</f>
        <v>地上</v>
      </c>
      <c r="BD10" s="29" t="str">
        <f>M9</f>
        <v>地下</v>
      </c>
      <c r="BE10" s="29" t="str">
        <f>O9</f>
        <v>地下</v>
      </c>
      <c r="BF10" s="29">
        <f>Q9</f>
        <v>0</v>
      </c>
      <c r="BG10" s="29">
        <f>S9</f>
        <v>0</v>
      </c>
      <c r="BH10" s="29">
        <f>U9</f>
        <v>0</v>
      </c>
      <c r="BI10" s="29">
        <f>W9</f>
        <v>0</v>
      </c>
      <c r="BJ10" s="29">
        <f>Y9</f>
        <v>0</v>
      </c>
      <c r="BK10" s="29">
        <f>AA9</f>
        <v>0</v>
      </c>
      <c r="BL10" s="25" t="s">
        <v>1899</v>
      </c>
      <c r="BM10" s="1816" t="str">
        <f>AD9</f>
        <v>地上</v>
      </c>
      <c r="BN10" s="29" t="str">
        <f>AF9</f>
        <v>地下</v>
      </c>
      <c r="BO10" s="1816" t="str">
        <f>AH9</f>
        <v>地上</v>
      </c>
      <c r="BP10" s="29" t="str">
        <f>AJ9</f>
        <v>地下</v>
      </c>
      <c r="BQ10" s="1816" t="str">
        <f>AL9</f>
        <v>地上</v>
      </c>
      <c r="BR10" s="29" t="str">
        <f>AN9</f>
        <v>地下</v>
      </c>
      <c r="BS10" s="1816" t="str">
        <f>AP9</f>
        <v>地上</v>
      </c>
      <c r="BT10" s="2199" t="str">
        <f>AR9</f>
        <v>地下</v>
      </c>
    </row>
    <row r="11" spans="1:72" s="2187" customFormat="1" ht="12.75">
      <c r="A11" s="2180"/>
      <c r="B11" s="2180"/>
      <c r="C11" s="2180"/>
      <c r="D11" s="2180"/>
      <c r="E11" s="2180"/>
      <c r="F11" s="2180"/>
      <c r="G11" s="1291"/>
      <c r="H11" s="2197"/>
      <c r="I11" s="2200"/>
      <c r="J11" s="2201"/>
      <c r="K11" s="2200"/>
      <c r="L11" s="2201"/>
      <c r="M11" s="2200"/>
      <c r="N11" s="2201"/>
      <c r="O11" s="2200"/>
      <c r="P11" s="2201"/>
      <c r="Q11" s="2200"/>
      <c r="R11" s="2201"/>
      <c r="S11" s="2200"/>
      <c r="T11" s="2201"/>
      <c r="U11" s="2200"/>
      <c r="V11" s="2201"/>
      <c r="W11" s="2200"/>
      <c r="X11" s="2201"/>
      <c r="Y11" s="2200"/>
      <c r="Z11" s="2201"/>
      <c r="AA11" s="2200"/>
      <c r="AB11" s="2201"/>
      <c r="AC11" s="1291"/>
      <c r="AD11" s="2202" t="s">
        <v>1909</v>
      </c>
      <c r="AE11" s="1818"/>
      <c r="AF11" s="2202" t="s">
        <v>1909</v>
      </c>
      <c r="AG11" s="1818"/>
      <c r="AH11" s="2202" t="s">
        <v>1910</v>
      </c>
      <c r="AI11" s="2203"/>
      <c r="AJ11" s="2202" t="s">
        <v>1910</v>
      </c>
      <c r="AK11" s="1818"/>
      <c r="AL11" s="1816"/>
      <c r="AM11" s="1818"/>
      <c r="AN11" s="1816"/>
      <c r="AO11" s="1818"/>
      <c r="AP11" s="1816"/>
      <c r="AQ11" s="1818"/>
      <c r="AR11" s="1816"/>
      <c r="AS11" s="1818"/>
      <c r="AT11" s="2163"/>
      <c r="AU11" s="2180"/>
      <c r="AV11" s="1291"/>
      <c r="AW11" s="2163"/>
      <c r="AX11" s="1291"/>
      <c r="AY11" s="28"/>
      <c r="AZ11" s="28"/>
      <c r="BA11" s="28"/>
      <c r="BB11" s="2185" t="str">
        <f>I10</f>
        <v>办公</v>
      </c>
      <c r="BC11" s="2185" t="str">
        <f>K10</f>
        <v>商业</v>
      </c>
      <c r="BD11" s="2185" t="str">
        <f>M10</f>
        <v>商业</v>
      </c>
      <c r="BE11" s="2185" t="str">
        <f>O10</f>
        <v>仓储</v>
      </c>
      <c r="BF11" s="2185">
        <f>Q10</f>
        <v>0</v>
      </c>
      <c r="BG11" s="2185">
        <f>S10</f>
        <v>0</v>
      </c>
      <c r="BH11" s="2185">
        <f>U10</f>
        <v>0</v>
      </c>
      <c r="BI11" s="2185">
        <f>W10</f>
        <v>0</v>
      </c>
      <c r="BJ11" s="2185">
        <f>Y10</f>
        <v>0</v>
      </c>
      <c r="BK11" s="2185">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5"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1" t="s">
        <v>1912</v>
      </c>
      <c r="W12" s="11" t="s">
        <v>1911</v>
      </c>
      <c r="X12" s="11" t="s">
        <v>1912</v>
      </c>
      <c r="Y12" s="11" t="s">
        <v>1911</v>
      </c>
      <c r="Z12" s="11" t="s">
        <v>1912</v>
      </c>
      <c r="AA12" s="11" t="s">
        <v>1911</v>
      </c>
      <c r="AB12" s="11" t="s">
        <v>1912</v>
      </c>
      <c r="AC12" s="2207"/>
      <c r="AD12" s="1805"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5" t="s">
        <v>1912</v>
      </c>
      <c r="AT12" s="2208"/>
      <c r="AU12" s="2205"/>
      <c r="AV12" s="31"/>
      <c r="AW12" s="2164"/>
      <c r="AX12" s="31"/>
      <c r="AY12" s="2209"/>
      <c r="AZ12" s="28"/>
      <c r="BA12" s="2197"/>
      <c r="BB12" s="24">
        <f>I11</f>
        <v>0</v>
      </c>
      <c r="BC12" s="2210">
        <f>K11</f>
        <v>0</v>
      </c>
      <c r="BD12" s="2210">
        <f>M11</f>
        <v>0</v>
      </c>
      <c r="BE12" s="2185">
        <f>O11</f>
        <v>0</v>
      </c>
      <c r="BF12" s="2185">
        <f>Q11</f>
        <v>0</v>
      </c>
      <c r="BG12" s="2185">
        <f>S11</f>
        <v>0</v>
      </c>
      <c r="BH12" s="2185">
        <f>U11</f>
        <v>0</v>
      </c>
      <c r="BI12" s="2185">
        <f>W11</f>
        <v>0</v>
      </c>
      <c r="BJ12" s="2185">
        <f>Y11</f>
        <v>0</v>
      </c>
      <c r="BK12" s="2185">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4">
        <f>AR11</f>
        <v>0</v>
      </c>
    </row>
    <row r="13" spans="1:72" s="2165" customFormat="1" ht="12.75">
      <c r="A13" s="1271"/>
      <c r="B13" s="1271"/>
      <c r="C13" s="2976" t="s">
        <v>3103</v>
      </c>
      <c r="D13" s="2211" t="s">
        <v>3102</v>
      </c>
      <c r="E13" s="16">
        <f>IF($C$3="是",ROUND($A$3*G13/$B$3,2),ROUND($A$3*(G13-AT13)/$B$3,2))</f>
        <v>3260.64</v>
      </c>
      <c r="F13" s="32"/>
      <c r="G13" s="33">
        <f>H13+AC13+AT13</f>
        <v>14974.55</v>
      </c>
      <c r="H13" s="20">
        <f>SUMIF(I$12:AB$12,"总值",I13:AB13)</f>
        <v>14974.55</v>
      </c>
      <c r="I13" s="2212">
        <v>14974.55</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办公</v>
      </c>
      <c r="AY13" s="1805">
        <f>ROUND($AY$6*AZ13/$AZ$5,2)</f>
        <v>3260.64</v>
      </c>
      <c r="AZ13" s="16">
        <f>BA13+BL13</f>
        <v>14974.55</v>
      </c>
      <c r="BA13" s="16">
        <f>SUM(BB13:BK13)</f>
        <v>14974.55</v>
      </c>
      <c r="BB13" s="16">
        <f>IF($D13="是",I13-J13,0)</f>
        <v>14974.55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1"/>
      <c r="B14" s="1271"/>
      <c r="C14" s="2998"/>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1"/>
      <c r="B15" s="1271"/>
      <c r="C15" s="2998"/>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1"/>
      <c r="B16" s="1271"/>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1"/>
      <c r="B17" s="1271"/>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7" t="s">
        <v>0</v>
      </c>
      <c r="B1" s="3097" t="s">
        <v>4</v>
      </c>
      <c r="C1" s="3097" t="s">
        <v>5</v>
      </c>
      <c r="D1" s="3098" t="s">
        <v>53</v>
      </c>
      <c r="E1" s="3098" t="s">
        <v>54</v>
      </c>
      <c r="F1" s="3098"/>
      <c r="G1" s="3098"/>
      <c r="H1" s="3098"/>
      <c r="I1" s="3098"/>
      <c r="J1" s="3098"/>
      <c r="K1" s="3098"/>
      <c r="L1" s="3098"/>
      <c r="M1" s="3098"/>
    </row>
    <row r="2" spans="1:13" ht="27" customHeight="1">
      <c r="A2" s="3097"/>
      <c r="B2" s="3097"/>
      <c r="C2" s="3097"/>
      <c r="D2" s="3098"/>
      <c r="E2" s="3098" t="s">
        <v>37</v>
      </c>
      <c r="F2" s="3098" t="s">
        <v>38</v>
      </c>
      <c r="G2" s="3098"/>
      <c r="H2" s="3098"/>
      <c r="I2" s="3098"/>
      <c r="J2" s="3098" t="s">
        <v>39</v>
      </c>
      <c r="K2" s="3098"/>
      <c r="L2" s="3098"/>
      <c r="M2" s="3098"/>
    </row>
    <row r="3" spans="1:13" ht="28.5">
      <c r="A3" s="3097"/>
      <c r="B3" s="3097"/>
      <c r="C3" s="3097"/>
      <c r="D3" s="3098"/>
      <c r="E3" s="309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8" t="s">
        <v>55</v>
      </c>
      <c r="B9" s="3098"/>
      <c r="C9" s="309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3" sqref="G23"/>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1938</v>
      </c>
      <c r="B1" s="1391"/>
      <c r="C1" s="1391"/>
      <c r="D1" s="1391"/>
      <c r="E1" s="1391"/>
      <c r="F1" s="1391"/>
      <c r="G1" s="1391"/>
      <c r="H1" s="1391"/>
      <c r="I1" s="1391"/>
      <c r="J1" s="1391"/>
      <c r="K1" s="1391"/>
      <c r="L1" s="1391"/>
      <c r="M1" s="1391"/>
      <c r="N1" s="1391"/>
      <c r="O1" s="1391"/>
      <c r="P1" s="1391"/>
    </row>
    <row r="2" spans="1:16" ht="15">
      <c r="A2" s="3108" t="s">
        <v>1939</v>
      </c>
      <c r="B2" s="3108"/>
      <c r="C2" s="3108"/>
      <c r="D2" s="966" t="s">
        <v>1915</v>
      </c>
      <c r="E2" s="2225" t="s">
        <v>1916</v>
      </c>
      <c r="F2" s="1391"/>
      <c r="G2" s="2226"/>
      <c r="H2" s="2227"/>
      <c r="I2" s="2228" t="s">
        <v>1940</v>
      </c>
      <c r="J2" s="1391"/>
      <c r="K2" s="1391"/>
      <c r="L2" s="1391"/>
      <c r="M2" s="1391"/>
      <c r="N2" s="1426"/>
      <c r="O2" s="1391"/>
      <c r="P2" s="1391"/>
    </row>
    <row r="3" spans="1:16" ht="15.75" thickBot="1">
      <c r="A3" s="3109" t="s">
        <v>1913</v>
      </c>
      <c r="B3" s="3109"/>
      <c r="C3" s="3109"/>
      <c r="D3" s="46">
        <f>'数据-基础表'!AY6</f>
        <v>3260.64</v>
      </c>
      <c r="E3" s="46">
        <f>'数据-基础表'!AZ5</f>
        <v>14974.55</v>
      </c>
      <c r="F3" s="1391"/>
      <c r="G3" s="1398"/>
      <c r="H3" s="1246" t="s">
        <v>1914</v>
      </c>
      <c r="I3" s="55">
        <f>ROUND('数据-基础表'!B3/'数据-基础表'!A3,2)</f>
        <v>4.59</v>
      </c>
      <c r="J3" s="1391"/>
      <c r="K3" s="1391"/>
      <c r="L3" s="1391"/>
      <c r="M3" s="1391"/>
      <c r="N3" s="1426"/>
      <c r="O3" s="1391"/>
      <c r="P3" s="1391"/>
    </row>
    <row r="4" spans="1:16" ht="15">
      <c r="A4" s="3110"/>
      <c r="B4" s="3111"/>
      <c r="C4" s="3112"/>
      <c r="D4" s="2229" t="s">
        <v>1915</v>
      </c>
      <c r="E4" s="2230" t="s">
        <v>1916</v>
      </c>
      <c r="F4" s="1391"/>
      <c r="G4" s="2231" t="s">
        <v>1941</v>
      </c>
      <c r="H4" s="1246" t="s">
        <v>1921</v>
      </c>
      <c r="I4" s="55">
        <f>ROUND(SUMIF('数据-基础表'!I9:AS9,"地上",'数据-基础表'!I5:AS5)/'数据-基础表'!A3,2)</f>
        <v>4.59</v>
      </c>
      <c r="J4" s="1391"/>
      <c r="K4" s="1391"/>
      <c r="L4" s="1391"/>
      <c r="M4" s="1391"/>
      <c r="N4" s="1426"/>
      <c r="O4" s="1391"/>
      <c r="P4" s="1391"/>
    </row>
    <row r="5" spans="1:16">
      <c r="A5" s="47" t="s">
        <v>1917</v>
      </c>
      <c r="B5" s="3113" t="s">
        <v>1918</v>
      </c>
      <c r="C5" s="3113"/>
      <c r="D5" s="48">
        <f>ROUND($D$3*E5/$E$3,2)</f>
        <v>0</v>
      </c>
      <c r="E5" s="49">
        <f>SUMIF('数据-基础表'!$11:$11,"住宅",'数据-基础表'!$5:$5)</f>
        <v>0</v>
      </c>
      <c r="F5" s="1391"/>
      <c r="G5" s="1398"/>
      <c r="H5" s="1246" t="s">
        <v>1914</v>
      </c>
      <c r="I5" s="55">
        <f>ROUND(E31/D31,2)</f>
        <v>4.59</v>
      </c>
      <c r="J5" s="1391"/>
      <c r="K5" s="1391"/>
      <c r="L5" s="1391"/>
      <c r="M5" s="1391"/>
      <c r="N5" s="1391"/>
      <c r="O5" s="1391"/>
      <c r="P5" s="1391"/>
    </row>
    <row r="6" spans="1:16" ht="15" thickBot="1">
      <c r="A6" s="2232"/>
      <c r="B6" s="3113" t="s">
        <v>1919</v>
      </c>
      <c r="C6" s="3113"/>
      <c r="D6" s="48">
        <f>ROUND($D$3*E6/$E$3,2)</f>
        <v>3260.64</v>
      </c>
      <c r="E6" s="49">
        <f>E3-E5</f>
        <v>14974.55</v>
      </c>
      <c r="F6" s="1391"/>
      <c r="G6" s="2233" t="s">
        <v>1920</v>
      </c>
      <c r="H6" s="1398" t="s">
        <v>1921</v>
      </c>
      <c r="I6" s="938">
        <f>ROUND(F31/D31,2)</f>
        <v>4.59</v>
      </c>
      <c r="J6" s="1391"/>
      <c r="K6" s="1391"/>
      <c r="L6" s="1391"/>
      <c r="M6" s="1391"/>
      <c r="N6" s="1391"/>
      <c r="O6" s="1391"/>
      <c r="P6" s="1391"/>
    </row>
    <row r="7" spans="1:16" ht="15">
      <c r="A7" s="3105"/>
      <c r="B7" s="3106"/>
      <c r="C7" s="3107"/>
      <c r="D7" s="2229" t="s">
        <v>1915</v>
      </c>
      <c r="E7" s="2234" t="s">
        <v>1922</v>
      </c>
      <c r="F7" s="1391"/>
      <c r="G7" s="2226" t="s">
        <v>1923</v>
      </c>
      <c r="H7" s="64"/>
      <c r="I7" s="419">
        <v>4.5999999999999996</v>
      </c>
      <c r="J7" s="1391"/>
      <c r="K7" s="1391"/>
      <c r="L7" s="1391"/>
      <c r="M7" s="1391"/>
      <c r="N7" s="1391"/>
      <c r="O7" s="1391"/>
      <c r="P7" s="1391"/>
    </row>
    <row r="8" spans="1:16">
      <c r="A8" s="47" t="s">
        <v>1924</v>
      </c>
      <c r="B8" s="50" t="s">
        <v>1925</v>
      </c>
      <c r="C8" s="48" t="s">
        <v>1926</v>
      </c>
      <c r="D8" s="48">
        <f t="shared" ref="D8:D15" si="0">ROUND($D$3*E8/$E$3,2)</f>
        <v>3260.64</v>
      </c>
      <c r="E8" s="51">
        <f>SUMIF('数据-基础表'!BB10:BK10,"地上",'数据-基础表'!BB5:BK5)</f>
        <v>14974.55</v>
      </c>
      <c r="F8" s="1391"/>
      <c r="G8" s="2235"/>
      <c r="H8" s="2235"/>
      <c r="I8" s="1391"/>
      <c r="J8" s="1391"/>
      <c r="K8" s="1391"/>
      <c r="L8" s="1391"/>
      <c r="M8" s="1391"/>
      <c r="N8" s="1391"/>
      <c r="O8" s="1391"/>
      <c r="P8" s="1391"/>
    </row>
    <row r="9" spans="1:16">
      <c r="A9" s="2236"/>
      <c r="B9" s="2237"/>
      <c r="C9" s="48" t="s">
        <v>1927</v>
      </c>
      <c r="D9" s="48">
        <f t="shared" si="0"/>
        <v>0</v>
      </c>
      <c r="E9" s="52">
        <v>0</v>
      </c>
      <c r="F9" s="1391"/>
      <c r="G9" s="2235"/>
      <c r="H9" s="2235"/>
      <c r="I9" s="1391"/>
      <c r="J9" s="1391"/>
      <c r="K9" s="1391"/>
      <c r="L9" s="1391"/>
      <c r="M9" s="1391"/>
      <c r="N9" s="1391"/>
      <c r="O9" s="1391"/>
      <c r="P9" s="1391"/>
    </row>
    <row r="10" spans="1:16">
      <c r="A10" s="2236"/>
      <c r="B10" s="2237"/>
      <c r="C10" s="48" t="s">
        <v>1936</v>
      </c>
      <c r="D10" s="48">
        <f t="shared" si="0"/>
        <v>0</v>
      </c>
      <c r="E10" s="51">
        <f>SUMPRODUCT(('数据-基础表'!BB10:BK10="地下")*('数据-基础表'!BB11:BK11="商业")*('数据-基础表'!BB5:BK5))</f>
        <v>0</v>
      </c>
      <c r="F10" s="1391"/>
      <c r="G10" s="2235"/>
      <c r="H10" s="2235"/>
      <c r="I10" s="1391"/>
      <c r="J10" s="1391"/>
      <c r="K10" s="1391"/>
      <c r="L10" s="1391"/>
      <c r="M10" s="1391"/>
      <c r="N10" s="1391"/>
      <c r="O10" s="1391"/>
      <c r="P10" s="1391"/>
    </row>
    <row r="11" spans="1:16">
      <c r="A11" s="2236"/>
      <c r="B11" s="2237"/>
      <c r="C11" s="48" t="s">
        <v>1928</v>
      </c>
      <c r="D11" s="48">
        <f t="shared" si="0"/>
        <v>0</v>
      </c>
      <c r="E11" s="51">
        <f>SUMPRODUCT(('数据-基础表'!BB10:BK10="地下")*('数据-基础表'!BB11:BK11="办公")*('数据-基础表'!BB5:BK5))+'数据-基础表'!BP5</f>
        <v>0</v>
      </c>
      <c r="F11" s="1391"/>
      <c r="G11" s="2235"/>
      <c r="H11" s="2235"/>
      <c r="I11" s="1391"/>
      <c r="J11" s="1391"/>
      <c r="K11" s="1391"/>
      <c r="L11" s="1391"/>
      <c r="M11" s="1391"/>
      <c r="N11" s="1391"/>
      <c r="O11" s="1391"/>
      <c r="P11" s="1391"/>
    </row>
    <row r="12" spans="1:16">
      <c r="A12" s="2236"/>
      <c r="B12" s="2237"/>
      <c r="C12" s="48" t="s">
        <v>1929</v>
      </c>
      <c r="D12" s="48">
        <f t="shared" si="0"/>
        <v>0</v>
      </c>
      <c r="E12" s="51">
        <f>SUMPRODUCT(('数据-基础表'!BB10:BK10="地下")*('数据-基础表'!BB11:BK11="仓储")*('数据-基础表'!BB5:BK5))</f>
        <v>0</v>
      </c>
      <c r="F12" s="1391"/>
      <c r="G12" s="2235"/>
      <c r="H12" s="2235"/>
      <c r="I12" s="1391"/>
      <c r="J12" s="1391"/>
      <c r="K12" s="1391"/>
      <c r="L12" s="1391"/>
      <c r="M12" s="1391"/>
      <c r="N12" s="1391"/>
      <c r="O12" s="1391"/>
      <c r="P12" s="1391"/>
    </row>
    <row r="13" spans="1:16">
      <c r="A13" s="2236"/>
      <c r="B13" s="2237"/>
      <c r="C13" s="48" t="s">
        <v>1930</v>
      </c>
      <c r="D13" s="48">
        <f t="shared" si="0"/>
        <v>0</v>
      </c>
      <c r="E13" s="51">
        <f>SUMPRODUCT(('数据-基础表'!BB10:BK10="地下")*('数据-基础表'!BB11:BK11="车库")*('数据-基础表'!BB5:BK5))</f>
        <v>0</v>
      </c>
      <c r="F13" s="1391"/>
      <c r="G13" s="2235"/>
      <c r="H13" s="2235"/>
      <c r="I13" s="1391"/>
      <c r="J13" s="1391"/>
      <c r="K13" s="1391"/>
      <c r="L13" s="1391"/>
      <c r="M13" s="1391"/>
      <c r="N13" s="1391"/>
      <c r="O13" s="1391"/>
      <c r="P13" s="1391"/>
    </row>
    <row r="14" spans="1:16">
      <c r="A14" s="2236"/>
      <c r="B14" s="2237"/>
      <c r="C14" s="48" t="s">
        <v>1942</v>
      </c>
      <c r="D14" s="48">
        <f t="shared" si="0"/>
        <v>0</v>
      </c>
      <c r="E14" s="51">
        <f>SUMPRODUCT(('数据-基础表'!BB10:BK10="地下")*('数据-基础表'!BB11:BK11="车库—商业")*('数据-基础表'!BB5:BK5))</f>
        <v>0</v>
      </c>
      <c r="F14" s="1391"/>
      <c r="G14" s="2235"/>
      <c r="H14" s="2235"/>
      <c r="I14" s="1391"/>
      <c r="J14" s="1391"/>
      <c r="K14" s="1391"/>
      <c r="L14" s="1391"/>
      <c r="M14" s="1391"/>
      <c r="N14" s="1391"/>
      <c r="O14" s="1391"/>
      <c r="P14" s="1391"/>
    </row>
    <row r="15" spans="1:16" ht="15" thickBot="1">
      <c r="A15" s="2236"/>
      <c r="B15" s="2237"/>
      <c r="C15" s="48" t="s">
        <v>1937</v>
      </c>
      <c r="D15" s="48">
        <f t="shared" si="0"/>
        <v>0</v>
      </c>
      <c r="E15" s="51">
        <f>SUMPRODUCT(('数据-基础表'!BB10:BK10="地下")*('数据-基础表'!BB11:BK11="车库—办公")*('数据-基础表'!BB5:BK5))</f>
        <v>0</v>
      </c>
      <c r="F15" s="1391"/>
      <c r="G15" s="2235"/>
      <c r="H15" s="2235"/>
      <c r="I15" s="1391"/>
      <c r="J15" s="1391"/>
      <c r="K15" s="1391"/>
      <c r="L15" s="1391"/>
      <c r="M15" s="1391"/>
      <c r="N15" s="1391"/>
      <c r="O15" s="1391"/>
      <c r="P15" s="1391"/>
    </row>
    <row r="16" spans="1:16" ht="15.75" thickBot="1">
      <c r="A16" s="2232"/>
      <c r="B16" s="2237"/>
      <c r="C16" s="50" t="s">
        <v>1931</v>
      </c>
      <c r="D16" s="50">
        <f>SUM(D8:D15)</f>
        <v>3260.64</v>
      </c>
      <c r="E16" s="53">
        <f>SUM(E8:E15)</f>
        <v>14974.55</v>
      </c>
      <c r="F16" s="1391"/>
      <c r="G16" s="2235"/>
      <c r="H16" s="2238" t="s">
        <v>1943</v>
      </c>
      <c r="I16" s="2239"/>
      <c r="J16" s="1391"/>
      <c r="K16" s="3102" t="s">
        <v>1943</v>
      </c>
      <c r="L16" s="3103"/>
      <c r="M16" s="3103"/>
      <c r="N16" s="3103"/>
      <c r="O16" s="3103"/>
      <c r="P16" s="3104"/>
    </row>
    <row r="17" spans="1:19" ht="15">
      <c r="A17" s="2240" t="s">
        <v>1944</v>
      </c>
      <c r="B17" s="2241" t="s">
        <v>1945</v>
      </c>
      <c r="C17" s="2242" t="s">
        <v>1946</v>
      </c>
      <c r="D17" s="2243" t="s">
        <v>1934</v>
      </c>
      <c r="E17" s="2244" t="s">
        <v>1935</v>
      </c>
      <c r="F17" s="2245"/>
      <c r="G17" s="2246"/>
      <c r="H17" s="2247" t="s">
        <v>1947</v>
      </c>
      <c r="I17" s="2248" t="s">
        <v>1932</v>
      </c>
      <c r="J17" s="1391"/>
      <c r="K17" s="3099" t="s">
        <v>1948</v>
      </c>
      <c r="L17" s="3100"/>
      <c r="M17" s="3101"/>
      <c r="N17" s="3099" t="s">
        <v>1949</v>
      </c>
      <c r="O17" s="3100"/>
      <c r="P17" s="3101"/>
      <c r="R17" s="2226" t="s">
        <v>1950</v>
      </c>
      <c r="S17" s="64"/>
    </row>
    <row r="18" spans="1:19" ht="15">
      <c r="A18" s="2236"/>
      <c r="B18" s="2249"/>
      <c r="C18" s="2250"/>
      <c r="D18" s="2251"/>
      <c r="E18" s="2252" t="s">
        <v>1951</v>
      </c>
      <c r="F18" s="2253" t="s">
        <v>1952</v>
      </c>
      <c r="G18" s="2254" t="s">
        <v>1953</v>
      </c>
      <c r="H18" s="1261" t="s">
        <v>1954</v>
      </c>
      <c r="I18" s="2255" t="s">
        <v>1955</v>
      </c>
      <c r="J18" s="1391"/>
      <c r="K18" s="1261" t="s">
        <v>1956</v>
      </c>
      <c r="L18" s="2256" t="s">
        <v>1957</v>
      </c>
      <c r="M18" s="1045" t="s">
        <v>1958</v>
      </c>
      <c r="N18" s="1261" t="s">
        <v>1956</v>
      </c>
      <c r="O18" s="2256" t="s">
        <v>1957</v>
      </c>
      <c r="P18" s="1045" t="s">
        <v>1958</v>
      </c>
      <c r="R18" s="1246" t="s">
        <v>1959</v>
      </c>
      <c r="S18" s="1246" t="s">
        <v>1960</v>
      </c>
    </row>
    <row r="19" spans="1:19">
      <c r="A19" s="2257"/>
      <c r="B19" s="50" t="s">
        <v>1933</v>
      </c>
      <c r="C19" s="2975" t="s">
        <v>3101</v>
      </c>
      <c r="D19" s="48">
        <f>ROUND($D$3*E19/$E$3,2)</f>
        <v>3260.64</v>
      </c>
      <c r="E19" s="56">
        <f t="shared" ref="E19:E26" si="1">SUM(F19:G19)</f>
        <v>14974.55</v>
      </c>
      <c r="F19" s="57">
        <f>'数据-基础表'!I5</f>
        <v>14974.55</v>
      </c>
      <c r="G19" s="58"/>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58"/>
      <c r="O19" s="2259"/>
      <c r="P19" s="1402">
        <f>N19+O19</f>
        <v>0</v>
      </c>
      <c r="R19" s="1246">
        <f t="shared" ref="R19:S26" si="5">D19+H19</f>
        <v>3260.64</v>
      </c>
      <c r="S19" s="1247">
        <f t="shared" si="5"/>
        <v>14974.55</v>
      </c>
    </row>
    <row r="20" spans="1:19">
      <c r="A20" s="2260"/>
      <c r="B20" s="50" t="s">
        <v>1961</v>
      </c>
      <c r="C20" s="2975"/>
      <c r="D20" s="48">
        <f t="shared" ref="D20:D26" si="6">ROUND($D$3*E20/$E$3,2)</f>
        <v>0</v>
      </c>
      <c r="E20" s="56">
        <f t="shared" si="1"/>
        <v>0</v>
      </c>
      <c r="F20" s="57"/>
      <c r="G20" s="58"/>
      <c r="H20" s="722">
        <f t="shared" ref="H20:H26" si="7">ROUND($D$3*I20/$E$3,2)</f>
        <v>0</v>
      </c>
      <c r="I20" s="51">
        <f t="shared" si="2"/>
        <v>0</v>
      </c>
      <c r="J20" s="1391"/>
      <c r="K20" s="1390">
        <f t="shared" si="3"/>
        <v>0</v>
      </c>
      <c r="L20" s="1246">
        <f t="shared" si="4"/>
        <v>0</v>
      </c>
      <c r="M20" s="1402">
        <f t="shared" ref="M20:M26" si="8">K20+L20</f>
        <v>0</v>
      </c>
      <c r="N20" s="2258"/>
      <c r="O20" s="2259"/>
      <c r="P20" s="1402">
        <f t="shared" ref="P20:P26" si="9">N20+O20</f>
        <v>0</v>
      </c>
      <c r="R20" s="1246">
        <f t="shared" si="5"/>
        <v>0</v>
      </c>
      <c r="S20" s="1247">
        <f t="shared" si="5"/>
        <v>0</v>
      </c>
    </row>
    <row r="21" spans="1:19">
      <c r="A21" s="2260"/>
      <c r="B21" s="50" t="s">
        <v>1961</v>
      </c>
      <c r="C21" s="2975"/>
      <c r="D21" s="48">
        <f t="shared" si="6"/>
        <v>0</v>
      </c>
      <c r="E21" s="56">
        <f t="shared" si="1"/>
        <v>0</v>
      </c>
      <c r="F21" s="57"/>
      <c r="G21" s="58"/>
      <c r="H21" s="722">
        <f t="shared" si="7"/>
        <v>0</v>
      </c>
      <c r="I21" s="51">
        <f t="shared" si="2"/>
        <v>0</v>
      </c>
      <c r="J21" s="1391"/>
      <c r="K21" s="1390">
        <f t="shared" si="3"/>
        <v>0</v>
      </c>
      <c r="L21" s="1246">
        <f t="shared" si="4"/>
        <v>0</v>
      </c>
      <c r="M21" s="1402">
        <f t="shared" si="8"/>
        <v>0</v>
      </c>
      <c r="N21" s="2258"/>
      <c r="O21" s="2259"/>
      <c r="P21" s="1402">
        <f t="shared" si="9"/>
        <v>0</v>
      </c>
      <c r="R21" s="1246">
        <f t="shared" si="5"/>
        <v>0</v>
      </c>
      <c r="S21" s="1247">
        <f t="shared" si="5"/>
        <v>0</v>
      </c>
    </row>
    <row r="22" spans="1:19">
      <c r="A22" s="2260"/>
      <c r="B22" s="50" t="s">
        <v>1961</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8"/>
      <c r="O22" s="2259"/>
      <c r="P22" s="1402">
        <f t="shared" si="9"/>
        <v>0</v>
      </c>
      <c r="R22" s="1246">
        <f t="shared" si="5"/>
        <v>0</v>
      </c>
      <c r="S22" s="1247">
        <f t="shared" si="5"/>
        <v>0</v>
      </c>
    </row>
    <row r="23" spans="1:19">
      <c r="A23" s="2260"/>
      <c r="B23" s="50" t="s">
        <v>1961</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8"/>
      <c r="O23" s="2259"/>
      <c r="P23" s="1402">
        <f t="shared" si="9"/>
        <v>0</v>
      </c>
      <c r="R23" s="1246">
        <f t="shared" si="5"/>
        <v>0</v>
      </c>
      <c r="S23" s="1247">
        <f t="shared" si="5"/>
        <v>0</v>
      </c>
    </row>
    <row r="24" spans="1:19">
      <c r="A24" s="2260"/>
      <c r="B24" s="50" t="s">
        <v>1961</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8"/>
      <c r="O24" s="2259"/>
      <c r="P24" s="1402">
        <f t="shared" si="9"/>
        <v>0</v>
      </c>
      <c r="R24" s="1246">
        <f t="shared" si="5"/>
        <v>0</v>
      </c>
      <c r="S24" s="1247">
        <f t="shared" si="5"/>
        <v>0</v>
      </c>
    </row>
    <row r="25" spans="1:19">
      <c r="A25" s="2260"/>
      <c r="B25" s="50" t="s">
        <v>1961</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8"/>
      <c r="O25" s="2259"/>
      <c r="P25" s="1402">
        <f t="shared" si="9"/>
        <v>0</v>
      </c>
      <c r="R25" s="1246">
        <f t="shared" si="5"/>
        <v>0</v>
      </c>
      <c r="S25" s="1247">
        <f t="shared" si="5"/>
        <v>0</v>
      </c>
    </row>
    <row r="26" spans="1:19">
      <c r="A26" s="2260"/>
      <c r="B26" s="50" t="s">
        <v>1961</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1"/>
      <c r="O26" s="2262"/>
      <c r="P26" s="67">
        <f t="shared" si="9"/>
        <v>0</v>
      </c>
      <c r="R26" s="1246">
        <f t="shared" si="5"/>
        <v>0</v>
      </c>
      <c r="S26" s="1247">
        <f t="shared" si="5"/>
        <v>0</v>
      </c>
    </row>
    <row r="27" spans="1:19" ht="15.75" thickBot="1">
      <c r="A27" s="2260"/>
      <c r="B27" s="48"/>
      <c r="C27" s="2263" t="s">
        <v>1962</v>
      </c>
      <c r="D27" s="1392">
        <f>SUM(D19:D26)</f>
        <v>3260.64</v>
      </c>
      <c r="E27" s="1393">
        <f>IF(SUM(E19:E26)='数据-基础表'!BA5,SUM(E19:E26),IF(F27="地上面积有误","面积有误","地下面积有误"))</f>
        <v>14974.55</v>
      </c>
      <c r="F27" s="1392">
        <f>IF(SUM(F19:F26)=E8,SUM(F19:F26),"地上面积有误")</f>
        <v>14974.55</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3260.64</v>
      </c>
      <c r="S27" s="1246">
        <f>IF(SUM(S19:S26)=$E$3,SUM(S19:S26),SUM(S19:S26)&amp;"误差"&amp;ROUND(SUM(S19:S26)-E3,2))</f>
        <v>14974.55</v>
      </c>
    </row>
    <row r="28" spans="1:19">
      <c r="A28" s="2260"/>
      <c r="B28" s="50" t="s">
        <v>1963</v>
      </c>
      <c r="C28" s="1258" t="s">
        <v>1964</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0"/>
      <c r="B29" s="50" t="s">
        <v>1963</v>
      </c>
      <c r="C29" s="2264" t="s">
        <v>1965</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0"/>
      <c r="B30" s="50"/>
      <c r="C30" s="2265" t="s">
        <v>1962</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6"/>
      <c r="B31" s="2267"/>
      <c r="C31" s="1006" t="s">
        <v>1966</v>
      </c>
      <c r="D31" s="728">
        <f>D27+D30</f>
        <v>3260.64</v>
      </c>
      <c r="E31" s="728">
        <f>E27+E30</f>
        <v>14974.55</v>
      </c>
      <c r="F31" s="729">
        <f>F27+F30</f>
        <v>14974.55</v>
      </c>
      <c r="G31" s="730">
        <f>G27+G30</f>
        <v>0</v>
      </c>
      <c r="H31" s="1391"/>
      <c r="I31" s="1391"/>
      <c r="J31" s="1391"/>
      <c r="K31" s="1391"/>
      <c r="L31" s="1391"/>
      <c r="M31" s="1391"/>
      <c r="N31" s="1391"/>
      <c r="O31" s="1391"/>
      <c r="P31" s="1391"/>
    </row>
    <row r="32" spans="1:19">
      <c r="A32" s="2231"/>
      <c r="B32" s="2231" t="s">
        <v>1967</v>
      </c>
      <c r="C32" s="2231"/>
      <c r="D32" s="2231"/>
      <c r="E32" s="1273">
        <f>SUMIF(C19:C26,"*住宅*",E19:E26)</f>
        <v>0</v>
      </c>
      <c r="F32" s="2231"/>
      <c r="G32" s="2231"/>
      <c r="H32" s="1391"/>
      <c r="I32" s="1391"/>
      <c r="J32" s="1391"/>
      <c r="K32" s="1391"/>
      <c r="L32" s="1391"/>
      <c r="M32" s="1391"/>
      <c r="N32" s="1391"/>
      <c r="O32" s="1391"/>
      <c r="P32" s="1391"/>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7" priority="1" stopIfTrue="1" operator="containsText" text="面积有误">
      <formula>NOT(ISERROR(SEARCH("面积有误",E27)))</formula>
    </cfRule>
    <cfRule type="cellIs" dxfId="206" priority="3" stopIfTrue="1" operator="equal">
      <formula>"地下面积有误"</formula>
    </cfRule>
  </conditionalFormatting>
  <conditionalFormatting sqref="F27">
    <cfRule type="cellIs" dxfId="20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Y6" activePane="bottomRight" state="frozen"/>
      <selection activeCell="C50" sqref="C50"/>
      <selection pane="topRight" activeCell="C50" sqref="C50"/>
      <selection pane="bottomLeft" activeCell="C50" sqref="C50"/>
      <selection pane="bottomRight" activeCell="F30" sqref="F30"/>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7"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1968</v>
      </c>
      <c r="B1" s="731"/>
      <c r="C1" s="1580"/>
      <c r="D1" s="2270"/>
      <c r="E1" s="1580"/>
      <c r="F1" s="1580"/>
      <c r="G1" s="1580"/>
      <c r="H1" s="1580"/>
      <c r="I1" s="1580"/>
      <c r="J1" s="1580"/>
      <c r="K1" s="167"/>
      <c r="L1" s="167"/>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3" t="s">
        <v>1969</v>
      </c>
      <c r="B2" s="1265">
        <f>项目基本情况!D3</f>
        <v>43252</v>
      </c>
      <c r="C2" s="2274"/>
      <c r="D2" s="2275"/>
      <c r="E2" s="2274"/>
      <c r="F2" s="2274"/>
      <c r="G2" s="2274"/>
      <c r="H2" s="2274"/>
      <c r="I2" s="2274"/>
      <c r="J2" s="2274"/>
      <c r="K2" s="1426"/>
      <c r="L2" s="1426"/>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0" customFormat="1" ht="15" thickBot="1">
      <c r="A3" s="2028"/>
      <c r="B3" s="2277"/>
      <c r="C3" s="2274"/>
      <c r="D3" s="2275"/>
      <c r="E3" s="2274"/>
      <c r="F3" s="2274"/>
      <c r="G3" s="2274"/>
      <c r="H3" s="2274"/>
      <c r="I3" s="2274"/>
      <c r="J3" s="2274"/>
      <c r="K3" s="1426"/>
      <c r="L3" s="1426"/>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0" customFormat="1" ht="15" thickBot="1">
      <c r="A4" s="68" t="s">
        <v>1970</v>
      </c>
      <c r="B4" s="2278"/>
      <c r="C4" s="2279"/>
      <c r="D4" s="2280"/>
      <c r="E4" s="2279" t="s">
        <v>1971</v>
      </c>
      <c r="F4" s="2279"/>
      <c r="G4" s="2279"/>
      <c r="H4" s="2279"/>
      <c r="I4" s="2279"/>
      <c r="J4" s="2281"/>
      <c r="K4" s="2282"/>
      <c r="L4" s="2283"/>
      <c r="M4" s="2279"/>
      <c r="N4" s="2279" t="s">
        <v>1972</v>
      </c>
      <c r="O4" s="2279"/>
      <c r="P4" s="2279"/>
      <c r="Q4" s="2279"/>
      <c r="R4" s="2279"/>
      <c r="S4" s="2281"/>
      <c r="T4" s="2284" t="str">
        <f>'数据-汇总表'!I17</f>
        <v>按面积比例</v>
      </c>
      <c r="U4" s="2278" t="s">
        <v>1973</v>
      </c>
      <c r="V4" s="2279"/>
      <c r="W4" s="2279"/>
      <c r="X4" s="2279"/>
      <c r="Y4" s="2281"/>
      <c r="Z4" s="2242" t="s">
        <v>1974</v>
      </c>
      <c r="AA4" s="2242"/>
      <c r="AB4" s="2242"/>
      <c r="AC4" s="2242"/>
      <c r="AD4" s="2242"/>
      <c r="AE4" s="2240" t="s">
        <v>1975</v>
      </c>
      <c r="AF4" s="2242"/>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1" customFormat="1" ht="42">
      <c r="A5" s="2286" t="s">
        <v>1976</v>
      </c>
      <c r="B5" s="2287" t="s">
        <v>1977</v>
      </c>
      <c r="C5" s="2288" t="s">
        <v>1978</v>
      </c>
      <c r="D5" s="2289" t="s">
        <v>1979</v>
      </c>
      <c r="E5" s="1267" t="s">
        <v>1980</v>
      </c>
      <c r="F5" s="2290" t="s">
        <v>1981</v>
      </c>
      <c r="G5" s="1267" t="s">
        <v>1982</v>
      </c>
      <c r="H5" s="1267" t="s">
        <v>1983</v>
      </c>
      <c r="I5" s="1267" t="s">
        <v>1984</v>
      </c>
      <c r="J5" s="2291" t="s">
        <v>1985</v>
      </c>
      <c r="K5" s="2292" t="s">
        <v>1986</v>
      </c>
      <c r="L5" s="2293" t="s">
        <v>1987</v>
      </c>
      <c r="M5" s="2294" t="s">
        <v>1988</v>
      </c>
      <c r="N5" s="2295" t="s">
        <v>3105</v>
      </c>
      <c r="O5" s="2293" t="s">
        <v>1989</v>
      </c>
      <c r="P5" s="2296" t="s">
        <v>1990</v>
      </c>
      <c r="Q5" s="69" t="s">
        <v>1991</v>
      </c>
      <c r="R5" s="2297" t="s">
        <v>1992</v>
      </c>
      <c r="S5" s="2298" t="s">
        <v>1993</v>
      </c>
      <c r="T5" s="2299" t="s">
        <v>1994</v>
      </c>
      <c r="U5" s="1266" t="s">
        <v>1995</v>
      </c>
      <c r="V5" s="1267" t="s">
        <v>1996</v>
      </c>
      <c r="W5" s="1267" t="s">
        <v>1997</v>
      </c>
      <c r="X5" s="71"/>
      <c r="Y5" s="70" t="s">
        <v>1998</v>
      </c>
      <c r="Z5" s="2300" t="s">
        <v>1995</v>
      </c>
      <c r="AA5" s="1267" t="s">
        <v>1996</v>
      </c>
      <c r="AB5" s="1267" t="s">
        <v>1997</v>
      </c>
      <c r="AC5" s="71"/>
      <c r="AD5" s="71" t="s">
        <v>1998</v>
      </c>
      <c r="AE5" s="1266" t="s">
        <v>1999</v>
      </c>
      <c r="AF5" s="1267" t="s">
        <v>2000</v>
      </c>
      <c r="AG5" s="70" t="s">
        <v>2001</v>
      </c>
      <c r="AH5" s="1266" t="s">
        <v>2002</v>
      </c>
      <c r="AI5" s="2300" t="s">
        <v>2003</v>
      </c>
      <c r="AJ5" s="2300" t="s">
        <v>2004</v>
      </c>
      <c r="AK5" s="1267" t="s">
        <v>2005</v>
      </c>
      <c r="AL5" s="1267" t="s">
        <v>2006</v>
      </c>
      <c r="AM5" s="70" t="s">
        <v>2007</v>
      </c>
      <c r="AN5" s="2301" t="s">
        <v>2008</v>
      </c>
      <c r="AO5" s="2072" t="s">
        <v>2009</v>
      </c>
      <c r="AP5" s="1248" t="s">
        <v>2010</v>
      </c>
      <c r="AQ5" s="2302" t="s">
        <v>2011</v>
      </c>
      <c r="AR5" s="2302" t="s">
        <v>2012</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0" customFormat="1" ht="14.25">
      <c r="A6" s="2303" t="str">
        <f>'数据-汇总表'!C19</f>
        <v>办公</v>
      </c>
      <c r="B6" s="2304" t="str">
        <f>IF(A6=0,"","经营性")</f>
        <v>经营性</v>
      </c>
      <c r="C6" s="2305" t="s">
        <v>27</v>
      </c>
      <c r="D6" s="1050">
        <f>SUMIF(项目基本情况!D$12:I$12,C6,项目基本情况!D$14:I$14)</f>
        <v>50</v>
      </c>
      <c r="E6" s="1047">
        <f>IF(B6="","",SUMIF(项目基本情况!D$12:I$12,C6,项目基本情况!D$13:I$13))</f>
        <v>58247</v>
      </c>
      <c r="F6" s="72">
        <f>SUMIF(项目基本情况!D$12:I$12,C6,项目基本情况!D$15:I$15)</f>
        <v>41.08</v>
      </c>
      <c r="G6" s="73">
        <f>IF(ISERROR(ROUND(POWER(1+H6,D6-F6)*(POWER(1+H6,F6)-1)/(POWER(1+H6,D6)-1),3)),0,ROUND(POWER(1+H6,D6-F6)*(POWER(1+H6,F6)-1)/(POWER(1+H6,D6)-1),3))</f>
        <v>0.94799999999999995</v>
      </c>
      <c r="H6" s="801">
        <v>0.05</v>
      </c>
      <c r="I6" s="801">
        <v>5.5E-2</v>
      </c>
      <c r="J6" s="74">
        <v>0.09</v>
      </c>
      <c r="K6" s="1250">
        <f>SUMIF('数据-汇总表'!C$19:C$33,A6,'数据-汇总表'!E$19:E$33)</f>
        <v>14974.55</v>
      </c>
      <c r="L6" s="802">
        <v>3500</v>
      </c>
      <c r="M6" s="75">
        <f t="shared" ref="M6:M14" si="0">ROUND(K6*L6/10000,0)</f>
        <v>5241</v>
      </c>
      <c r="N6" s="800">
        <v>1</v>
      </c>
      <c r="O6" s="75" t="str">
        <f>IF($N$5="成新度","——",ROUND(M6*N6,0))</f>
        <v>——</v>
      </c>
      <c r="P6" s="76" t="str">
        <f>IF($N$5="成新度","——",M6-O6)</f>
        <v>——</v>
      </c>
      <c r="Q6" s="803">
        <v>0.2</v>
      </c>
      <c r="R6" s="77">
        <f ca="1">SUMIF('数据-汇总表'!C$19:C$33,A6,'数据-汇总表'!R$19:R$27)</f>
        <v>3260.64</v>
      </c>
      <c r="S6" s="54">
        <f>IF('数据-汇总表'!$I$17="按面积比例",SUMIF('数据-汇总表'!C$19:C$33,A6,'数据-汇总表'!K$19:K$33),SUMIF('数据-汇总表'!C$19:C$33,A6,'数据-汇总表'!N$19:N$33))</f>
        <v>0</v>
      </c>
      <c r="T6" s="1442">
        <f>ROUND($L$14*S6/10000,0)</f>
        <v>0</v>
      </c>
      <c r="U6" s="78">
        <f>'比较法-办公 (租金)'!C50</f>
        <v>5.5</v>
      </c>
      <c r="V6" s="79">
        <v>0.03</v>
      </c>
      <c r="W6" s="79">
        <v>0.1</v>
      </c>
      <c r="X6" s="1260"/>
      <c r="Y6" s="80">
        <v>1</v>
      </c>
      <c r="Z6" s="81"/>
      <c r="AA6" s="74"/>
      <c r="AB6" s="74"/>
      <c r="AC6" s="1260"/>
      <c r="AD6" s="82"/>
      <c r="AE6" s="1261">
        <f ca="1">IF(AN6="",0,SUMIF(INDIRECT("'"&amp;AN6&amp;"'"&amp;"!E:E"),$AE$5,INDIRECT("'"&amp;AN6&amp;"'"&amp;"!F:F")))</f>
        <v>41.08</v>
      </c>
      <c r="AF6" s="1803"/>
      <c r="AG6" s="146">
        <f>IF(AF6="",0,AE6-AF6)</f>
        <v>0</v>
      </c>
      <c r="AH6" s="83"/>
      <c r="AI6" s="85">
        <v>365</v>
      </c>
      <c r="AJ6" s="86"/>
      <c r="AK6" s="87">
        <v>1.4999999999999999E-2</v>
      </c>
      <c r="AL6" s="88">
        <v>2E-3</v>
      </c>
      <c r="AM6" s="89">
        <v>2.5000000000000001E-2</v>
      </c>
      <c r="AN6" s="2306" t="s">
        <v>3279</v>
      </c>
      <c r="AO6" s="55">
        <f ca="1">SUMIF(INDIRECT("'"&amp;AN6&amp;"'"&amp;"!A:A"),"总价",INDIRECT("'"&amp;AN6&amp;"'"&amp;"!B:B"))</f>
        <v>51102</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0" customFormat="1" ht="14.25">
      <c r="A7" s="2303">
        <f>'数据-汇总表'!C20</f>
        <v>0</v>
      </c>
      <c r="B7" s="2304" t="str">
        <f t="shared" ref="B7:B13" si="1">IF(A7=0,"","经营性")</f>
        <v/>
      </c>
      <c r="C7" s="2305"/>
      <c r="D7" s="1050">
        <f>SUMIF(项目基本情况!D$12:I$12,C7,项目基本情况!D$14:I$14)</f>
        <v>0</v>
      </c>
      <c r="E7" s="104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0">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6">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0" customFormat="1" ht="14.25">
      <c r="A8" s="2303">
        <f>'数据-汇总表'!C21</f>
        <v>0</v>
      </c>
      <c r="B8" s="2304" t="str">
        <f t="shared" si="1"/>
        <v/>
      </c>
      <c r="C8" s="2305"/>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803"/>
      <c r="AG8" s="146">
        <f t="shared" si="7"/>
        <v>0</v>
      </c>
      <c r="AH8" s="807"/>
      <c r="AI8" s="85"/>
      <c r="AJ8" s="86"/>
      <c r="AK8" s="87"/>
      <c r="AL8" s="88"/>
      <c r="AM8" s="89"/>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0" customFormat="1" ht="14.25">
      <c r="A9" s="2303">
        <f>'数据-汇总表'!C22</f>
        <v>0</v>
      </c>
      <c r="B9" s="2304" t="str">
        <f t="shared" si="1"/>
        <v/>
      </c>
      <c r="C9" s="2305"/>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6">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0" customFormat="1" ht="14.25">
      <c r="A10" s="2303">
        <f>'数据-汇总表'!C23</f>
        <v>0</v>
      </c>
      <c r="B10" s="2304" t="str">
        <f t="shared" si="1"/>
        <v/>
      </c>
      <c r="C10" s="2305"/>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6">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0" customFormat="1" ht="14.25">
      <c r="A11" s="2303">
        <f>'数据-汇总表'!C24</f>
        <v>0</v>
      </c>
      <c r="B11" s="2304" t="str">
        <f t="shared" si="1"/>
        <v/>
      </c>
      <c r="C11" s="2305"/>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6">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0" customFormat="1" ht="14.25">
      <c r="A12" s="2303">
        <f>'数据-汇总表'!C25</f>
        <v>0</v>
      </c>
      <c r="B12" s="2304" t="str">
        <f t="shared" si="1"/>
        <v/>
      </c>
      <c r="C12" s="2305"/>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6">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0" customFormat="1" ht="14.25">
      <c r="A13" s="2303">
        <f>'数据-汇总表'!C26</f>
        <v>0</v>
      </c>
      <c r="B13" s="2304" t="str">
        <f t="shared" si="1"/>
        <v/>
      </c>
      <c r="C13" s="2305"/>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6">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0" customFormat="1" ht="14.25">
      <c r="A14" s="2308" t="s">
        <v>2013</v>
      </c>
      <c r="B14" s="2304" t="s">
        <v>2014</v>
      </c>
      <c r="C14" s="2309" t="s">
        <v>2013</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6"/>
      <c r="AH14" s="1261"/>
      <c r="AI14" s="1814"/>
      <c r="AJ14" s="772"/>
      <c r="AK14" s="1262"/>
      <c r="AL14" s="1263"/>
      <c r="AM14" s="1264"/>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0" customFormat="1" ht="27">
      <c r="A15" s="2308" t="s">
        <v>2015</v>
      </c>
      <c r="B15" s="2304" t="s">
        <v>2014</v>
      </c>
      <c r="C15" s="2309" t="s">
        <v>2016</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6"/>
      <c r="AH15" s="1261"/>
      <c r="AI15" s="1814"/>
      <c r="AJ15" s="772"/>
      <c r="AK15" s="1262"/>
      <c r="AL15" s="1263"/>
      <c r="AM15" s="1264"/>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0" customFormat="1" ht="15.75" thickBot="1">
      <c r="A16" s="2310" t="s">
        <v>2017</v>
      </c>
      <c r="B16" s="97"/>
      <c r="C16" s="1004"/>
      <c r="D16" s="2311"/>
      <c r="E16" s="97"/>
      <c r="F16" s="97"/>
      <c r="G16" s="98">
        <f>ROUND(SUMPRODUCT(G6:G13,K6:K13)/SUMPRODUCT((G6:G13&gt;0)*(K6:K13)),3)</f>
        <v>0.94799999999999995</v>
      </c>
      <c r="H16" s="99">
        <f>ROUND(SUMPRODUCT(H6:H13,K6:K13)/SUMPRODUCT((H6:H13&gt;0)*(K6:K13)),3)</f>
        <v>0.05</v>
      </c>
      <c r="I16" s="100"/>
      <c r="J16" s="100"/>
      <c r="K16" s="101">
        <f>SUM(K6:K15)</f>
        <v>14974.55</v>
      </c>
      <c r="L16" s="102">
        <f>ROUND(M16*10000/SUM(K6:K14),0)</f>
        <v>3500</v>
      </c>
      <c r="M16" s="102">
        <f>SUM(M6:M14)</f>
        <v>5241</v>
      </c>
      <c r="N16" s="103">
        <f>ROUND(SUMPRODUCT(M6:M14,N6:N14)/M16,3)</f>
        <v>1</v>
      </c>
      <c r="O16" s="102">
        <f>SUM(O6:O14)</f>
        <v>0</v>
      </c>
      <c r="P16" s="102">
        <f>SUM(P6:P14)</f>
        <v>0</v>
      </c>
      <c r="Q16" s="104">
        <f>ROUND(SUMPRODUCT(Q6:Q13,K6:K13)/SUMPRODUCT((Q6:Q13&gt;0)*(K6:K13)),2)</f>
        <v>0.2</v>
      </c>
      <c r="R16" s="1254">
        <f ca="1">SUM(R6:R13)</f>
        <v>3260.64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1"/>
      <c r="C17" s="1580"/>
      <c r="D17" s="2270"/>
      <c r="E17" s="2270"/>
      <c r="F17" s="1580"/>
      <c r="G17" s="1580"/>
      <c r="H17" s="1580"/>
      <c r="I17" s="1580"/>
      <c r="J17" s="1580"/>
      <c r="K17" s="167"/>
      <c r="L17" s="167"/>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2018</v>
      </c>
      <c r="B18" s="2277"/>
      <c r="C18" s="2274"/>
      <c r="D18" s="2275"/>
      <c r="E18" s="2274"/>
      <c r="F18" s="2274"/>
      <c r="G18" s="2274"/>
      <c r="H18" s="2274"/>
      <c r="I18" s="2274"/>
      <c r="J18" s="2274"/>
      <c r="K18" s="167"/>
      <c r="L18" s="167"/>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3" t="s">
        <v>2019</v>
      </c>
      <c r="B19" s="112">
        <v>0</v>
      </c>
      <c r="C19" s="2274" t="s">
        <v>2020</v>
      </c>
      <c r="D19" s="2275"/>
      <c r="E19" s="2274"/>
      <c r="F19" s="2274"/>
      <c r="G19" s="2274"/>
      <c r="H19" s="2274"/>
      <c r="I19" s="2274"/>
      <c r="J19" s="2274"/>
      <c r="K19" s="167"/>
      <c r="L19" s="167"/>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4" t="s">
        <v>2021</v>
      </c>
      <c r="B20" s="113">
        <v>2</v>
      </c>
      <c r="C20" s="2274" t="s">
        <v>2022</v>
      </c>
      <c r="D20" s="2275"/>
      <c r="E20" s="2274"/>
      <c r="F20" s="2274"/>
      <c r="G20" s="2274"/>
      <c r="H20" s="2274"/>
      <c r="I20" s="2274"/>
      <c r="J20" s="2274"/>
      <c r="K20" s="167"/>
      <c r="L20" s="167"/>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5" t="s">
        <v>2023</v>
      </c>
      <c r="B21" s="113">
        <v>2</v>
      </c>
      <c r="C21" s="2274"/>
      <c r="D21" s="2275"/>
      <c r="E21" s="2274"/>
      <c r="F21" s="2274"/>
      <c r="G21" s="2274"/>
      <c r="H21" s="2274"/>
      <c r="I21" s="2274"/>
      <c r="J21" s="2274"/>
      <c r="K21" s="167"/>
      <c r="L21" s="167"/>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4" t="s">
        <v>2024</v>
      </c>
      <c r="B22" s="114">
        <f>B19+B20</f>
        <v>2</v>
      </c>
      <c r="C22" s="2274"/>
      <c r="D22" s="2275"/>
      <c r="E22" s="2274"/>
      <c r="F22" s="2274"/>
      <c r="G22" s="2274"/>
      <c r="H22" s="2274"/>
      <c r="I22" s="2274"/>
      <c r="J22" s="2274"/>
      <c r="K22" s="167"/>
      <c r="L22" s="167"/>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5" t="s">
        <v>2025</v>
      </c>
      <c r="B23" s="114">
        <f>B19+B21</f>
        <v>2</v>
      </c>
      <c r="C23" s="2274"/>
      <c r="D23" s="2275"/>
      <c r="E23" s="2274"/>
      <c r="F23" s="2274"/>
      <c r="G23" s="2274"/>
      <c r="H23" s="2274"/>
      <c r="I23" s="2274"/>
      <c r="J23" s="2274"/>
      <c r="K23" s="167"/>
      <c r="L23" s="167"/>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6" t="s">
        <v>2026</v>
      </c>
      <c r="B24" s="115">
        <f>B20-B21</f>
        <v>0</v>
      </c>
      <c r="C24" s="2274"/>
      <c r="D24" s="2275"/>
      <c r="E24" s="2274"/>
      <c r="F24" s="2274"/>
      <c r="G24" s="2274"/>
      <c r="H24" s="2274"/>
      <c r="I24" s="2274"/>
      <c r="J24" s="2274"/>
      <c r="K24" s="167"/>
      <c r="L24" s="167"/>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7"/>
      <c r="C25" s="2274"/>
      <c r="D25" s="2275"/>
      <c r="E25" s="2274"/>
      <c r="F25" s="2274"/>
      <c r="G25" s="2274"/>
      <c r="H25" s="2274"/>
      <c r="I25" s="2274"/>
      <c r="J25" s="2274"/>
      <c r="K25" s="167"/>
      <c r="L25" s="167"/>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3" t="s">
        <v>2027</v>
      </c>
      <c r="B26" s="2317" t="s">
        <v>2028</v>
      </c>
      <c r="C26" s="2318" t="s">
        <v>2029</v>
      </c>
      <c r="D26" s="2275"/>
      <c r="E26" s="2274"/>
      <c r="F26" s="2274"/>
      <c r="G26" s="2274"/>
      <c r="H26" s="2274"/>
      <c r="I26" s="2274"/>
      <c r="J26" s="2274"/>
      <c r="K26" s="167"/>
      <c r="L26" s="167"/>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1" customFormat="1" ht="27.75">
      <c r="A27" s="2319" t="s">
        <v>2030</v>
      </c>
      <c r="B27" s="3004">
        <v>0</v>
      </c>
      <c r="C27" s="1763" t="s">
        <v>2031</v>
      </c>
      <c r="D27" s="2320"/>
      <c r="E27" s="1426"/>
      <c r="F27" s="1426"/>
      <c r="G27" s="2274"/>
      <c r="H27" s="2274"/>
      <c r="I27" s="2274"/>
      <c r="J27" s="2274"/>
      <c r="K27" s="167"/>
      <c r="L27" s="167"/>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1" customFormat="1" ht="27.75">
      <c r="A28" s="2322" t="s">
        <v>2032</v>
      </c>
      <c r="B28" s="3005">
        <v>0</v>
      </c>
      <c r="C28" s="2323"/>
      <c r="D28" s="2320"/>
      <c r="E28" s="1426"/>
      <c r="F28" s="1426"/>
      <c r="G28" s="2274"/>
      <c r="H28" s="2274"/>
      <c r="I28" s="2274"/>
      <c r="J28" s="2274"/>
      <c r="K28" s="167"/>
      <c r="L28" s="167"/>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1" customFormat="1" ht="28.5" thickBot="1">
      <c r="A29" s="2324" t="s">
        <v>2033</v>
      </c>
      <c r="B29" s="120"/>
      <c r="C29" s="1763" t="s">
        <v>2034</v>
      </c>
      <c r="D29" s="2320"/>
      <c r="E29" s="1426"/>
      <c r="F29" s="1426"/>
      <c r="G29" s="2274"/>
      <c r="H29" s="2274"/>
      <c r="I29" s="2274"/>
      <c r="J29" s="2274"/>
      <c r="K29" s="167"/>
      <c r="L29" s="167"/>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1" customFormat="1" ht="27">
      <c r="A30" s="2325" t="s">
        <v>2035</v>
      </c>
      <c r="B30" s="723">
        <v>200</v>
      </c>
      <c r="C30" s="2323"/>
      <c r="D30" s="2320"/>
      <c r="E30" s="1426"/>
      <c r="F30" s="1426"/>
      <c r="G30" s="2274"/>
      <c r="H30" s="2274"/>
      <c r="I30" s="2274"/>
      <c r="J30" s="2274"/>
      <c r="K30" s="167"/>
      <c r="L30" s="167"/>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1" customFormat="1" ht="27">
      <c r="A31" s="2322" t="s">
        <v>2036</v>
      </c>
      <c r="B31" s="119">
        <f>B30-B32</f>
        <v>200</v>
      </c>
      <c r="C31" s="1763"/>
      <c r="D31" s="2320"/>
      <c r="E31" s="1426"/>
      <c r="F31" s="1426"/>
      <c r="G31" s="2274"/>
      <c r="H31" s="2274"/>
      <c r="I31" s="2274"/>
      <c r="J31" s="2274"/>
      <c r="K31" s="167"/>
      <c r="L31" s="167"/>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1" customFormat="1" ht="27.75" thickBot="1">
      <c r="A32" s="2326" t="s">
        <v>2037</v>
      </c>
      <c r="B32" s="724">
        <v>0</v>
      </c>
      <c r="C32" s="2323"/>
      <c r="D32" s="2275"/>
      <c r="E32" s="2274"/>
      <c r="F32" s="2274"/>
      <c r="G32" s="2274"/>
      <c r="H32" s="2274"/>
      <c r="I32" s="2274"/>
      <c r="J32" s="2274"/>
      <c r="K32" s="167"/>
      <c r="L32" s="167"/>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1" customFormat="1" ht="14.25">
      <c r="A33" s="2319" t="s">
        <v>2038</v>
      </c>
      <c r="B33" s="725">
        <v>0.03</v>
      </c>
      <c r="C33" s="1762" t="s">
        <v>2039</v>
      </c>
      <c r="D33" s="2275"/>
      <c r="E33" s="2274"/>
      <c r="F33" s="2274"/>
      <c r="G33" s="2274"/>
      <c r="H33" s="2274"/>
      <c r="I33" s="2274"/>
      <c r="J33" s="2274"/>
      <c r="K33" s="167"/>
      <c r="L33" s="167"/>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1" customFormat="1" ht="14.25">
      <c r="A34" s="2322" t="s">
        <v>2040</v>
      </c>
      <c r="B34" s="121">
        <v>0.03</v>
      </c>
      <c r="C34" s="1762" t="s">
        <v>2041</v>
      </c>
      <c r="D34" s="2275" t="s">
        <v>2042</v>
      </c>
      <c r="E34" s="731"/>
      <c r="F34" s="2274"/>
      <c r="G34" s="2274"/>
      <c r="H34" s="2274"/>
      <c r="I34" s="2274"/>
      <c r="J34" s="2274"/>
      <c r="K34" s="167"/>
      <c r="L34" s="167"/>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1" customFormat="1" ht="14.25">
      <c r="A35" s="2322" t="s">
        <v>2043</v>
      </c>
      <c r="B35" s="118">
        <v>200</v>
      </c>
      <c r="C35" s="1762" t="s">
        <v>2044</v>
      </c>
      <c r="D35" s="2320"/>
      <c r="E35" s="1426"/>
      <c r="F35" s="1426"/>
      <c r="G35" s="2274"/>
      <c r="H35" s="2274"/>
      <c r="I35" s="2274"/>
      <c r="J35" s="2274"/>
      <c r="K35" s="167"/>
      <c r="L35" s="167"/>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4" t="s">
        <v>2045</v>
      </c>
      <c r="B36" s="122">
        <v>1.4999999999999999E-2</v>
      </c>
      <c r="C36" s="1762" t="s">
        <v>2046</v>
      </c>
      <c r="D36" s="2275"/>
      <c r="E36" s="2274"/>
      <c r="F36" s="2274"/>
      <c r="G36" s="2274"/>
      <c r="H36" s="2274"/>
      <c r="I36" s="2274"/>
      <c r="J36" s="2274"/>
      <c r="K36" s="167"/>
      <c r="L36" s="167"/>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5" t="s">
        <v>2047</v>
      </c>
      <c r="B37" s="123">
        <v>0.03</v>
      </c>
      <c r="C37" s="1762" t="s">
        <v>2048</v>
      </c>
      <c r="D37" s="2275"/>
      <c r="E37" s="2274"/>
      <c r="F37" s="2274"/>
      <c r="G37" s="2274"/>
      <c r="H37" s="2274"/>
      <c r="I37" s="2274"/>
      <c r="J37" s="2274"/>
      <c r="K37" s="167"/>
      <c r="L37" s="167"/>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2" t="s">
        <v>2049</v>
      </c>
      <c r="B38" s="121">
        <v>0.03</v>
      </c>
      <c r="C38" s="1762" t="s">
        <v>2048</v>
      </c>
      <c r="D38" s="2275"/>
      <c r="E38" s="2274"/>
      <c r="F38" s="2274"/>
      <c r="G38" s="2274"/>
      <c r="H38" s="2274"/>
      <c r="I38" s="2274"/>
      <c r="J38" s="2274"/>
      <c r="K38" s="167"/>
      <c r="L38" s="167"/>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6" t="s">
        <v>2050</v>
      </c>
      <c r="B39" s="361">
        <f ca="1">存贷款利率!I1</f>
        <v>1.4999999999999999E-2</v>
      </c>
      <c r="C39" s="1762"/>
      <c r="D39" s="2275"/>
      <c r="E39" s="2274"/>
      <c r="F39" s="2274"/>
      <c r="G39" s="2274"/>
      <c r="H39" s="2274"/>
      <c r="I39" s="2274"/>
      <c r="J39" s="2274"/>
      <c r="K39" s="167"/>
      <c r="L39" s="167"/>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6" t="s">
        <v>2051</v>
      </c>
      <c r="B40" s="1299">
        <f ca="1">存贷款利率!G1</f>
        <v>4.7500000000000001E-2</v>
      </c>
      <c r="C40" s="1762" t="s">
        <v>2052</v>
      </c>
      <c r="D40" s="1580"/>
      <c r="E40" s="2275"/>
      <c r="F40" s="2274"/>
      <c r="G40" s="2274"/>
      <c r="H40" s="2274"/>
      <c r="I40" s="2274"/>
      <c r="J40" s="2274"/>
      <c r="K40" s="167"/>
      <c r="L40" s="167"/>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9" t="s">
        <v>2053</v>
      </c>
      <c r="B41" s="124">
        <f>B42+B43</f>
        <v>5.5000000000000007E-2</v>
      </c>
      <c r="C41" s="1763"/>
      <c r="D41" s="1580"/>
      <c r="E41" s="2275"/>
      <c r="F41" s="2274"/>
      <c r="G41" s="2274"/>
      <c r="H41" s="2274"/>
      <c r="I41" s="2274"/>
      <c r="J41" s="2274"/>
      <c r="K41" s="167"/>
      <c r="L41" s="167"/>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7" t="s">
        <v>2054</v>
      </c>
      <c r="B42" s="125">
        <v>0.05</v>
      </c>
      <c r="C42" s="2328">
        <f>IF(B2&lt;DATE(2016,5,1),0,B42)</f>
        <v>0.05</v>
      </c>
      <c r="D42" s="2275"/>
      <c r="E42" s="2274"/>
      <c r="F42" s="2274"/>
      <c r="G42" s="2274"/>
      <c r="H42" s="2274"/>
      <c r="I42" s="2274"/>
      <c r="J42" s="2274"/>
      <c r="K42" s="167"/>
      <c r="L42" s="167"/>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7" t="s">
        <v>2055</v>
      </c>
      <c r="B43" s="126">
        <f>B42*(B44+B45+B46)+B47</f>
        <v>5.000000000000001E-3</v>
      </c>
      <c r="C43" s="1763"/>
      <c r="D43" s="2275"/>
      <c r="E43" s="2274"/>
      <c r="F43" s="2274"/>
      <c r="G43" s="2274"/>
      <c r="H43" s="2274"/>
      <c r="I43" s="2274"/>
      <c r="J43" s="2274"/>
      <c r="K43" s="167"/>
      <c r="L43" s="167"/>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9" t="s">
        <v>2056</v>
      </c>
      <c r="B44" s="127">
        <v>0.05</v>
      </c>
      <c r="C44" s="1762" t="s">
        <v>2057</v>
      </c>
      <c r="D44" s="2275"/>
      <c r="E44" s="2274"/>
      <c r="F44" s="2274"/>
      <c r="G44" s="2274"/>
      <c r="H44" s="2274"/>
      <c r="I44" s="2274"/>
      <c r="J44" s="2274"/>
      <c r="K44" s="167"/>
      <c r="L44" s="167"/>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9" t="s">
        <v>2058</v>
      </c>
      <c r="B45" s="125">
        <v>0.03</v>
      </c>
      <c r="C45" s="1763" t="s">
        <v>2059</v>
      </c>
      <c r="D45" s="2275"/>
      <c r="E45" s="2274"/>
      <c r="F45" s="2274"/>
      <c r="G45" s="2274"/>
      <c r="H45" s="2274"/>
      <c r="I45" s="2274"/>
      <c r="J45" s="2274"/>
      <c r="K45" s="167"/>
      <c r="L45" s="167"/>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9" t="s">
        <v>2060</v>
      </c>
      <c r="B46" s="125">
        <v>0.02</v>
      </c>
      <c r="C46" s="1763" t="s">
        <v>2061</v>
      </c>
      <c r="D46" s="2275"/>
      <c r="E46" s="2274"/>
      <c r="F46" s="2274"/>
      <c r="G46" s="2274"/>
      <c r="H46" s="2274"/>
      <c r="I46" s="2274"/>
      <c r="J46" s="2274"/>
      <c r="K46" s="167"/>
      <c r="L46" s="167"/>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0" t="s">
        <v>2062</v>
      </c>
      <c r="B47" s="128"/>
      <c r="C47" s="1763" t="s">
        <v>2063</v>
      </c>
      <c r="D47" s="2275"/>
      <c r="E47" s="2274"/>
      <c r="F47" s="2274"/>
      <c r="G47" s="2274"/>
      <c r="H47" s="2274"/>
      <c r="I47" s="2274"/>
      <c r="J47" s="2274"/>
      <c r="K47" s="167"/>
      <c r="L47" s="167"/>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1" t="s">
        <v>2064</v>
      </c>
      <c r="B48" s="129">
        <v>0.03</v>
      </c>
      <c r="C48" s="1770" t="s">
        <v>2065</v>
      </c>
      <c r="D48" s="2275"/>
      <c r="E48" s="2274"/>
      <c r="F48" s="2274"/>
      <c r="G48" s="2274"/>
      <c r="H48" s="2274"/>
      <c r="I48" s="2274"/>
      <c r="J48" s="2274"/>
      <c r="K48" s="167"/>
      <c r="L48" s="167"/>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6" t="s">
        <v>2066</v>
      </c>
      <c r="B49" s="125">
        <v>5.0000000000000001E-4</v>
      </c>
      <c r="C49" s="1770" t="s">
        <v>2067</v>
      </c>
      <c r="D49" s="2275"/>
      <c r="E49" s="2274"/>
      <c r="F49" s="2274"/>
      <c r="G49" s="2274"/>
      <c r="H49" s="2274"/>
      <c r="I49" s="2274"/>
      <c r="J49" s="2274"/>
      <c r="K49" s="167"/>
      <c r="L49" s="167"/>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2" t="s">
        <v>2068</v>
      </c>
      <c r="B50" s="130">
        <v>1.2E-2</v>
      </c>
      <c r="C50" s="1426"/>
      <c r="D50" s="2275"/>
      <c r="E50" s="2274"/>
      <c r="F50" s="2274"/>
      <c r="G50" s="2274"/>
      <c r="H50" s="2274"/>
      <c r="I50" s="2274"/>
      <c r="J50" s="2274"/>
      <c r="K50" s="167"/>
      <c r="L50" s="167"/>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4" t="s">
        <v>2069</v>
      </c>
      <c r="B51" s="131">
        <v>0.12</v>
      </c>
      <c r="C51" s="1426"/>
      <c r="D51" s="2275"/>
      <c r="E51" s="2274"/>
      <c r="F51" s="2274"/>
      <c r="G51" s="2274"/>
      <c r="H51" s="2274"/>
      <c r="I51" s="2274"/>
      <c r="J51" s="2274"/>
      <c r="K51" s="167"/>
      <c r="L51" s="167"/>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2" t="s">
        <v>2070</v>
      </c>
      <c r="B52" s="132">
        <f>SUMIF(A54:A63,B53,B54:B63)</f>
        <v>1.5</v>
      </c>
      <c r="C52" s="1426"/>
      <c r="D52" s="2275"/>
      <c r="E52" s="2274"/>
      <c r="F52" s="2274"/>
      <c r="G52" s="2274"/>
      <c r="H52" s="2274"/>
      <c r="I52" s="2274"/>
      <c r="J52" s="2274"/>
      <c r="K52" s="167"/>
      <c r="L52" s="167"/>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2" t="s">
        <v>2071</v>
      </c>
      <c r="B53" s="2333" t="s">
        <v>56</v>
      </c>
      <c r="C53" s="1426" t="s">
        <v>2072</v>
      </c>
      <c r="D53" s="2334" t="s">
        <v>2073</v>
      </c>
      <c r="E53" s="2274"/>
      <c r="F53" s="2274"/>
      <c r="G53" s="2274"/>
      <c r="H53" s="2274"/>
      <c r="I53" s="2274"/>
      <c r="J53" s="2274"/>
      <c r="K53" s="167"/>
      <c r="L53" s="167"/>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5" t="s">
        <v>2074</v>
      </c>
      <c r="B54" s="84"/>
      <c r="C54" s="1426">
        <v>30</v>
      </c>
      <c r="D54" s="2275"/>
      <c r="E54" s="2274"/>
      <c r="F54" s="2274"/>
      <c r="G54" s="2274"/>
      <c r="H54" s="2274"/>
      <c r="I54" s="2274"/>
      <c r="J54" s="2274"/>
      <c r="K54" s="167"/>
      <c r="L54" s="167"/>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5" t="s">
        <v>2075</v>
      </c>
      <c r="B55" s="84"/>
      <c r="C55" s="1426">
        <v>24</v>
      </c>
      <c r="D55" s="2275"/>
      <c r="E55" s="2274"/>
      <c r="F55" s="2274"/>
      <c r="G55" s="2274"/>
      <c r="H55" s="2274"/>
      <c r="I55" s="2336"/>
      <c r="J55" s="2274"/>
      <c r="K55" s="167"/>
      <c r="L55" s="167"/>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5" t="s">
        <v>2076</v>
      </c>
      <c r="B56" s="84"/>
      <c r="C56" s="1426">
        <v>18</v>
      </c>
      <c r="D56" s="2275"/>
      <c r="E56" s="2274"/>
      <c r="F56" s="2274"/>
      <c r="G56" s="2274"/>
      <c r="H56" s="2274"/>
      <c r="I56" s="2274"/>
      <c r="J56" s="2274"/>
      <c r="K56" s="167"/>
      <c r="L56" s="167"/>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5" t="s">
        <v>2077</v>
      </c>
      <c r="B57" s="84"/>
      <c r="C57" s="1426">
        <v>12</v>
      </c>
      <c r="D57" s="2275"/>
      <c r="E57" s="2274"/>
      <c r="F57" s="2274"/>
      <c r="G57" s="2274"/>
      <c r="H57" s="2274"/>
      <c r="I57" s="2274"/>
      <c r="J57" s="2274"/>
      <c r="K57" s="167"/>
      <c r="L57" s="167"/>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5" t="s">
        <v>2078</v>
      </c>
      <c r="B58" s="84"/>
      <c r="C58" s="1426">
        <v>3</v>
      </c>
      <c r="D58" s="2275"/>
      <c r="E58" s="2274"/>
      <c r="F58" s="2274"/>
      <c r="G58" s="2274"/>
      <c r="H58" s="2274"/>
      <c r="I58" s="2274"/>
      <c r="J58" s="2274"/>
      <c r="K58" s="167"/>
      <c r="L58" s="167"/>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5" t="s">
        <v>2079</v>
      </c>
      <c r="B59" s="84">
        <v>1.5</v>
      </c>
      <c r="C59" s="1426">
        <v>1.5</v>
      </c>
      <c r="D59" s="2275"/>
      <c r="E59" s="2274"/>
      <c r="F59" s="2274"/>
      <c r="G59" s="2274"/>
      <c r="H59" s="2274"/>
      <c r="I59" s="2274"/>
      <c r="J59" s="2274"/>
      <c r="K59" s="167"/>
      <c r="L59" s="167"/>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5" t="s">
        <v>2080</v>
      </c>
      <c r="B60" s="84"/>
      <c r="C60" s="2274"/>
      <c r="D60" s="2275"/>
      <c r="E60" s="2274"/>
      <c r="F60" s="2274"/>
      <c r="G60" s="2274"/>
      <c r="H60" s="2274"/>
      <c r="I60" s="2274"/>
      <c r="J60" s="2274"/>
      <c r="K60" s="167"/>
      <c r="L60" s="167"/>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5" t="s">
        <v>2081</v>
      </c>
      <c r="B61" s="84"/>
      <c r="C61" s="2274"/>
      <c r="D61" s="2275"/>
      <c r="E61" s="2274"/>
      <c r="F61" s="2274"/>
      <c r="G61" s="2274"/>
      <c r="H61" s="2274"/>
      <c r="I61" s="2274"/>
      <c r="J61" s="2274"/>
      <c r="K61" s="167"/>
      <c r="L61" s="167"/>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5" t="s">
        <v>2082</v>
      </c>
      <c r="B62" s="84"/>
      <c r="C62" s="2274"/>
      <c r="D62" s="2275"/>
      <c r="E62" s="2274"/>
      <c r="F62" s="2274"/>
      <c r="G62" s="2274"/>
      <c r="H62" s="2274"/>
      <c r="I62" s="2274"/>
      <c r="J62" s="2274"/>
      <c r="K62" s="167"/>
      <c r="L62" s="167"/>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7" t="s">
        <v>2083</v>
      </c>
      <c r="B63" s="133"/>
      <c r="C63" s="2274"/>
      <c r="D63" s="2275"/>
      <c r="E63" s="2274"/>
      <c r="F63" s="2274"/>
      <c r="G63" s="2274"/>
      <c r="H63" s="2274"/>
      <c r="I63" s="2274"/>
      <c r="J63" s="2274"/>
      <c r="K63" s="167"/>
      <c r="L63" s="167"/>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8"/>
      <c r="D64" s="2339"/>
      <c r="K64" s="797"/>
      <c r="L64" s="797"/>
    </row>
    <row r="65" spans="1:12" s="963" customFormat="1">
      <c r="A65" s="2338"/>
      <c r="D65" s="2339"/>
      <c r="K65" s="797"/>
      <c r="L65" s="797"/>
    </row>
    <row r="66" spans="1:12" s="963" customFormat="1">
      <c r="A66" s="2338"/>
      <c r="D66" s="2339"/>
      <c r="K66" s="797"/>
      <c r="L66" s="797"/>
    </row>
    <row r="67" spans="1:12" s="963" customFormat="1">
      <c r="A67" s="2338"/>
      <c r="D67" s="2339"/>
      <c r="K67" s="797"/>
      <c r="L67" s="797"/>
    </row>
    <row r="68" spans="1:12" s="963" customFormat="1">
      <c r="A68" s="2338"/>
      <c r="D68" s="2339"/>
      <c r="K68" s="797"/>
      <c r="L68" s="797"/>
    </row>
    <row r="69" spans="1:12" s="963" customFormat="1">
      <c r="A69" s="2338"/>
      <c r="D69" s="2339"/>
      <c r="K69" s="797"/>
      <c r="L69" s="797"/>
    </row>
    <row r="70" spans="1:12" s="963" customFormat="1">
      <c r="A70" s="2338"/>
      <c r="D70" s="2339"/>
      <c r="K70" s="797"/>
      <c r="L70" s="797"/>
    </row>
    <row r="71" spans="1:12" s="963" customFormat="1">
      <c r="A71" s="2338"/>
      <c r="D71" s="2339"/>
      <c r="K71" s="797"/>
      <c r="L71" s="797"/>
    </row>
    <row r="72" spans="1:12" s="963" customFormat="1">
      <c r="A72" s="2338"/>
      <c r="D72" s="2339"/>
      <c r="K72" s="797"/>
      <c r="L72" s="797"/>
    </row>
    <row r="73" spans="1:12" s="963" customFormat="1">
      <c r="A73" s="2338"/>
      <c r="D73" s="2339"/>
      <c r="K73" s="797"/>
      <c r="L73" s="797"/>
    </row>
    <row r="74" spans="1:12" s="963" customFormat="1">
      <c r="A74" s="2338"/>
      <c r="D74" s="2339"/>
      <c r="K74" s="797"/>
      <c r="L74" s="797"/>
    </row>
    <row r="75" spans="1:12" s="963" customFormat="1">
      <c r="A75" s="2338"/>
      <c r="D75" s="2339"/>
      <c r="K75" s="797"/>
      <c r="L75" s="797"/>
    </row>
    <row r="76" spans="1:12" s="963" customFormat="1">
      <c r="A76" s="2338"/>
      <c r="D76" s="2339"/>
      <c r="K76" s="797"/>
      <c r="L76" s="797"/>
    </row>
    <row r="77" spans="1:12" s="963" customFormat="1">
      <c r="A77" s="2338"/>
      <c r="D77" s="2339"/>
      <c r="K77" s="797"/>
      <c r="L77" s="797"/>
    </row>
    <row r="78" spans="1:12" s="963" customFormat="1">
      <c r="A78" s="2338"/>
      <c r="D78" s="2339"/>
      <c r="K78" s="797"/>
      <c r="L78" s="797"/>
    </row>
    <row r="79" spans="1:12" s="963" customFormat="1">
      <c r="A79" s="2338"/>
      <c r="D79" s="2339"/>
      <c r="K79" s="797"/>
      <c r="L79" s="797"/>
    </row>
    <row r="80" spans="1:12" s="963" customFormat="1">
      <c r="A80" s="2338"/>
      <c r="D80" s="2339"/>
      <c r="K80" s="797"/>
      <c r="L80" s="797"/>
    </row>
    <row r="81" spans="1:12" s="963" customFormat="1">
      <c r="A81" s="2338"/>
      <c r="D81" s="2339"/>
      <c r="K81" s="797"/>
      <c r="L81" s="797"/>
    </row>
    <row r="82" spans="1:12" s="963" customFormat="1">
      <c r="A82" s="2338"/>
      <c r="D82" s="2339"/>
      <c r="K82" s="797"/>
      <c r="L82" s="797"/>
    </row>
    <row r="83" spans="1:12" s="963" customFormat="1">
      <c r="A83" s="2338"/>
      <c r="D83" s="2339"/>
      <c r="K83" s="797"/>
      <c r="L83" s="797"/>
    </row>
    <row r="84" spans="1:12" s="963" customFormat="1">
      <c r="A84" s="2338"/>
      <c r="D84" s="2339"/>
      <c r="K84" s="797"/>
      <c r="L84" s="797"/>
    </row>
    <row r="85" spans="1:12" s="963" customFormat="1">
      <c r="A85" s="2338"/>
      <c r="D85" s="2339"/>
      <c r="K85" s="797"/>
      <c r="L85" s="797"/>
    </row>
    <row r="86" spans="1:12" s="963" customFormat="1">
      <c r="A86" s="2338"/>
      <c r="D86" s="2339"/>
      <c r="K86" s="797"/>
      <c r="L86" s="797"/>
    </row>
    <row r="87" spans="1:12" s="963" customFormat="1">
      <c r="A87" s="2338"/>
      <c r="D87" s="2339"/>
      <c r="K87" s="797"/>
      <c r="L87" s="797"/>
    </row>
    <row r="88" spans="1:12" s="963" customFormat="1">
      <c r="A88" s="2338"/>
      <c r="D88" s="2339"/>
      <c r="K88" s="797"/>
      <c r="L88" s="797"/>
    </row>
    <row r="89" spans="1:12" s="963" customFormat="1">
      <c r="A89" s="2338"/>
      <c r="D89" s="2339"/>
      <c r="K89" s="797"/>
      <c r="L89" s="797"/>
    </row>
    <row r="90" spans="1:12" s="963" customFormat="1">
      <c r="A90" s="2338"/>
      <c r="D90" s="2339"/>
      <c r="K90" s="797"/>
      <c r="L90" s="797"/>
    </row>
    <row r="91" spans="1:12" s="963" customFormat="1">
      <c r="A91" s="2338"/>
      <c r="D91" s="2339"/>
      <c r="K91" s="797"/>
      <c r="L91" s="797"/>
    </row>
    <row r="92" spans="1:12" s="963" customFormat="1">
      <c r="A92" s="2338"/>
      <c r="D92" s="2339"/>
      <c r="K92" s="797"/>
      <c r="L92" s="797"/>
    </row>
    <row r="93" spans="1:12" s="963" customFormat="1">
      <c r="A93" s="2338"/>
      <c r="D93" s="2339"/>
      <c r="K93" s="797"/>
      <c r="L93" s="797"/>
    </row>
    <row r="94" spans="1:12" s="963" customFormat="1">
      <c r="A94" s="2338"/>
      <c r="D94" s="2339"/>
      <c r="K94" s="797"/>
      <c r="L94" s="797"/>
    </row>
    <row r="95" spans="1:12" s="963" customFormat="1">
      <c r="A95" s="2338"/>
      <c r="D95" s="2339"/>
      <c r="K95" s="797"/>
      <c r="L95" s="797"/>
    </row>
    <row r="96" spans="1:12" s="963" customFormat="1">
      <c r="A96" s="2338"/>
      <c r="D96" s="2339"/>
      <c r="K96" s="797"/>
      <c r="L96" s="797"/>
    </row>
    <row r="97" spans="1:12" s="963" customFormat="1">
      <c r="A97" s="2338"/>
      <c r="D97" s="2339"/>
      <c r="K97" s="797"/>
      <c r="L97" s="797"/>
    </row>
    <row r="98" spans="1:12" s="963" customFormat="1">
      <c r="A98" s="2338"/>
      <c r="D98" s="2339"/>
      <c r="K98" s="797"/>
      <c r="L98" s="797"/>
    </row>
    <row r="99" spans="1:12" s="963" customFormat="1">
      <c r="A99" s="2338"/>
      <c r="D99" s="2339"/>
      <c r="K99" s="797"/>
      <c r="L99" s="797"/>
    </row>
    <row r="100" spans="1:12" s="963" customFormat="1">
      <c r="A100" s="2338"/>
      <c r="D100" s="2339"/>
      <c r="K100" s="797"/>
      <c r="L100" s="797"/>
    </row>
    <row r="101" spans="1:12" s="963" customFormat="1">
      <c r="A101" s="2338"/>
      <c r="D101" s="2339"/>
      <c r="K101" s="797"/>
      <c r="L101" s="797"/>
    </row>
    <row r="102" spans="1:12" s="963" customFormat="1">
      <c r="A102" s="2338"/>
      <c r="D102" s="2339"/>
      <c r="K102" s="797"/>
      <c r="L102" s="797"/>
    </row>
    <row r="103" spans="1:12" s="963" customFormat="1">
      <c r="A103" s="2338"/>
      <c r="D103" s="2339"/>
      <c r="K103" s="797"/>
      <c r="L103" s="797"/>
    </row>
    <row r="104" spans="1:12" s="963" customFormat="1">
      <c r="A104" s="2338"/>
      <c r="D104" s="2339"/>
      <c r="K104" s="797"/>
      <c r="L104" s="797"/>
    </row>
    <row r="105" spans="1:12" s="963" customFormat="1">
      <c r="A105" s="2338"/>
      <c r="D105" s="2339"/>
      <c r="K105" s="797"/>
      <c r="L105" s="797"/>
    </row>
    <row r="106" spans="1:12" s="963" customFormat="1">
      <c r="A106" s="2338"/>
      <c r="D106" s="2339"/>
      <c r="K106" s="797"/>
      <c r="L106" s="797"/>
    </row>
    <row r="107" spans="1:12" s="963" customFormat="1">
      <c r="A107" s="2338"/>
      <c r="D107" s="2339"/>
      <c r="K107" s="797"/>
      <c r="L107" s="797"/>
    </row>
    <row r="108" spans="1:12" s="963" customFormat="1">
      <c r="A108" s="2338"/>
      <c r="D108" s="2339"/>
      <c r="K108" s="797"/>
      <c r="L108" s="797"/>
    </row>
    <row r="109" spans="1:12" s="963" customFormat="1">
      <c r="A109" s="2338"/>
      <c r="D109" s="2339"/>
      <c r="K109" s="797"/>
      <c r="L109" s="797"/>
    </row>
    <row r="110" spans="1:12" s="963" customFormat="1">
      <c r="A110" s="2338"/>
      <c r="D110" s="2339"/>
      <c r="K110" s="797"/>
      <c r="L110" s="797"/>
    </row>
    <row r="111" spans="1:12" s="963" customFormat="1">
      <c r="A111" s="2338"/>
      <c r="D111" s="2339"/>
      <c r="K111" s="797"/>
      <c r="L111" s="797"/>
    </row>
    <row r="112" spans="1:12" s="963" customFormat="1">
      <c r="A112" s="2338"/>
      <c r="D112" s="2339"/>
      <c r="K112" s="797"/>
      <c r="L112" s="797"/>
    </row>
    <row r="113" spans="1:12" s="963" customFormat="1">
      <c r="A113" s="2338"/>
      <c r="D113" s="2339"/>
      <c r="K113" s="797"/>
      <c r="L113" s="797"/>
    </row>
    <row r="114" spans="1:12" s="963" customFormat="1">
      <c r="A114" s="2338"/>
      <c r="D114" s="2339"/>
      <c r="K114" s="797"/>
      <c r="L114" s="797"/>
    </row>
    <row r="115" spans="1:12" s="963" customFormat="1">
      <c r="A115" s="2338"/>
      <c r="D115" s="2339"/>
      <c r="K115" s="797"/>
      <c r="L115" s="797"/>
    </row>
    <row r="116" spans="1:12" s="963" customFormat="1">
      <c r="A116" s="2338"/>
      <c r="D116" s="2339"/>
      <c r="K116" s="797"/>
      <c r="L116" s="797"/>
    </row>
    <row r="117" spans="1:12" s="963" customFormat="1">
      <c r="A117" s="2338"/>
      <c r="D117" s="2339"/>
      <c r="K117" s="797"/>
      <c r="L117" s="797"/>
    </row>
    <row r="118" spans="1:12" s="963" customFormat="1">
      <c r="A118" s="2338"/>
      <c r="D118" s="2339"/>
      <c r="K118" s="797"/>
      <c r="L118" s="797"/>
    </row>
    <row r="119" spans="1:12" s="963" customFormat="1">
      <c r="A119" s="2338"/>
      <c r="D119" s="2339"/>
      <c r="K119" s="797"/>
      <c r="L119" s="797"/>
    </row>
    <row r="120" spans="1:12" s="963" customFormat="1">
      <c r="A120" s="2338"/>
      <c r="D120" s="2339"/>
      <c r="K120" s="797"/>
      <c r="L120" s="797"/>
    </row>
    <row r="121" spans="1:12" s="963" customFormat="1">
      <c r="A121" s="2338"/>
      <c r="D121" s="2339"/>
      <c r="K121" s="797"/>
      <c r="L121" s="797"/>
    </row>
    <row r="122" spans="1:12" s="963" customFormat="1">
      <c r="A122" s="2338"/>
      <c r="D122" s="2339"/>
      <c r="K122" s="797"/>
      <c r="L122" s="797"/>
    </row>
    <row r="123" spans="1:12" s="963" customFormat="1">
      <c r="A123" s="2338"/>
      <c r="D123" s="2339"/>
      <c r="K123" s="797"/>
      <c r="L123" s="797"/>
    </row>
    <row r="124" spans="1:12" s="963" customFormat="1">
      <c r="A124" s="2338"/>
      <c r="D124" s="2339"/>
      <c r="K124" s="797"/>
      <c r="L124" s="797"/>
    </row>
    <row r="125" spans="1:12" s="963" customFormat="1">
      <c r="A125" s="2338"/>
      <c r="D125" s="2339"/>
      <c r="K125" s="797"/>
      <c r="L125" s="797"/>
    </row>
    <row r="126" spans="1:12" s="963" customFormat="1">
      <c r="A126" s="2338"/>
      <c r="D126" s="2339"/>
      <c r="K126" s="797"/>
      <c r="L126" s="797"/>
    </row>
    <row r="127" spans="1:12" s="963" customFormat="1">
      <c r="A127" s="2338"/>
      <c r="D127" s="2339"/>
      <c r="K127" s="797"/>
      <c r="L127" s="797"/>
    </row>
    <row r="128" spans="1:12" s="963" customFormat="1">
      <c r="A128" s="2338"/>
      <c r="D128" s="2339"/>
      <c r="K128" s="797"/>
      <c r="L128" s="797"/>
    </row>
    <row r="129" spans="1:12" s="963" customFormat="1">
      <c r="A129" s="2338"/>
      <c r="D129" s="2339"/>
      <c r="K129" s="797"/>
      <c r="L129" s="797"/>
    </row>
    <row r="130" spans="1:12" s="963" customFormat="1">
      <c r="A130" s="2338"/>
      <c r="D130" s="2339"/>
      <c r="K130" s="797"/>
      <c r="L130" s="797"/>
    </row>
    <row r="131" spans="1:12" s="963" customFormat="1">
      <c r="A131" s="2338"/>
      <c r="D131" s="2339"/>
      <c r="K131" s="797"/>
      <c r="L131" s="797"/>
    </row>
    <row r="132" spans="1:12" s="963" customFormat="1">
      <c r="A132" s="2338"/>
      <c r="D132" s="2339"/>
      <c r="K132" s="797"/>
      <c r="L132" s="797"/>
    </row>
    <row r="133" spans="1:12" s="963" customFormat="1">
      <c r="A133" s="2338"/>
      <c r="D133" s="2339"/>
      <c r="K133" s="797"/>
      <c r="L133" s="797"/>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5" sqref="K5"/>
    </sheetView>
  </sheetViews>
  <sheetFormatPr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114" t="s">
        <v>2084</v>
      </c>
      <c r="B1" s="3115"/>
      <c r="C1" s="3115"/>
      <c r="D1" s="3115"/>
      <c r="E1" s="3115"/>
      <c r="F1" s="3115"/>
      <c r="G1" s="3115"/>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2085</v>
      </c>
      <c r="D2" s="2363"/>
      <c r="E2" s="2364"/>
      <c r="F2" s="2283"/>
      <c r="G2" s="2362" t="s">
        <v>2086</v>
      </c>
      <c r="H2" s="2365"/>
      <c r="I2" s="2365"/>
      <c r="J2" s="2365"/>
      <c r="K2" s="2365"/>
      <c r="L2" s="2365"/>
      <c r="M2" s="2365"/>
      <c r="N2" s="2365"/>
      <c r="O2" s="2365"/>
      <c r="P2" s="2365"/>
      <c r="Q2" s="2365"/>
      <c r="R2" s="2365"/>
    </row>
    <row r="3" spans="1:29" ht="54">
      <c r="A3" s="414" t="s">
        <v>2087</v>
      </c>
      <c r="B3" s="1267" t="s">
        <v>2088</v>
      </c>
      <c r="C3" s="2367" t="s">
        <v>2089</v>
      </c>
      <c r="D3" s="2368"/>
      <c r="E3" s="430" t="s">
        <v>2087</v>
      </c>
      <c r="F3" s="2369" t="s">
        <v>2090</v>
      </c>
      <c r="G3" s="2370" t="s">
        <v>2091</v>
      </c>
      <c r="H3" s="2365"/>
      <c r="I3" s="2365"/>
      <c r="J3" s="2365"/>
      <c r="K3" s="2365"/>
      <c r="L3" s="2365"/>
      <c r="M3" s="2365"/>
      <c r="N3" s="2365"/>
      <c r="O3" s="2365"/>
      <c r="P3" s="2365"/>
      <c r="Q3" s="2365"/>
      <c r="R3" s="2365"/>
    </row>
    <row r="4" spans="1:29" ht="41.25">
      <c r="A4" s="430"/>
      <c r="B4" s="1794" t="s">
        <v>2092</v>
      </c>
      <c r="C4" s="2371" t="s">
        <v>2093</v>
      </c>
      <c r="D4" s="2368"/>
      <c r="E4" s="2372"/>
      <c r="F4" s="42" t="s">
        <v>2094</v>
      </c>
      <c r="G4" s="2373" t="s">
        <v>2095</v>
      </c>
      <c r="H4" s="2365"/>
      <c r="I4" s="2365"/>
      <c r="J4" s="2365"/>
      <c r="K4" s="2365"/>
      <c r="L4" s="2365"/>
      <c r="M4" s="2365"/>
      <c r="N4" s="2365"/>
      <c r="O4" s="2365"/>
      <c r="P4" s="2365"/>
      <c r="Q4" s="2365"/>
      <c r="R4" s="2365"/>
    </row>
    <row r="5" spans="1:29" ht="41.25">
      <c r="A5" s="430"/>
      <c r="B5" s="1794" t="s">
        <v>2096</v>
      </c>
      <c r="C5" s="2371" t="s">
        <v>2097</v>
      </c>
      <c r="D5" s="2368"/>
      <c r="E5" s="2372"/>
      <c r="F5" s="1794" t="s">
        <v>2098</v>
      </c>
      <c r="G5" s="2373" t="s">
        <v>2099</v>
      </c>
      <c r="H5" s="2365"/>
      <c r="I5" s="2365"/>
      <c r="J5" s="2365"/>
      <c r="K5" s="2365"/>
      <c r="L5" s="2365"/>
      <c r="M5" s="2365"/>
      <c r="N5" s="2365"/>
      <c r="O5" s="2365"/>
      <c r="P5" s="2365"/>
      <c r="Q5" s="2365"/>
      <c r="R5" s="2365"/>
    </row>
    <row r="6" spans="1:29" ht="54">
      <c r="A6" s="430"/>
      <c r="B6" s="1794" t="s">
        <v>2100</v>
      </c>
      <c r="C6" s="2373" t="s">
        <v>2095</v>
      </c>
      <c r="D6" s="2368"/>
      <c r="E6" s="2372"/>
      <c r="F6" s="1794" t="s">
        <v>2101</v>
      </c>
      <c r="G6" s="2373" t="s">
        <v>2102</v>
      </c>
      <c r="H6" s="2365"/>
      <c r="I6" s="2365"/>
      <c r="J6" s="2365"/>
      <c r="K6" s="2365"/>
      <c r="L6" s="2365"/>
      <c r="M6" s="2365"/>
      <c r="N6" s="2365"/>
      <c r="O6" s="2365"/>
      <c r="P6" s="2365"/>
      <c r="Q6" s="2365"/>
      <c r="R6" s="2365"/>
    </row>
    <row r="7" spans="1:29" ht="41.25" thickBot="1">
      <c r="A7" s="430"/>
      <c r="B7" s="1794" t="s">
        <v>2098</v>
      </c>
      <c r="C7" s="2373" t="s">
        <v>2099</v>
      </c>
      <c r="D7" s="2374"/>
      <c r="E7" s="2375"/>
      <c r="F7" s="2376" t="s">
        <v>2103</v>
      </c>
      <c r="G7" s="2377" t="s">
        <v>2104</v>
      </c>
      <c r="H7" s="2365"/>
      <c r="I7" s="2365"/>
      <c r="J7" s="2365"/>
      <c r="K7" s="2365"/>
      <c r="L7" s="2365"/>
      <c r="M7" s="2365"/>
      <c r="N7" s="2365"/>
      <c r="O7" s="2365"/>
      <c r="P7" s="2365"/>
      <c r="Q7" s="2365"/>
      <c r="R7" s="2365"/>
    </row>
    <row r="8" spans="1:29" ht="27">
      <c r="A8" s="430"/>
      <c r="B8" s="1794" t="s">
        <v>2101</v>
      </c>
      <c r="C8" s="2373" t="s">
        <v>2102</v>
      </c>
      <c r="D8" s="2374"/>
      <c r="E8" s="2374"/>
      <c r="F8" s="1132"/>
      <c r="G8" s="1132"/>
      <c r="H8" s="2365"/>
      <c r="I8" s="2365"/>
      <c r="J8" s="2365"/>
      <c r="K8" s="2365"/>
      <c r="L8" s="2365"/>
      <c r="M8" s="2365"/>
      <c r="N8" s="2365"/>
      <c r="O8" s="2365"/>
      <c r="P8" s="2365"/>
      <c r="Q8" s="2365"/>
      <c r="R8" s="2365"/>
    </row>
    <row r="9" spans="1:29" ht="27">
      <c r="A9" s="430"/>
      <c r="B9" s="1794" t="s">
        <v>2105</v>
      </c>
      <c r="C9" s="2371" t="s">
        <v>2106</v>
      </c>
      <c r="D9" s="2368"/>
      <c r="E9" s="2374"/>
      <c r="F9" s="1132"/>
      <c r="G9" s="1132"/>
      <c r="H9" s="2365"/>
      <c r="I9" s="2365"/>
      <c r="J9" s="2365"/>
      <c r="K9" s="2365"/>
      <c r="L9" s="2365"/>
      <c r="M9" s="2365"/>
      <c r="N9" s="2365"/>
      <c r="O9" s="2365"/>
      <c r="P9" s="2365"/>
      <c r="Q9" s="2365"/>
      <c r="R9" s="2365"/>
    </row>
    <row r="10" spans="1:29" s="116" customFormat="1" ht="15.75" thickBot="1">
      <c r="A10" s="2378"/>
      <c r="B10" s="2379" t="s">
        <v>2107</v>
      </c>
      <c r="C10" s="2380"/>
      <c r="D10" s="2368"/>
      <c r="E10" s="2368"/>
      <c r="F10" s="1132"/>
      <c r="G10" s="1132"/>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6" customFormat="1" ht="15">
      <c r="A11" s="2384"/>
      <c r="B11" s="2374"/>
      <c r="C11" s="2368"/>
      <c r="D11" s="2368"/>
      <c r="E11" s="2368"/>
      <c r="F11" s="2374"/>
      <c r="G11" s="1150"/>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0"/>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2108</v>
      </c>
      <c r="B13" s="2385"/>
      <c r="C13" s="2385"/>
      <c r="D13" s="2392"/>
      <c r="E13" s="2385"/>
      <c r="F13" s="2385"/>
      <c r="G13" s="2385"/>
    </row>
    <row r="14" spans="1:29" ht="15.75" thickBot="1">
      <c r="A14" s="2396"/>
      <c r="B14" s="2397"/>
      <c r="C14" s="2398" t="s">
        <v>2109</v>
      </c>
      <c r="D14" s="2368"/>
      <c r="E14" s="2399"/>
      <c r="F14" s="2399"/>
      <c r="G14" s="2362" t="s">
        <v>2110</v>
      </c>
    </row>
    <row r="15" spans="1:29" ht="57">
      <c r="A15" s="68" t="s">
        <v>2111</v>
      </c>
      <c r="B15" s="1266" t="s">
        <v>2088</v>
      </c>
      <c r="C15" s="2400" t="str">
        <f>C3</f>
        <v>估价对象周边居住用地比例、居住小区规模和社区发展完善程度，综合评价居住社区成熟度一般</v>
      </c>
      <c r="D15" s="2368"/>
      <c r="E15" s="2401" t="s">
        <v>2112</v>
      </c>
      <c r="F15" s="1266" t="s">
        <v>2113</v>
      </c>
      <c r="G15" s="134" t="str">
        <f>G3</f>
        <v>估价对象位于XX开发区，园区建设成熟度XX，产业集聚程度XX</v>
      </c>
    </row>
    <row r="16" spans="1:29" ht="42.75">
      <c r="A16" s="644"/>
      <c r="B16" s="2402" t="s">
        <v>2092</v>
      </c>
      <c r="C16" s="2403" t="str">
        <f>C4</f>
        <v>估价对象位于XX商圈，周边商业氛围成熟，人流量大，商业繁华度好</v>
      </c>
      <c r="D16" s="2368"/>
      <c r="E16" s="2404"/>
      <c r="F16" s="2405" t="s">
        <v>2094</v>
      </c>
      <c r="G16" s="135" t="str">
        <f>G4</f>
        <v>估价对象周边道路状况、公共交通通达情况、停车便捷程度，综合评价交通便捷度较好</v>
      </c>
    </row>
    <row r="17" spans="1:18" ht="42.75">
      <c r="A17" s="644"/>
      <c r="B17" s="2402" t="s">
        <v>2096</v>
      </c>
      <c r="C17" s="2403" t="str">
        <f>C5</f>
        <v>估价对象位于XX商圈，周边办公楼项目较多，入驻率高，办公集聚程度较好</v>
      </c>
      <c r="D17" s="2374"/>
      <c r="E17" s="2404"/>
      <c r="F17" s="2405" t="s">
        <v>2114</v>
      </c>
      <c r="G17" s="1568"/>
    </row>
    <row r="18" spans="1:18" ht="57">
      <c r="A18" s="644"/>
      <c r="B18" s="2405" t="s">
        <v>2100</v>
      </c>
      <c r="C18" s="135" t="str">
        <f>C6</f>
        <v>估价对象周边道路状况、公共交通通达情况、停车便捷程度，综合评价交通便捷度较好</v>
      </c>
      <c r="D18" s="2374"/>
      <c r="E18" s="2404"/>
      <c r="F18" s="2405" t="s">
        <v>2103</v>
      </c>
      <c r="G18" s="135" t="str">
        <f>G7</f>
        <v>该园区内是否有污染型企业，绿化情况，卫生条件，整体环境状况判断</v>
      </c>
    </row>
    <row r="19" spans="1:18" ht="28.5">
      <c r="A19" s="644"/>
      <c r="B19" s="2405" t="s">
        <v>2115</v>
      </c>
      <c r="C19" s="1568"/>
      <c r="D19" s="2368"/>
      <c r="E19" s="2404"/>
      <c r="F19" s="1794" t="s">
        <v>2098</v>
      </c>
      <c r="G19" s="135" t="str">
        <f>G5</f>
        <v>估价对象所在区域公共配套设施齐备情况</v>
      </c>
    </row>
    <row r="20" spans="1:18" ht="28.5">
      <c r="A20" s="644"/>
      <c r="B20" s="2405" t="s">
        <v>2116</v>
      </c>
      <c r="C20" s="2403" t="str">
        <f>C9</f>
        <v>区域自然环境：；人文环境；综合评价环境状况一般</v>
      </c>
      <c r="D20" s="2374"/>
      <c r="E20" s="2404"/>
      <c r="F20" s="1794" t="s">
        <v>2117</v>
      </c>
      <c r="G20" s="135" t="str">
        <f>G6</f>
        <v>估价对象所在区域基础设施水平</v>
      </c>
    </row>
    <row r="21" spans="1:18" ht="28.5">
      <c r="A21" s="644"/>
      <c r="B21" s="1794" t="s">
        <v>2098</v>
      </c>
      <c r="C21" s="135" t="str">
        <f>C7</f>
        <v>估价对象所在区域公共配套设施齐备情况</v>
      </c>
      <c r="D21" s="2368"/>
      <c r="E21" s="2404"/>
      <c r="F21" s="2405" t="s">
        <v>2118</v>
      </c>
      <c r="G21" s="2406"/>
    </row>
    <row r="22" spans="1:18" ht="13.5" customHeight="1">
      <c r="A22" s="644"/>
      <c r="B22" s="1794" t="s">
        <v>2101</v>
      </c>
      <c r="C22" s="135" t="str">
        <f>C8</f>
        <v>估价对象所在区域基础设施水平</v>
      </c>
      <c r="D22" s="2368"/>
      <c r="E22" s="2404"/>
      <c r="F22" s="2405" t="s">
        <v>2107</v>
      </c>
      <c r="G22" s="1568"/>
    </row>
    <row r="23" spans="1:18" s="2365" customFormat="1" ht="15.75" thickBot="1">
      <c r="A23" s="644"/>
      <c r="B23" s="2405" t="s">
        <v>2118</v>
      </c>
      <c r="C23" s="2406"/>
      <c r="D23" s="2393"/>
      <c r="E23" s="2407"/>
      <c r="F23" s="2408" t="s">
        <v>2119</v>
      </c>
      <c r="G23" s="2409"/>
      <c r="H23" s="2393"/>
      <c r="I23" s="2394"/>
      <c r="J23" s="2393"/>
      <c r="K23" s="2393"/>
      <c r="L23" s="2394"/>
      <c r="M23" s="2393"/>
      <c r="N23" s="2393"/>
      <c r="O23" s="2394"/>
      <c r="P23" s="2393"/>
      <c r="Q23" s="2393"/>
      <c r="R23" s="2395"/>
    </row>
    <row r="24" spans="1:18" s="2365" customFormat="1" ht="15.75" thickBot="1">
      <c r="A24" s="2410"/>
      <c r="B24" s="2408" t="s">
        <v>2120</v>
      </c>
      <c r="C24" s="136">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9" sqref="G9"/>
    </sheetView>
  </sheetViews>
  <sheetFormatPr defaultRowHeight="13.5"/>
  <cols>
    <col min="1" max="1" width="23.375" style="1737" customWidth="1"/>
    <col min="2" max="9" width="15.75" style="1737" customWidth="1"/>
    <col min="10" max="16384" width="9" style="1737"/>
  </cols>
  <sheetData>
    <row r="1" spans="1:10" ht="16.5">
      <c r="A1" s="1742" t="s">
        <v>1365</v>
      </c>
      <c r="B1" s="1742">
        <f>SUM(B14:B23)</f>
        <v>26490.809999999998</v>
      </c>
      <c r="C1" s="1741"/>
      <c r="D1" s="1741"/>
      <c r="E1" s="1741"/>
      <c r="F1" s="1741"/>
      <c r="G1" s="1739"/>
    </row>
    <row r="2" spans="1:10" ht="16.5">
      <c r="A2" s="1742" t="s">
        <v>1353</v>
      </c>
      <c r="B2" s="1742">
        <f>SUM(C14:C23)</f>
        <v>5768.25</v>
      </c>
      <c r="C2" s="1741"/>
      <c r="D2" s="1741"/>
      <c r="E2" s="1741"/>
      <c r="F2" s="1741"/>
      <c r="G2" s="1739"/>
    </row>
    <row r="3" spans="1:10" ht="16.5">
      <c r="A3" s="1742" t="s">
        <v>1362</v>
      </c>
      <c r="B3" s="1743">
        <f>项目基本情况!D3</f>
        <v>43252</v>
      </c>
      <c r="C3" s="1741"/>
      <c r="D3" s="1741"/>
      <c r="E3" s="1741"/>
      <c r="F3" s="1741"/>
      <c r="G3" s="1739"/>
    </row>
    <row r="4" spans="1:10" ht="33">
      <c r="A4" s="1742" t="s">
        <v>1361</v>
      </c>
      <c r="B4" s="1742" t="s">
        <v>1360</v>
      </c>
      <c r="C4" s="1742" t="s">
        <v>1359</v>
      </c>
      <c r="D4" s="1742" t="s">
        <v>1358</v>
      </c>
      <c r="E4" s="1741"/>
      <c r="F4" s="1739"/>
      <c r="G4" s="1739"/>
    </row>
    <row r="5" spans="1:10" ht="16.5">
      <c r="A5" s="1742" t="s">
        <v>1357</v>
      </c>
      <c r="B5" s="1742" t="e">
        <f ca="1">SUM(D14:D23)</f>
        <v>#N/A</v>
      </c>
      <c r="C5" s="1742" t="e">
        <f ca="1">ROUND(B5*10000/$B$1,0)</f>
        <v>#N/A</v>
      </c>
      <c r="D5" s="1742" t="e">
        <f ca="1">ROUND(B5*10000/$B$2,0)</f>
        <v>#N/A</v>
      </c>
      <c r="E5" s="1741"/>
      <c r="F5" s="1739"/>
      <c r="G5" s="1739"/>
    </row>
    <row r="6" spans="1:10" ht="16.5">
      <c r="A6" s="1742" t="s">
        <v>1356</v>
      </c>
      <c r="B6" s="1742" t="e">
        <f ca="1">SUM(G14:G23)</f>
        <v>#N/A</v>
      </c>
      <c r="C6" s="1742" t="e">
        <f ca="1">ROUND(B6*10000/$B$1,0)</f>
        <v>#N/A</v>
      </c>
      <c r="D6" s="1742" t="e">
        <f ca="1">ROUND(B6*10000/$B$2,0)</f>
        <v>#N/A</v>
      </c>
      <c r="E6" s="1741"/>
      <c r="F6" s="1739"/>
      <c r="G6" s="1739"/>
    </row>
    <row r="7" spans="1:10" ht="16.5">
      <c r="A7" s="1742" t="s">
        <v>1364</v>
      </c>
      <c r="B7" s="1742">
        <f>SUM(H14:H23)</f>
        <v>0</v>
      </c>
      <c r="C7" s="1742">
        <f>ROUND(B7*10000/$B$1,0)</f>
        <v>0</v>
      </c>
      <c r="D7" s="1742">
        <f>ROUND(B7*10000/$B$2,0)</f>
        <v>0</v>
      </c>
      <c r="E7" s="1741"/>
      <c r="F7" s="1739"/>
      <c r="G7" s="1739"/>
    </row>
    <row r="8" spans="1:10" ht="16.5">
      <c r="A8" s="1742" t="s">
        <v>1285</v>
      </c>
      <c r="B8" s="1742">
        <f>SUM(I14:I23)</f>
        <v>0</v>
      </c>
      <c r="C8" s="1742">
        <f>ROUND(B8*10000/$B$1,0)</f>
        <v>0</v>
      </c>
      <c r="D8" s="1742">
        <f>ROUND(B8*10000/$B$2,0)</f>
        <v>0</v>
      </c>
      <c r="E8" s="1741"/>
      <c r="F8" s="1739"/>
      <c r="G8" s="1739"/>
    </row>
    <row r="9" spans="1:10" ht="16.5">
      <c r="A9" s="1742" t="s">
        <v>1355</v>
      </c>
      <c r="B9" s="1744"/>
      <c r="C9" s="1741"/>
      <c r="D9" s="1741"/>
      <c r="E9" s="1741"/>
      <c r="F9" s="1739"/>
      <c r="G9" s="1739"/>
    </row>
    <row r="10" spans="1:10" ht="16.5">
      <c r="A10" s="1742" t="s">
        <v>1354</v>
      </c>
      <c r="B10" s="1744"/>
      <c r="C10" s="1741"/>
      <c r="D10" s="1741"/>
      <c r="E10" s="1741"/>
      <c r="F10" s="1739"/>
      <c r="G10" s="1739"/>
    </row>
    <row r="11" spans="1:10" ht="16.5">
      <c r="A11" s="1742" t="s">
        <v>1370</v>
      </c>
      <c r="B11" s="1744"/>
      <c r="C11" s="1741"/>
      <c r="D11" s="1741"/>
      <c r="E11" s="1741"/>
      <c r="F11" s="1739"/>
      <c r="G11" s="1739"/>
    </row>
    <row r="12" spans="1:10" ht="16.5">
      <c r="A12" s="1741"/>
      <c r="B12" s="1741"/>
      <c r="C12" s="1741"/>
      <c r="D12" s="1741"/>
      <c r="E12" s="1741"/>
      <c r="F12" s="1739"/>
      <c r="G12" s="1739"/>
    </row>
    <row r="13" spans="1:10" ht="33">
      <c r="A13" s="1747" t="s">
        <v>1369</v>
      </c>
      <c r="B13" s="1740" t="s">
        <v>1366</v>
      </c>
      <c r="C13" s="1740" t="s">
        <v>1368</v>
      </c>
      <c r="D13" s="1740" t="s">
        <v>1367</v>
      </c>
      <c r="E13" s="1742" t="s">
        <v>1359</v>
      </c>
      <c r="F13" s="1742" t="s">
        <v>1358</v>
      </c>
      <c r="G13" s="1740" t="s">
        <v>1352</v>
      </c>
      <c r="H13" s="1740" t="s">
        <v>1363</v>
      </c>
      <c r="I13" s="1740" t="s">
        <v>1351</v>
      </c>
      <c r="J13" s="1739"/>
    </row>
    <row r="14" spans="1:10" ht="16.5">
      <c r="A14" s="1738" t="s">
        <v>1350</v>
      </c>
      <c r="B14" s="1740">
        <f>结果表办公!B118</f>
        <v>14974.55</v>
      </c>
      <c r="C14" s="1740">
        <f>结果表办公!C118</f>
        <v>3260.64</v>
      </c>
      <c r="D14" s="1740">
        <f ca="1">结果表办公!H118</f>
        <v>57111</v>
      </c>
      <c r="E14" s="1740">
        <f ca="1">ROUND(D14*10000/B14,0)</f>
        <v>38139</v>
      </c>
      <c r="F14" s="1740">
        <f ca="1">ROUND(D14*10000/C14,0)</f>
        <v>175153</v>
      </c>
      <c r="G14" s="1740">
        <f ca="1">结果表办公!D122</f>
        <v>57111</v>
      </c>
      <c r="H14" s="1740" t="str">
        <f>结果表办公!D124</f>
        <v>——</v>
      </c>
      <c r="I14" s="1740" t="str">
        <f>结果表办公!D126</f>
        <v>——</v>
      </c>
      <c r="J14" s="1739"/>
    </row>
    <row r="15" spans="1:10" ht="16.5">
      <c r="A15" s="1738" t="s">
        <v>1349</v>
      </c>
      <c r="B15" s="1745">
        <f>面积表及商业修正表!K12+面积表及商业修正表!K13</f>
        <v>9119.369999999999</v>
      </c>
      <c r="C15" s="1745">
        <f>ROUND(B15/'数据-基础表'!B3*'数据-基础表'!A3,2)</f>
        <v>1985.7</v>
      </c>
      <c r="D15" s="1745" t="e">
        <f ca="1">面积表及商业修正表!L7</f>
        <v>#N/A</v>
      </c>
      <c r="E15" s="1740" t="e">
        <f t="shared" ref="E15:E23" ca="1" si="0">ROUND(D15*10000/B15,0)</f>
        <v>#N/A</v>
      </c>
      <c r="F15" s="1740" t="e">
        <f t="shared" ref="F15:F23" ca="1" si="1">ROUND(D15*10000/C15,0)</f>
        <v>#N/A</v>
      </c>
      <c r="G15" s="1746" t="e">
        <f ca="1">D15</f>
        <v>#N/A</v>
      </c>
      <c r="H15" s="1746" t="s">
        <v>3538</v>
      </c>
      <c r="I15" s="1745"/>
      <c r="J15" s="1739"/>
    </row>
    <row r="16" spans="1:10" ht="16.5">
      <c r="A16" s="1738" t="s">
        <v>1348</v>
      </c>
      <c r="B16" s="1745">
        <f>面积表及商业修正表!K15</f>
        <v>2396.8900000000003</v>
      </c>
      <c r="C16" s="1745">
        <f>ROUND(B16/'数据-基础表'!B3*'数据-基础表'!A3,2)</f>
        <v>521.91</v>
      </c>
      <c r="D16" s="1745" t="e">
        <f ca="1">结果表仓储!G19</f>
        <v>#N/A</v>
      </c>
      <c r="E16" s="1740" t="e">
        <f t="shared" ca="1" si="0"/>
        <v>#N/A</v>
      </c>
      <c r="F16" s="1740" t="e">
        <f t="shared" ca="1" si="1"/>
        <v>#N/A</v>
      </c>
      <c r="G16" s="1746" t="e">
        <f ca="1">D16</f>
        <v>#N/A</v>
      </c>
      <c r="H16" s="1746" t="s">
        <v>3539</v>
      </c>
      <c r="I16" s="1745"/>
    </row>
    <row r="17" spans="1:9" ht="16.5">
      <c r="A17" s="1738" t="s">
        <v>1347</v>
      </c>
      <c r="B17" s="1745"/>
      <c r="C17" s="1745"/>
      <c r="D17" s="1745"/>
      <c r="E17" s="1740" t="e">
        <f t="shared" si="0"/>
        <v>#DIV/0!</v>
      </c>
      <c r="F17" s="1740" t="e">
        <f t="shared" si="1"/>
        <v>#DIV/0!</v>
      </c>
      <c r="G17" s="1746"/>
      <c r="H17" s="1746"/>
      <c r="I17" s="1745"/>
    </row>
    <row r="18" spans="1:9" ht="16.5">
      <c r="A18" s="1738" t="s">
        <v>1346</v>
      </c>
      <c r="B18" s="1745"/>
      <c r="C18" s="1745"/>
      <c r="D18" s="1745"/>
      <c r="E18" s="1740" t="e">
        <f t="shared" si="0"/>
        <v>#DIV/0!</v>
      </c>
      <c r="F18" s="1740" t="e">
        <f t="shared" si="1"/>
        <v>#DIV/0!</v>
      </c>
      <c r="G18" s="1745"/>
      <c r="H18" s="1745"/>
      <c r="I18" s="1745"/>
    </row>
    <row r="19" spans="1:9" ht="16.5">
      <c r="A19" s="1738" t="s">
        <v>1345</v>
      </c>
      <c r="B19" s="1745"/>
      <c r="C19" s="1745"/>
      <c r="D19" s="1745"/>
      <c r="E19" s="1740" t="e">
        <f t="shared" si="0"/>
        <v>#DIV/0!</v>
      </c>
      <c r="F19" s="1740" t="e">
        <f t="shared" si="1"/>
        <v>#DIV/0!</v>
      </c>
      <c r="G19" s="1745"/>
      <c r="H19" s="1745"/>
      <c r="I19" s="1745"/>
    </row>
    <row r="20" spans="1:9" ht="16.5">
      <c r="A20" s="1738" t="s">
        <v>1344</v>
      </c>
      <c r="B20" s="1745"/>
      <c r="C20" s="1745"/>
      <c r="D20" s="1745"/>
      <c r="E20" s="1740" t="e">
        <f t="shared" si="0"/>
        <v>#DIV/0!</v>
      </c>
      <c r="F20" s="1740" t="e">
        <f t="shared" si="1"/>
        <v>#DIV/0!</v>
      </c>
      <c r="G20" s="1745"/>
      <c r="H20" s="1745"/>
      <c r="I20" s="1745"/>
    </row>
    <row r="21" spans="1:9" ht="16.5">
      <c r="A21" s="1738" t="s">
        <v>1343</v>
      </c>
      <c r="B21" s="1745"/>
      <c r="C21" s="1745"/>
      <c r="D21" s="1745"/>
      <c r="E21" s="1740" t="e">
        <f t="shared" si="0"/>
        <v>#DIV/0!</v>
      </c>
      <c r="F21" s="1740" t="e">
        <f t="shared" si="1"/>
        <v>#DIV/0!</v>
      </c>
      <c r="G21" s="1745"/>
      <c r="H21" s="1745"/>
      <c r="I21" s="1745"/>
    </row>
    <row r="22" spans="1:9" ht="16.5">
      <c r="A22" s="1738" t="s">
        <v>1342</v>
      </c>
      <c r="B22" s="1745"/>
      <c r="C22" s="1745"/>
      <c r="D22" s="1745"/>
      <c r="E22" s="1740" t="e">
        <f t="shared" si="0"/>
        <v>#DIV/0!</v>
      </c>
      <c r="F22" s="1740" t="e">
        <f t="shared" si="1"/>
        <v>#DIV/0!</v>
      </c>
      <c r="G22" s="1745"/>
      <c r="H22" s="1745"/>
      <c r="I22" s="1745"/>
    </row>
    <row r="23" spans="1:9" ht="16.5">
      <c r="A23" s="1738" t="s">
        <v>1341</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E24" sqref="E24"/>
    </sheetView>
  </sheetViews>
  <sheetFormatPr defaultColWidth="12.625" defaultRowHeight="21.75" customHeight="1"/>
  <cols>
    <col min="1" max="2" width="12.625" style="2422"/>
    <col min="3" max="4" width="12.625" style="2422" customWidth="1"/>
    <col min="5" max="9" width="12.625" style="2422"/>
    <col min="10" max="11" width="12.625" style="794" customWidth="1"/>
    <col min="12" max="12" width="12.625" style="794"/>
    <col min="13" max="13" width="14.125" style="794" bestFit="1" customWidth="1"/>
    <col min="14" max="26" width="12.625" style="794"/>
    <col min="27" max="35" width="12.625" style="2421"/>
    <col min="36" max="16384" width="12.625" style="2422"/>
  </cols>
  <sheetData>
    <row r="1" spans="1:12" ht="21.75" customHeight="1" thickBot="1">
      <c r="A1" s="2223" t="s">
        <v>2121</v>
      </c>
      <c r="B1" s="2416"/>
      <c r="C1" s="2417" t="s">
        <v>27</v>
      </c>
      <c r="D1" s="2416"/>
      <c r="E1" s="2416"/>
      <c r="F1" s="2418" t="s">
        <v>2122</v>
      </c>
      <c r="G1" s="2068" t="s">
        <v>3060</v>
      </c>
      <c r="H1" s="2419" t="str">
        <f>IF(G1="现房","——","估价对象范围")</f>
        <v>——</v>
      </c>
      <c r="I1" s="2420"/>
    </row>
    <row r="2" spans="1:12" ht="21.75" customHeight="1" thickBot="1">
      <c r="A2" s="3149" t="str">
        <f>项目基本情况!S2</f>
        <v>北京市房地产</v>
      </c>
      <c r="B2" s="3150"/>
      <c r="C2" s="3150"/>
      <c r="D2" s="3150"/>
      <c r="E2" s="3150"/>
      <c r="F2" s="3150"/>
      <c r="G2" s="3150"/>
      <c r="H2" s="3150"/>
      <c r="I2" s="3151"/>
    </row>
    <row r="3" spans="1:12" ht="12.75">
      <c r="A3" s="3153" t="s">
        <v>2123</v>
      </c>
      <c r="B3" s="3154"/>
      <c r="C3" s="3154"/>
      <c r="D3" s="3154"/>
      <c r="E3" s="3154"/>
      <c r="F3" s="3154"/>
      <c r="G3" s="3154"/>
      <c r="H3" s="3154"/>
      <c r="I3" s="3154"/>
    </row>
    <row r="4" spans="1:12" ht="14.25">
      <c r="A4" s="2423" t="s">
        <v>2124</v>
      </c>
      <c r="B4" s="2424" t="s">
        <v>2125</v>
      </c>
      <c r="C4" s="2425" t="s">
        <v>3110</v>
      </c>
      <c r="D4" s="2425" t="s">
        <v>3279</v>
      </c>
      <c r="E4" s="3146" t="s">
        <v>2126</v>
      </c>
      <c r="F4" s="3147"/>
      <c r="G4" s="3147"/>
      <c r="H4" s="3147"/>
      <c r="I4" s="3155"/>
      <c r="K4" s="2426" t="str">
        <f>IF(ISNUMBER(FIND("比较法",结果表办公!C4)),"比较法",IF(ISNUMBER(FIND("成本法",结果表办公!C4)),"成本法",IF(ISNUMBER(FIND("假设开发法",结果表办公!C4)),"假设开发法",IF(ISNUMBER(FIND("收益法",结果表办公!C4)),"收益法","基准地价系数修正法"))))</f>
        <v>比较法</v>
      </c>
      <c r="L4" s="2426"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29" t="s">
        <v>2127</v>
      </c>
      <c r="B5" s="3052">
        <v>25</v>
      </c>
      <c r="C5" s="3132"/>
      <c r="D5" s="3152"/>
      <c r="E5" s="139" t="s">
        <v>2128</v>
      </c>
      <c r="F5" s="2427"/>
      <c r="G5" s="2427"/>
      <c r="H5" s="2427"/>
      <c r="I5" s="1830"/>
    </row>
    <row r="6" spans="1:12" ht="12.75">
      <c r="A6" s="3129"/>
      <c r="B6" s="3052"/>
      <c r="C6" s="3133"/>
      <c r="D6" s="3152"/>
      <c r="E6" s="139" t="s">
        <v>2129</v>
      </c>
      <c r="F6" s="2427"/>
      <c r="G6" s="2427"/>
      <c r="H6" s="2427"/>
      <c r="I6" s="1830"/>
    </row>
    <row r="7" spans="1:12" ht="12.75">
      <c r="A7" s="3129"/>
      <c r="B7" s="3052"/>
      <c r="C7" s="3134"/>
      <c r="D7" s="3152"/>
      <c r="E7" s="139" t="s">
        <v>2130</v>
      </c>
      <c r="F7" s="2427"/>
      <c r="G7" s="2427"/>
      <c r="H7" s="2427"/>
      <c r="I7" s="1830"/>
    </row>
    <row r="8" spans="1:12" ht="12.75">
      <c r="A8" s="3129" t="s">
        <v>2131</v>
      </c>
      <c r="B8" s="3052">
        <v>15</v>
      </c>
      <c r="C8" s="3132"/>
      <c r="D8" s="3152"/>
      <c r="E8" s="139" t="s">
        <v>2132</v>
      </c>
      <c r="F8" s="2427"/>
      <c r="G8" s="2427"/>
      <c r="H8" s="2427"/>
      <c r="I8" s="1830"/>
    </row>
    <row r="9" spans="1:12" ht="12.75">
      <c r="A9" s="3129"/>
      <c r="B9" s="3052"/>
      <c r="C9" s="3134"/>
      <c r="D9" s="3152"/>
      <c r="E9" s="139" t="s">
        <v>2133</v>
      </c>
      <c r="F9" s="2427"/>
      <c r="G9" s="2427"/>
      <c r="H9" s="2427"/>
      <c r="I9" s="1830"/>
    </row>
    <row r="10" spans="1:12" ht="12.75">
      <c r="A10" s="3129" t="s">
        <v>2134</v>
      </c>
      <c r="B10" s="3052">
        <v>15</v>
      </c>
      <c r="C10" s="3132"/>
      <c r="D10" s="3152"/>
      <c r="E10" s="139" t="s">
        <v>2135</v>
      </c>
      <c r="F10" s="2427"/>
      <c r="G10" s="2427"/>
      <c r="H10" s="2427"/>
      <c r="I10" s="1830"/>
    </row>
    <row r="11" spans="1:12" ht="12.75">
      <c r="A11" s="3129"/>
      <c r="B11" s="3052"/>
      <c r="C11" s="3134"/>
      <c r="D11" s="3152"/>
      <c r="E11" s="139" t="s">
        <v>2136</v>
      </c>
      <c r="F11" s="2427"/>
      <c r="G11" s="2427"/>
      <c r="H11" s="2427"/>
      <c r="I11" s="1830"/>
    </row>
    <row r="12" spans="1:12" ht="12.75">
      <c r="A12" s="3129" t="s">
        <v>2137</v>
      </c>
      <c r="B12" s="3052">
        <v>15</v>
      </c>
      <c r="C12" s="3132"/>
      <c r="D12" s="3152"/>
      <c r="E12" s="139" t="s">
        <v>2138</v>
      </c>
      <c r="F12" s="2427"/>
      <c r="G12" s="2427"/>
      <c r="H12" s="2427"/>
      <c r="I12" s="1830"/>
    </row>
    <row r="13" spans="1:12" ht="12.75">
      <c r="A13" s="3129"/>
      <c r="B13" s="3052"/>
      <c r="C13" s="3134"/>
      <c r="D13" s="3152"/>
      <c r="E13" s="139" t="s">
        <v>2139</v>
      </c>
      <c r="F13" s="2427"/>
      <c r="G13" s="2427"/>
      <c r="H13" s="2427"/>
      <c r="I13" s="1830"/>
    </row>
    <row r="14" spans="1:12" ht="12.75">
      <c r="A14" s="3129" t="s">
        <v>2140</v>
      </c>
      <c r="B14" s="3052">
        <v>30</v>
      </c>
      <c r="C14" s="3132">
        <v>0.5</v>
      </c>
      <c r="D14" s="3152">
        <f>1-C14</f>
        <v>0.5</v>
      </c>
      <c r="E14" s="139" t="s">
        <v>2141</v>
      </c>
      <c r="F14" s="2427"/>
      <c r="G14" s="2427"/>
      <c r="H14" s="2427"/>
      <c r="I14" s="1830"/>
    </row>
    <row r="15" spans="1:12" ht="12.75">
      <c r="A15" s="3129"/>
      <c r="B15" s="3052"/>
      <c r="C15" s="3133"/>
      <c r="D15" s="3152"/>
      <c r="E15" s="139" t="s">
        <v>2142</v>
      </c>
      <c r="F15" s="2427"/>
      <c r="G15" s="2427"/>
      <c r="H15" s="2427"/>
      <c r="I15" s="1830"/>
    </row>
    <row r="16" spans="1:12" ht="12.75">
      <c r="A16" s="3129"/>
      <c r="B16" s="3052"/>
      <c r="C16" s="3134"/>
      <c r="D16" s="3152"/>
      <c r="E16" s="139" t="s">
        <v>2143</v>
      </c>
      <c r="F16" s="2427"/>
      <c r="G16" s="2427"/>
      <c r="H16" s="2427"/>
      <c r="I16" s="1830"/>
    </row>
    <row r="17" spans="1:35" ht="15">
      <c r="A17" s="2428" t="s">
        <v>2144</v>
      </c>
      <c r="B17" s="64"/>
      <c r="C17" s="140">
        <f>SUM(C5:C16)</f>
        <v>0.5</v>
      </c>
      <c r="D17" s="140">
        <f>SUM(D5:D16)</f>
        <v>0.5</v>
      </c>
      <c r="E17" s="137"/>
      <c r="F17" s="137"/>
      <c r="G17" s="137"/>
      <c r="H17" s="137"/>
      <c r="I17" s="137"/>
      <c r="K17" s="2426"/>
      <c r="L17" s="2429" t="s">
        <v>2145</v>
      </c>
      <c r="M17" s="2429" t="s">
        <v>2146</v>
      </c>
    </row>
    <row r="18" spans="1:35" ht="15.75" thickBot="1">
      <c r="A18" s="2430" t="s">
        <v>2147</v>
      </c>
      <c r="B18" s="2431"/>
      <c r="C18" s="141">
        <f>ROUND(C17/SUM(C17:D17),2)</f>
        <v>0.5</v>
      </c>
      <c r="D18" s="141">
        <f>1-C18</f>
        <v>0.5</v>
      </c>
      <c r="E18" s="137"/>
      <c r="F18" s="137"/>
      <c r="G18" s="137"/>
      <c r="H18" s="137"/>
      <c r="I18" s="137"/>
      <c r="K18" s="2426" t="s">
        <v>2148</v>
      </c>
      <c r="L18" s="2426">
        <f>IF(C1="",'数据-汇总表'!E3,SUMIF(项目类型,C1,'数据-汇总表'!E17:E26)+SUMIF(项目类型,C1,'数据-汇总表'!I17:I26))</f>
        <v>14974.55</v>
      </c>
      <c r="M18" s="2426">
        <f>IF(C1="",'数据-汇总表'!E3,SUMIF(项目类型,C1,'数据-汇总表'!E17:E26))</f>
        <v>14974.55</v>
      </c>
    </row>
    <row r="19" spans="1:35" ht="15">
      <c r="A19" s="2432" t="s">
        <v>2149</v>
      </c>
      <c r="B19" s="2433" t="s">
        <v>2150</v>
      </c>
      <c r="C19" s="142">
        <f ca="1">SUMIF(INDIRECT("'"&amp;C4&amp;"'"&amp;"!A:A"),结果表办公!B19,INDIRECT("'"&amp;C4&amp;"'"&amp;"!B:B"))</f>
        <v>63119</v>
      </c>
      <c r="D19" s="143">
        <f ca="1">SUMIF(INDIRECT("'"&amp;D4&amp;"'"&amp;"!A:A"),结果表办公!B19,INDIRECT("'"&amp;D4&amp;"'"&amp;"!B:B"))</f>
        <v>51102</v>
      </c>
      <c r="E19" s="2432" t="s">
        <v>2151</v>
      </c>
      <c r="F19" s="2433" t="s">
        <v>2150</v>
      </c>
      <c r="G19" s="144">
        <f ca="1">ROUND(C19*$C$18+D19*$D$18,0)</f>
        <v>57111</v>
      </c>
      <c r="H19" s="2434" t="s">
        <v>2152</v>
      </c>
      <c r="I19" s="137"/>
      <c r="K19" s="2426" t="s">
        <v>2153</v>
      </c>
      <c r="L19" s="2426">
        <f>IF(C1="",'数据-汇总表'!D3,SUMIF(项目类型,C1,'数据-汇总表'!D17:D26)+SUMIF(项目类型,C1,'数据-汇总表'!H17:H27))</f>
        <v>3260.64</v>
      </c>
      <c r="M19" s="2426">
        <f>IF(C1="",'数据-汇总表'!D3,SUMIF(项目类型,C1,'数据-汇总表'!D17:D26))</f>
        <v>3260.64</v>
      </c>
    </row>
    <row r="20" spans="1:35" ht="15">
      <c r="A20" s="2435"/>
      <c r="B20" s="1246" t="s">
        <v>2154</v>
      </c>
      <c r="C20" s="145">
        <f ca="1">SUMIF(INDIRECT("'"&amp;C4&amp;"'"&amp;"!A:A"),结果表办公!B20,INDIRECT("'"&amp;C4&amp;"'"&amp;"!B:B"))</f>
        <v>42151</v>
      </c>
      <c r="D20" s="146">
        <f ca="1">SUMIF(INDIRECT("'"&amp;D4&amp;"'"&amp;"!A:A"),结果表办公!B20,INDIRECT("'"&amp;D4&amp;"'"&amp;"!B:B"))</f>
        <v>34126</v>
      </c>
      <c r="E20" s="2435"/>
      <c r="F20" s="1246" t="s">
        <v>2154</v>
      </c>
      <c r="G20" s="147">
        <f ca="1">ROUND(C20*$C$18+D20*$D$18,0)</f>
        <v>38139</v>
      </c>
      <c r="H20" s="979" t="s">
        <v>2155</v>
      </c>
      <c r="I20" s="137"/>
    </row>
    <row r="21" spans="1:35" ht="15" customHeight="1" thickBot="1">
      <c r="A21" s="999"/>
      <c r="B21" s="2436" t="s">
        <v>2156</v>
      </c>
      <c r="C21" s="788">
        <f ca="1">ROUND(C19*10000/L19,0)</f>
        <v>193579</v>
      </c>
      <c r="D21" s="789">
        <f ca="1">ROUND(D19*10000/L19,0)</f>
        <v>156724</v>
      </c>
      <c r="E21" s="999"/>
      <c r="F21" s="2436" t="s">
        <v>2156</v>
      </c>
      <c r="G21" s="148">
        <f ca="1">ROUND(G19*10000/L19,0)</f>
        <v>175153</v>
      </c>
      <c r="H21" s="2437" t="s">
        <v>2155</v>
      </c>
      <c r="I21" s="137"/>
    </row>
    <row r="22" spans="1:35" ht="15" thickBot="1">
      <c r="A22" s="2278" t="s">
        <v>2157</v>
      </c>
      <c r="B22" s="2438"/>
      <c r="C22" s="2439"/>
      <c r="D22" s="790">
        <f ca="1">IF(C19&lt;D19,D19/C19-1,C19/D19-1)</f>
        <v>0.23515713670697824</v>
      </c>
      <c r="E22" s="137"/>
      <c r="F22" s="137"/>
      <c r="G22" s="137"/>
      <c r="H22" s="137"/>
      <c r="I22" s="137"/>
    </row>
    <row r="23" spans="1:35" ht="13.5" thickBot="1">
      <c r="A23" s="2416"/>
      <c r="B23" s="2416"/>
      <c r="C23" s="2416"/>
      <c r="D23" s="2416"/>
      <c r="E23" s="137"/>
      <c r="F23" s="137"/>
      <c r="G23" s="137"/>
      <c r="H23" s="137"/>
      <c r="I23" s="137"/>
    </row>
    <row r="24" spans="1:35" ht="14.25">
      <c r="A24" s="3123" t="s">
        <v>2158</v>
      </c>
      <c r="B24" s="2433" t="s">
        <v>2150</v>
      </c>
      <c r="C24" s="144">
        <f>IF(B30=0,0,D30)</f>
        <v>0</v>
      </c>
      <c r="D24" s="2440"/>
      <c r="E24" s="137"/>
      <c r="F24" s="137"/>
      <c r="G24" s="137"/>
      <c r="H24" s="137"/>
      <c r="I24" s="137"/>
    </row>
    <row r="25" spans="1:35" ht="14.25">
      <c r="A25" s="3124"/>
      <c r="B25" s="1246" t="s">
        <v>2154</v>
      </c>
      <c r="C25" s="149">
        <f>IF(B30=0,0,C30)</f>
        <v>0</v>
      </c>
      <c r="D25" s="2441"/>
      <c r="E25" s="137"/>
      <c r="F25" s="137"/>
      <c r="G25" s="137"/>
      <c r="H25" s="137"/>
      <c r="I25" s="137"/>
    </row>
    <row r="26" spans="1:35" ht="13.5" customHeight="1">
      <c r="A26" s="2442" t="s">
        <v>2159</v>
      </c>
      <c r="B26" s="150" t="s">
        <v>2160</v>
      </c>
      <c r="C26" s="150" t="s">
        <v>2161</v>
      </c>
      <c r="D26" s="151" t="s">
        <v>2162</v>
      </c>
      <c r="E26" s="137"/>
      <c r="F26" s="137"/>
      <c r="G26" s="137"/>
      <c r="H26" s="137"/>
      <c r="I26" s="137"/>
    </row>
    <row r="27" spans="1:35" ht="14.25">
      <c r="A27" s="2442"/>
      <c r="B27" s="150">
        <v>0</v>
      </c>
      <c r="C27" s="150">
        <v>0</v>
      </c>
      <c r="D27" s="151">
        <f>ROUND(C27*B27/10000,0)</f>
        <v>0</v>
      </c>
      <c r="E27" s="137"/>
      <c r="F27" s="137"/>
      <c r="G27" s="137"/>
      <c r="H27" s="137"/>
      <c r="I27" s="137"/>
    </row>
    <row r="28" spans="1:35" ht="14.25">
      <c r="A28" s="2442"/>
      <c r="B28" s="150"/>
      <c r="C28" s="150"/>
      <c r="D28" s="151"/>
      <c r="E28" s="137"/>
      <c r="F28" s="137"/>
      <c r="G28" s="137"/>
      <c r="H28" s="137"/>
      <c r="I28" s="137"/>
    </row>
    <row r="29" spans="1:35" ht="14.25">
      <c r="A29" s="2442"/>
      <c r="B29" s="150"/>
      <c r="C29" s="150"/>
      <c r="D29" s="151"/>
      <c r="E29" s="137"/>
      <c r="F29" s="137"/>
      <c r="G29" s="137"/>
      <c r="H29" s="137"/>
      <c r="I29" s="137"/>
    </row>
    <row r="30" spans="1:35" ht="14.25">
      <c r="A30" s="150" t="s">
        <v>2163</v>
      </c>
      <c r="B30" s="150"/>
      <c r="C30" s="150"/>
      <c r="D30" s="150"/>
      <c r="E30" s="2925" t="s">
        <v>3040</v>
      </c>
      <c r="F30" s="137"/>
      <c r="G30" s="137"/>
      <c r="H30" s="137"/>
      <c r="I30" s="137"/>
    </row>
    <row r="31" spans="1:35" s="2444" customFormat="1" ht="15" thickBot="1">
      <c r="A31" s="2443"/>
      <c r="B31" s="2443"/>
      <c r="C31" s="2443"/>
      <c r="D31" s="2443"/>
      <c r="E31" s="137"/>
      <c r="F31" s="137"/>
      <c r="G31" s="137"/>
      <c r="H31" s="137"/>
      <c r="I31" s="137"/>
      <c r="J31" s="794"/>
      <c r="K31" s="794"/>
      <c r="L31" s="794"/>
      <c r="M31" s="794"/>
      <c r="N31" s="794"/>
      <c r="O31" s="794"/>
      <c r="P31" s="794"/>
      <c r="Q31" s="794"/>
      <c r="R31" s="794"/>
      <c r="S31" s="794"/>
      <c r="T31" s="794"/>
      <c r="U31" s="794"/>
      <c r="V31" s="794"/>
      <c r="W31" s="794"/>
      <c r="X31" s="794"/>
      <c r="Y31" s="794"/>
      <c r="Z31" s="794"/>
      <c r="AA31" s="2421"/>
      <c r="AB31" s="2421"/>
      <c r="AC31" s="2421"/>
      <c r="AD31" s="2421"/>
      <c r="AE31" s="2421"/>
      <c r="AF31" s="2421"/>
      <c r="AG31" s="2421"/>
      <c r="AH31" s="2421"/>
      <c r="AI31" s="2421"/>
    </row>
    <row r="32" spans="1:35" ht="15.75" thickBot="1">
      <c r="A32" s="2445" t="s">
        <v>2164</v>
      </c>
      <c r="B32" s="2446"/>
      <c r="C32" s="152">
        <f ca="1">IF(D32="总价",G19-C24,G20-C25)</f>
        <v>57111</v>
      </c>
      <c r="D32" s="2447" t="s">
        <v>2165</v>
      </c>
      <c r="E32" s="137"/>
      <c r="F32" s="137"/>
      <c r="G32" s="137"/>
      <c r="H32" s="137"/>
      <c r="I32" s="137"/>
    </row>
    <row r="33" spans="1:15" ht="15">
      <c r="A33" s="956" t="s">
        <v>2166</v>
      </c>
      <c r="B33" s="2448"/>
      <c r="C33" s="2449"/>
      <c r="D33" s="2450"/>
      <c r="E33" s="2451" t="s">
        <v>2167</v>
      </c>
      <c r="F33" s="2452" t="str">
        <f>IF(D32="楼面单价","取值（单价）","取值（总价）")</f>
        <v>取值（总价）</v>
      </c>
      <c r="G33" s="137"/>
      <c r="H33" s="137"/>
      <c r="I33" s="137"/>
    </row>
    <row r="34" spans="1:15" ht="15">
      <c r="A34" s="2453"/>
      <c r="B34" s="2454" t="s">
        <v>2168</v>
      </c>
      <c r="C34" s="156" t="e">
        <f ca="1">IF(C33="自定义",F34,C32-C35)</f>
        <v>#REF!</v>
      </c>
      <c r="D34" s="1054" t="e">
        <f ca="1">IF(C33="自定义",ROUND(C34/C32,3),IF(C33="收益比率",SUMIF(INDIRECT("'"&amp;D33&amp;"'"&amp;"!b:b"),"土地收益比率",INDIRECT("'"&amp;D33&amp;"'"&amp;"!c:c")),SUMIF(INDIRECT("'"&amp;D33&amp;"'"&amp;"!b:b"),"土地成本比率",INDIRECT("'"&amp;D33&amp;"'"&amp;"!c:c"))))</f>
        <v>#REF!</v>
      </c>
      <c r="E34" s="2455" t="s">
        <v>2169</v>
      </c>
      <c r="F34" s="1735"/>
      <c r="G34" s="137"/>
      <c r="H34" s="137"/>
      <c r="I34" s="137"/>
    </row>
    <row r="35" spans="1:15" ht="15.75" thickBot="1">
      <c r="A35" s="2456"/>
      <c r="B35" s="2457" t="s">
        <v>2170</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8" t="s">
        <v>2171</v>
      </c>
      <c r="F35" s="162"/>
      <c r="G35" s="137"/>
      <c r="H35" s="137"/>
      <c r="I35" s="137"/>
    </row>
    <row r="36" spans="1:15" ht="15.75" thickBot="1">
      <c r="A36" s="3141" t="s">
        <v>2172</v>
      </c>
      <c r="B36" s="2459" t="s">
        <v>2173</v>
      </c>
      <c r="C36" s="153"/>
      <c r="D36" s="2460"/>
      <c r="E36" s="2461"/>
      <c r="F36" s="2462"/>
      <c r="G36" s="137"/>
      <c r="H36" s="137"/>
      <c r="I36" s="137"/>
    </row>
    <row r="37" spans="1:15" ht="15.75" thickBot="1">
      <c r="A37" s="3142"/>
      <c r="B37" s="2264" t="s">
        <v>2174</v>
      </c>
      <c r="C37" s="155"/>
      <c r="D37" s="1391"/>
      <c r="E37" s="1391"/>
      <c r="F37" s="2462"/>
      <c r="G37" s="137"/>
      <c r="H37" s="137"/>
      <c r="I37" s="137"/>
    </row>
    <row r="38" spans="1:15" ht="15.75" thickBot="1">
      <c r="A38" s="3143"/>
      <c r="B38" s="2463" t="s">
        <v>2175</v>
      </c>
      <c r="C38" s="726"/>
      <c r="D38" s="2464" t="s">
        <v>2176</v>
      </c>
      <c r="E38" s="1391"/>
      <c r="F38" s="2462"/>
      <c r="G38" s="137"/>
      <c r="H38" s="137"/>
      <c r="I38" s="137"/>
    </row>
    <row r="39" spans="1:15" ht="15">
      <c r="A39" s="2435" t="s">
        <v>2177</v>
      </c>
      <c r="B39" s="2465" t="s">
        <v>2178</v>
      </c>
      <c r="C39" s="2466" t="s">
        <v>2179</v>
      </c>
      <c r="D39" s="2466" t="s">
        <v>2180</v>
      </c>
      <c r="E39" s="2467" t="s">
        <v>2181</v>
      </c>
      <c r="F39" s="2462"/>
      <c r="G39" s="137"/>
      <c r="H39" s="137"/>
      <c r="I39" s="137"/>
    </row>
    <row r="40" spans="1:15" ht="14.25">
      <c r="A40" s="2468" t="s">
        <v>2182</v>
      </c>
      <c r="B40" s="157"/>
      <c r="C40" s="158"/>
      <c r="D40" s="158"/>
      <c r="E40" s="159"/>
      <c r="F40" s="2462"/>
      <c r="G40" s="137"/>
      <c r="H40" s="137"/>
      <c r="I40" s="137"/>
    </row>
    <row r="41" spans="1:15" ht="14.25">
      <c r="A41" s="2468" t="s">
        <v>2183</v>
      </c>
      <c r="B41" s="157"/>
      <c r="C41" s="158"/>
      <c r="D41" s="158"/>
      <c r="E41" s="159"/>
      <c r="F41" s="2462"/>
      <c r="G41" s="137"/>
      <c r="H41" s="137"/>
      <c r="I41" s="137"/>
    </row>
    <row r="42" spans="1:15" ht="15" thickBot="1">
      <c r="A42" s="2469"/>
      <c r="B42" s="160"/>
      <c r="C42" s="161"/>
      <c r="D42" s="161"/>
      <c r="E42" s="162"/>
      <c r="F42" s="2462"/>
      <c r="G42" s="137"/>
      <c r="H42" s="137"/>
      <c r="I42" s="137"/>
    </row>
    <row r="43" spans="1:15" ht="12.75">
      <c r="A43" s="2163"/>
      <c r="B43" s="2163"/>
      <c r="C43" s="2163"/>
      <c r="D43" s="2163"/>
      <c r="E43" s="2163"/>
      <c r="F43" s="2470"/>
      <c r="G43" s="2470"/>
      <c r="H43" s="2470"/>
      <c r="I43" s="2471"/>
    </row>
    <row r="44" spans="1:15" ht="18.75">
      <c r="A44" s="2472" t="s">
        <v>2184</v>
      </c>
      <c r="B44" s="2473"/>
      <c r="C44" s="2473"/>
      <c r="D44" s="2474"/>
      <c r="E44" s="2474"/>
      <c r="F44" s="2475"/>
      <c r="G44" s="2475"/>
      <c r="H44" s="2475"/>
      <c r="I44" s="2475"/>
      <c r="J44" s="2476" t="s">
        <v>2185</v>
      </c>
      <c r="K44" s="2477"/>
      <c r="L44" s="2477"/>
      <c r="M44" s="2477"/>
      <c r="N44" s="2477"/>
      <c r="O44" s="2477"/>
    </row>
    <row r="45" spans="1:15" ht="14.25" customHeight="1" thickBot="1">
      <c r="A45" s="3120" t="s">
        <v>2186</v>
      </c>
      <c r="B45" s="3121"/>
      <c r="C45" s="3122"/>
      <c r="D45" s="163">
        <f ca="1">ROUND(H101*F45,0)</f>
        <v>57111</v>
      </c>
      <c r="E45" s="164" t="s">
        <v>2187</v>
      </c>
      <c r="F45" s="165">
        <v>1</v>
      </c>
      <c r="G45" s="166" t="s">
        <v>2188</v>
      </c>
      <c r="H45" s="137"/>
      <c r="I45" s="137"/>
      <c r="J45" s="3180" t="s">
        <v>2189</v>
      </c>
      <c r="K45" s="3180"/>
      <c r="L45" s="3180"/>
      <c r="M45" s="3180"/>
      <c r="N45" s="3180"/>
      <c r="O45" s="3180"/>
    </row>
    <row r="46" spans="1:15" ht="14.25" customHeight="1">
      <c r="A46" s="3117" t="s">
        <v>2190</v>
      </c>
      <c r="B46" s="3118"/>
      <c r="C46" s="3118"/>
      <c r="D46" s="3118"/>
      <c r="E46" s="3118"/>
      <c r="F46" s="3118"/>
      <c r="G46" s="3119"/>
      <c r="H46" s="2478"/>
      <c r="I46" s="167"/>
      <c r="J46" s="1808">
        <v>1</v>
      </c>
      <c r="K46" s="3180" t="s">
        <v>2191</v>
      </c>
      <c r="L46" s="3180"/>
      <c r="M46" s="3200"/>
      <c r="N46" s="3200"/>
      <c r="O46" s="3200"/>
    </row>
    <row r="47" spans="1:15" ht="12" customHeight="1">
      <c r="A47" s="168" t="s">
        <v>2192</v>
      </c>
      <c r="B47" s="169"/>
      <c r="C47" s="170"/>
      <c r="D47" s="171" t="s">
        <v>2193</v>
      </c>
      <c r="E47" s="24" t="s">
        <v>2194</v>
      </c>
      <c r="F47" s="172" t="s">
        <v>2195</v>
      </c>
      <c r="G47" s="173" t="s">
        <v>2196</v>
      </c>
      <c r="H47" s="2478"/>
      <c r="I47" s="167"/>
      <c r="J47" s="1808">
        <v>2</v>
      </c>
      <c r="K47" s="3180" t="s">
        <v>2197</v>
      </c>
      <c r="L47" s="3180"/>
      <c r="M47" s="3201">
        <f>'数据-取费表'!B2</f>
        <v>43252</v>
      </c>
      <c r="N47" s="3201"/>
      <c r="O47" s="3201"/>
    </row>
    <row r="48" spans="1:15" ht="25.5">
      <c r="A48" s="3148" t="s">
        <v>2198</v>
      </c>
      <c r="B48" s="3131"/>
      <c r="C48" s="3131"/>
      <c r="D48" s="139">
        <f>IF(H48="情况1",0,IF(H48="情况2",D52,IF(H48="情况3",D53,IF(H48="情况4",D54))))</f>
        <v>0</v>
      </c>
      <c r="E48" s="1797" t="str">
        <f>IF(H48="情况4","(销售额-原购置价)×税（费）率","销售额×税（费）率")</f>
        <v>销售额×税（费）率</v>
      </c>
      <c r="F48" s="174" t="str">
        <f>IF(H48="情况1","免征",'数据-取费表'!B41)</f>
        <v>免征</v>
      </c>
      <c r="G48" s="2479" t="s">
        <v>2199</v>
      </c>
      <c r="H48" s="2480" t="s">
        <v>2200</v>
      </c>
      <c r="I48" s="2478"/>
      <c r="J48" s="1808">
        <v>3</v>
      </c>
      <c r="K48" s="3180" t="s">
        <v>2201</v>
      </c>
      <c r="L48" s="3180"/>
      <c r="M48" s="3202">
        <f ca="1">H101</f>
        <v>57111</v>
      </c>
      <c r="N48" s="3202"/>
      <c r="O48" s="3202"/>
    </row>
    <row r="49" spans="1:35" ht="25.5" customHeight="1">
      <c r="A49" s="175" t="s">
        <v>2202</v>
      </c>
      <c r="B49" s="3116" t="s">
        <v>2203</v>
      </c>
      <c r="C49" s="3116"/>
      <c r="D49" s="176">
        <v>0</v>
      </c>
      <c r="E49" s="23" t="s">
        <v>2204</v>
      </c>
      <c r="F49" s="28" t="s">
        <v>34</v>
      </c>
      <c r="G49" s="3186"/>
      <c r="H49" s="137"/>
      <c r="I49" s="2481"/>
      <c r="J49" s="1808">
        <v>4</v>
      </c>
      <c r="K49" s="3180" t="str">
        <f>IF(项目基本情况!E8="房地产抵押价值","房地产抵押价值","抵押担保权已注销时的房地产抵押价值")</f>
        <v>房地产抵押价值</v>
      </c>
      <c r="L49" s="3180"/>
      <c r="M49" s="3202">
        <f ca="1">IF(项目基本情况!E8="房地产抵押价值",H107,H109)</f>
        <v>57111</v>
      </c>
      <c r="N49" s="3202"/>
      <c r="O49" s="3202"/>
    </row>
    <row r="50" spans="1:35" ht="25.5" customHeight="1">
      <c r="A50" s="177"/>
      <c r="B50" s="3116" t="s">
        <v>2205</v>
      </c>
      <c r="C50" s="3116"/>
      <c r="D50" s="178"/>
      <c r="E50" s="31"/>
      <c r="F50" s="179"/>
      <c r="G50" s="3187"/>
      <c r="H50" s="137"/>
      <c r="I50" s="2481"/>
      <c r="J50" s="3180" t="s">
        <v>2206</v>
      </c>
      <c r="K50" s="3180"/>
      <c r="L50" s="3180"/>
      <c r="M50" s="3180"/>
      <c r="N50" s="3180"/>
      <c r="O50" s="3180"/>
    </row>
    <row r="51" spans="1:35" ht="12" customHeight="1">
      <c r="A51" s="180"/>
      <c r="B51" s="3116" t="s">
        <v>2207</v>
      </c>
      <c r="C51" s="3116"/>
      <c r="D51" s="181"/>
      <c r="E51" s="30"/>
      <c r="F51" s="179"/>
      <c r="G51" s="3188"/>
      <c r="H51" s="137"/>
      <c r="I51" s="2481"/>
      <c r="J51" s="2482" t="s">
        <v>2208</v>
      </c>
      <c r="K51" s="3180" t="s">
        <v>2209</v>
      </c>
      <c r="L51" s="3180"/>
      <c r="M51" s="2482" t="s">
        <v>2210</v>
      </c>
      <c r="N51" s="2482" t="s">
        <v>2211</v>
      </c>
      <c r="O51" s="2482" t="s">
        <v>2212</v>
      </c>
    </row>
    <row r="52" spans="1:35" ht="24" customHeight="1">
      <c r="A52" s="182" t="s">
        <v>2213</v>
      </c>
      <c r="B52" s="3116" t="s">
        <v>2214</v>
      </c>
      <c r="C52" s="3116"/>
      <c r="D52" s="181">
        <f ca="1">ROUND(D45*'数据-取费表'!B41/(1+'数据-取费表'!C42),0)</f>
        <v>2992</v>
      </c>
      <c r="E52" s="11" t="s">
        <v>2215</v>
      </c>
      <c r="F52" s="183">
        <f>'数据-取费表'!B41</f>
        <v>5.5000000000000007E-2</v>
      </c>
      <c r="G52" s="2483"/>
      <c r="H52" s="137"/>
      <c r="I52" s="2481"/>
      <c r="J52" s="1808">
        <v>1</v>
      </c>
      <c r="K52" s="3181" t="s">
        <v>2216</v>
      </c>
      <c r="L52" s="3181"/>
      <c r="M52" s="1750">
        <f>D48</f>
        <v>0</v>
      </c>
      <c r="N52" s="1808" t="str">
        <f>E48</f>
        <v>销售额×税（费）率</v>
      </c>
      <c r="O52" s="1751" t="str">
        <f>F48</f>
        <v>免征</v>
      </c>
    </row>
    <row r="53" spans="1:35" ht="12" customHeight="1">
      <c r="A53" s="182" t="s">
        <v>2217</v>
      </c>
      <c r="B53" s="3139" t="s">
        <v>2218</v>
      </c>
      <c r="C53" s="3140"/>
      <c r="D53" s="181">
        <f ca="1">ROUND(D45*'数据-取费表'!B41/(1+'数据-取费表'!C42),0)</f>
        <v>2992</v>
      </c>
      <c r="E53" s="11" t="s">
        <v>2215</v>
      </c>
      <c r="F53" s="183">
        <f>'数据-取费表'!B41</f>
        <v>5.5000000000000007E-2</v>
      </c>
      <c r="G53" s="2483"/>
      <c r="H53" s="137"/>
      <c r="I53" s="2481"/>
      <c r="J53" s="1808">
        <v>2</v>
      </c>
      <c r="K53" s="3181" t="s">
        <v>2219</v>
      </c>
      <c r="L53" s="3181"/>
      <c r="M53" s="1750">
        <f t="shared" ref="M53:O54" ca="1" si="0">D55</f>
        <v>29</v>
      </c>
      <c r="N53" s="1808" t="str">
        <f t="shared" si="0"/>
        <v>销售额×税（费）率</v>
      </c>
      <c r="O53" s="1751">
        <f t="shared" si="0"/>
        <v>5.0000000000000001E-4</v>
      </c>
    </row>
    <row r="54" spans="1:35" ht="12" customHeight="1">
      <c r="A54" s="182" t="s">
        <v>2220</v>
      </c>
      <c r="B54" s="3139" t="s">
        <v>2221</v>
      </c>
      <c r="C54" s="3140"/>
      <c r="D54" s="181">
        <f ca="1">C68</f>
        <v>2992</v>
      </c>
      <c r="E54" s="30" t="s">
        <v>2222</v>
      </c>
      <c r="F54" s="183">
        <f>'数据-取费表'!B41</f>
        <v>5.5000000000000007E-2</v>
      </c>
      <c r="G54" s="2483"/>
      <c r="H54" s="2484"/>
      <c r="I54" s="2481"/>
      <c r="J54" s="1808">
        <v>3</v>
      </c>
      <c r="K54" s="3181" t="s">
        <v>2223</v>
      </c>
      <c r="L54" s="3181"/>
      <c r="M54" s="1750">
        <f t="shared" ca="1" si="0"/>
        <v>32376</v>
      </c>
      <c r="N54" s="1808" t="str">
        <f t="shared" si="0"/>
        <v>增值额×税（费）率</v>
      </c>
      <c r="O54" s="1752" t="str">
        <f t="shared" si="0"/>
        <v>——</v>
      </c>
    </row>
    <row r="55" spans="1:35" ht="24" customHeight="1">
      <c r="A55" s="3130" t="s">
        <v>2224</v>
      </c>
      <c r="B55" s="3131"/>
      <c r="C55" s="3131"/>
      <c r="D55" s="184">
        <f ca="1">IF(H55="个人住宅",0,ROUND(D45*I55,0))</f>
        <v>29</v>
      </c>
      <c r="E55" s="11" t="s">
        <v>2225</v>
      </c>
      <c r="F55" s="183">
        <f>IF(H55="正常",I55,"免征")</f>
        <v>5.0000000000000001E-4</v>
      </c>
      <c r="G55" s="2483"/>
      <c r="H55" s="2480" t="s">
        <v>2226</v>
      </c>
      <c r="I55" s="185">
        <f>'数据-取费表'!B49</f>
        <v>5.0000000000000001E-4</v>
      </c>
      <c r="J55" s="1808" t="str">
        <f>IF(H59="非个人房产","",4)</f>
        <v/>
      </c>
      <c r="K55" s="3181" t="str">
        <f>IF(H59="非个人房产","——","个人所得税")</f>
        <v>——</v>
      </c>
      <c r="L55" s="3181"/>
      <c r="M55" s="1753" t="str">
        <f>D59</f>
        <v>——</v>
      </c>
      <c r="N55" s="1806" t="str">
        <f>E59</f>
        <v>——</v>
      </c>
      <c r="O55" s="1754" t="str">
        <f>F59</f>
        <v>——</v>
      </c>
    </row>
    <row r="56" spans="1:35" ht="24.75">
      <c r="A56" s="3130" t="s">
        <v>2227</v>
      </c>
      <c r="B56" s="3131"/>
      <c r="C56" s="3131"/>
      <c r="D56" s="184">
        <f ca="1">IF(H56="个人住宅",D57,D58)</f>
        <v>32376</v>
      </c>
      <c r="E56" s="11" t="s">
        <v>2228</v>
      </c>
      <c r="F56" s="183" t="str">
        <f>IF(H56="正常",F58,"免征")</f>
        <v>——</v>
      </c>
      <c r="G56" s="2485" t="s">
        <v>2229</v>
      </c>
      <c r="H56" s="2486" t="s">
        <v>2226</v>
      </c>
      <c r="I56" s="2487"/>
      <c r="J56" s="1808" t="str">
        <f>IF(项目基本情况!K6="上海银行",IF(J55="",4,J55+1),"")</f>
        <v/>
      </c>
      <c r="K56" s="3204" t="str">
        <f>IF(项目基本情况!K6="上海银行","其他处置费用","")</f>
        <v/>
      </c>
      <c r="L56" s="3205"/>
      <c r="M56" s="1750" t="str">
        <f>IF(项目基本情况!K6="上海银行",M69,"")</f>
        <v/>
      </c>
      <c r="N56" s="3207" t="str">
        <f>IF(项目基本情况!K6="上海银行","包含处置中涉及的律师、诉讼、拍卖、评估等费用","")</f>
        <v/>
      </c>
      <c r="O56" s="3208"/>
    </row>
    <row r="57" spans="1:35" ht="12.75">
      <c r="A57" s="182" t="s">
        <v>2202</v>
      </c>
      <c r="B57" s="3146" t="s">
        <v>2230</v>
      </c>
      <c r="C57" s="3155"/>
      <c r="D57" s="186">
        <v>0</v>
      </c>
      <c r="E57" s="23" t="s">
        <v>2204</v>
      </c>
      <c r="F57" s="154"/>
      <c r="G57" s="2483"/>
      <c r="H57" s="2487"/>
      <c r="I57" s="2487"/>
      <c r="J57" s="3181">
        <f>IF(AND(J55="",J56=""),4,IF(项目基本情况!K6="上海银行",结果表办公!J56+1,结果表办公!J55+1))</f>
        <v>4</v>
      </c>
      <c r="K57" s="3181" t="s">
        <v>2231</v>
      </c>
      <c r="L57" s="2488" t="s">
        <v>2232</v>
      </c>
      <c r="M57" s="1755"/>
      <c r="N57" s="1756">
        <f ca="1">SUMIF(M52:M56,"&lt;9e307")</f>
        <v>32405</v>
      </c>
      <c r="O57" s="2489"/>
      <c r="P57" s="1749">
        <f ca="1">N57/M49</f>
        <v>0.56740382763390595</v>
      </c>
    </row>
    <row r="58" spans="1:35" ht="24.75">
      <c r="A58" s="182" t="s">
        <v>2213</v>
      </c>
      <c r="B58" s="3146" t="s">
        <v>2233</v>
      </c>
      <c r="C58" s="3147"/>
      <c r="D58" s="184">
        <f ca="1">IF(H58="转让取得",C81,C97)</f>
        <v>32376</v>
      </c>
      <c r="E58" s="11" t="s">
        <v>2228</v>
      </c>
      <c r="F58" s="24" t="s">
        <v>34</v>
      </c>
      <c r="G58" s="2483"/>
      <c r="H58" s="2486" t="s">
        <v>2234</v>
      </c>
      <c r="I58" s="2487"/>
      <c r="J58" s="3181"/>
      <c r="K58" s="3181"/>
      <c r="L58" s="2488" t="s">
        <v>2235</v>
      </c>
      <c r="M58" s="1757"/>
      <c r="N58" s="2490" t="str">
        <f ca="1">NUMBERSTRING(INT(N57*10000),2)&amp;"元整"</f>
        <v>叁亿贰仟肆佰零伍万元整</v>
      </c>
      <c r="O58" s="2491"/>
    </row>
    <row r="59" spans="1:35" ht="24.75" thickBot="1">
      <c r="A59" s="3184" t="s">
        <v>2236</v>
      </c>
      <c r="B59" s="3185"/>
      <c r="C59" s="3185"/>
      <c r="D59" s="187" t="str">
        <f>IF(H59="非个人房产","——",IF(H59="个人住宅",0,ROUND(D45*I59,0)))</f>
        <v>——</v>
      </c>
      <c r="E59" s="188" t="str">
        <f>IF(H59="非个人房产","——","销售额×税（费）率")</f>
        <v>——</v>
      </c>
      <c r="F59" s="189" t="str">
        <f>IF(H59="非个人房产","——",IF(H59="个人住宅","免征",I59))</f>
        <v>——</v>
      </c>
      <c r="G59" s="2492" t="s">
        <v>2229</v>
      </c>
      <c r="H59" s="2486" t="s">
        <v>2237</v>
      </c>
      <c r="I59" s="190">
        <v>0.01</v>
      </c>
      <c r="J59" s="3182">
        <f>J57+1</f>
        <v>5</v>
      </c>
      <c r="K59" s="3181" t="s">
        <v>2238</v>
      </c>
      <c r="L59" s="1808" t="s">
        <v>2232</v>
      </c>
      <c r="M59" s="1758"/>
      <c r="N59" s="1759">
        <f ca="1">M49-N57</f>
        <v>24706</v>
      </c>
      <c r="O59" s="2493"/>
    </row>
    <row r="60" spans="1:35" ht="12" customHeight="1">
      <c r="A60" s="2494"/>
      <c r="B60" s="2416"/>
      <c r="C60" s="2416"/>
      <c r="D60" s="2416"/>
      <c r="E60" s="2164"/>
      <c r="F60" s="2487"/>
      <c r="G60" s="2487"/>
      <c r="H60" s="2495"/>
      <c r="I60" s="137"/>
      <c r="J60" s="3183"/>
      <c r="K60" s="3181"/>
      <c r="L60" s="2488" t="s">
        <v>2235</v>
      </c>
      <c r="M60" s="1757"/>
      <c r="N60" s="2490" t="str">
        <f ca="1">NUMBERSTRING(INT(N59*10000),2)&amp;"元整"</f>
        <v>贰亿肆仟柒佰零陆万元整</v>
      </c>
      <c r="O60" s="2491"/>
    </row>
    <row r="61" spans="1:35" ht="13.5" thickBot="1">
      <c r="A61" s="3128" t="s">
        <v>2239</v>
      </c>
      <c r="B61" s="3128"/>
      <c r="C61" s="3128"/>
      <c r="D61" s="3128"/>
      <c r="E61" s="3128"/>
      <c r="F61" s="2487"/>
      <c r="G61" s="2487"/>
      <c r="H61" s="2495"/>
      <c r="I61" s="137"/>
      <c r="J61" s="1808">
        <f>J59+1</f>
        <v>6</v>
      </c>
      <c r="K61" s="3181" t="s">
        <v>2240</v>
      </c>
      <c r="L61" s="3181"/>
      <c r="M61" s="1760"/>
      <c r="N61" s="1761">
        <f ca="1">ROUND(N59*10000/'数据-汇总表'!E3,0)</f>
        <v>16499</v>
      </c>
      <c r="O61" s="2496"/>
    </row>
    <row r="62" spans="1:35" ht="12.75">
      <c r="A62" s="3144" t="s">
        <v>2241</v>
      </c>
      <c r="B62" s="3145"/>
      <c r="C62" s="1800"/>
      <c r="D62" s="1800" t="s">
        <v>2242</v>
      </c>
      <c r="E62" s="191" t="s">
        <v>2243</v>
      </c>
      <c r="F62" s="2487"/>
      <c r="G62" s="2487"/>
      <c r="H62" s="2495"/>
      <c r="I62" s="137"/>
    </row>
    <row r="63" spans="1:35" ht="12.75">
      <c r="A63" s="202" t="s">
        <v>775</v>
      </c>
      <c r="B63" s="192" t="s">
        <v>2244</v>
      </c>
      <c r="C63" s="193">
        <f ca="1">ROUND((C64+C65)/(1+'数据-取费表'!C42),0)</f>
        <v>54391</v>
      </c>
      <c r="D63" s="194"/>
      <c r="E63" s="195"/>
      <c r="F63" s="2487"/>
      <c r="G63" s="2487"/>
      <c r="H63" s="2495"/>
      <c r="I63" s="137"/>
      <c r="J63" s="3206" t="s">
        <v>2245</v>
      </c>
      <c r="K63" s="2497" t="s">
        <v>2246</v>
      </c>
      <c r="L63" s="1748">
        <f ca="1">IF(M49&gt;10000,M49*0.5%,IF(AND(M49&gt;1000,M49&lt;=10000),M49*1%,IF(AND(M49&gt;100,M49&lt;=1000),M49*3%,IF(AND(M49&gt;10,M49&lt;=100),M49*5%,M49*8%))))</f>
        <v>285.55500000000001</v>
      </c>
      <c r="M63" s="24">
        <f ca="1">ROUND(L63,1)</f>
        <v>285.60000000000002</v>
      </c>
      <c r="Z63" s="2421"/>
      <c r="AI63" s="2422"/>
    </row>
    <row r="64" spans="1:35" ht="14.25" customHeight="1">
      <c r="A64" s="196" t="s">
        <v>770</v>
      </c>
      <c r="B64" s="197" t="s">
        <v>2247</v>
      </c>
      <c r="C64" s="198">
        <f ca="1">D45</f>
        <v>57111</v>
      </c>
      <c r="D64" s="199" t="s">
        <v>32</v>
      </c>
      <c r="E64" s="200"/>
      <c r="F64" s="2487"/>
      <c r="G64" s="2487"/>
      <c r="H64" s="2495"/>
      <c r="I64" s="137"/>
      <c r="J64" s="3206"/>
      <c r="K64" s="2497" t="s">
        <v>2248</v>
      </c>
      <c r="L64" s="1748">
        <f ca="1">IF(M49&gt;2000,M49*0.5%,IF(AND(M49&gt;1000,M49&lt;=2000),M49*0.6%,IF(AND(M49&gt;500,M49&lt;=1000),M49*0.7%,IF(AND(M49&gt;200,M49&lt;=500),M49*0.8%,IF(AND(M49&gt;100,M49&lt;=200),M49*0.9%,IF(AND(M49&gt;50,M49&lt;=100),M49*1%,IF(AND(M49&gt;20,M49&lt;=50),M49*1.5%,IF(AND(M49&gt;10,M49&lt;=20),M49*2%,IF(AND(M49&gt;1,M49&lt;=10),M49*2.5%)))))))))</f>
        <v>285.55500000000001</v>
      </c>
      <c r="M64" s="24">
        <f t="shared" ref="M64:M65" ca="1" si="1">ROUND(L64,1)</f>
        <v>285.60000000000002</v>
      </c>
      <c r="N64" s="137" t="s">
        <v>2249</v>
      </c>
      <c r="Z64" s="2421"/>
      <c r="AI64" s="2422"/>
    </row>
    <row r="65" spans="1:35" ht="14.25" customHeight="1">
      <c r="A65" s="196" t="s">
        <v>771</v>
      </c>
      <c r="B65" s="197" t="s">
        <v>2250</v>
      </c>
      <c r="C65" s="201"/>
      <c r="D65" s="199"/>
      <c r="E65" s="200"/>
      <c r="F65" s="2487"/>
      <c r="G65" s="2487"/>
      <c r="H65" s="2495"/>
      <c r="I65" s="137"/>
      <c r="J65" s="3206"/>
      <c r="K65" s="2497" t="s">
        <v>2251</v>
      </c>
      <c r="L65" s="1748">
        <f ca="1">IF(M49&gt;1000,M49*0.1%,IF(AND(M49&gt;500,M49&lt;=1000),M49*0.5%,IF(AND(M49&gt;50,M49&lt;=500),M49*1%,IF(AND(M49&gt;1,M49&lt;=50),M49*1.5%))))</f>
        <v>57.111000000000004</v>
      </c>
      <c r="M65" s="24">
        <f t="shared" ca="1" si="1"/>
        <v>57.1</v>
      </c>
      <c r="N65" s="137" t="s">
        <v>2249</v>
      </c>
      <c r="Z65" s="2421"/>
      <c r="AI65" s="2422"/>
    </row>
    <row r="66" spans="1:35" ht="14.25" customHeight="1">
      <c r="A66" s="202" t="s">
        <v>772</v>
      </c>
      <c r="B66" s="203" t="s">
        <v>2252</v>
      </c>
      <c r="C66" s="204"/>
      <c r="D66" s="205" t="s">
        <v>32</v>
      </c>
      <c r="E66" s="1772" t="s">
        <v>1371</v>
      </c>
      <c r="F66" s="2487"/>
      <c r="G66" s="2487"/>
      <c r="H66" s="2495"/>
      <c r="I66" s="137"/>
      <c r="J66" s="3206"/>
      <c r="K66" s="2497" t="s">
        <v>2253</v>
      </c>
      <c r="L66" s="1748">
        <f ca="1">M49*0.5%</f>
        <v>285.55500000000001</v>
      </c>
      <c r="M66" s="24">
        <f ca="1">IF(L66&gt;0.5,0.5,ROUND(L66,0))</f>
        <v>0.5</v>
      </c>
      <c r="N66" s="137" t="s">
        <v>2254</v>
      </c>
      <c r="Z66" s="2421"/>
      <c r="AI66" s="2422"/>
    </row>
    <row r="67" spans="1:35" ht="14.25" customHeight="1">
      <c r="A67" s="202" t="s">
        <v>773</v>
      </c>
      <c r="B67" s="203" t="s">
        <v>2255</v>
      </c>
      <c r="C67" s="206">
        <f ca="1">C63-C66</f>
        <v>54391</v>
      </c>
      <c r="D67" s="199" t="s">
        <v>32</v>
      </c>
      <c r="E67" s="200"/>
      <c r="F67" s="2487"/>
      <c r="G67" s="2487"/>
      <c r="H67" s="2495"/>
      <c r="I67" s="137"/>
      <c r="J67" s="3206"/>
      <c r="K67" s="2497" t="s">
        <v>2256</v>
      </c>
      <c r="L67" s="1748">
        <f ca="1">IF(M49&gt;=10000,(8.25+(M49-10000)*0.01%),IF(AND(M49&gt;=8000,M49&lt;10000),(7.85+(M49-8000)*0.02%),IF(AND(M49&gt;=5000,M49&lt;8000),(6.65+(M49-5000)*0.04%),IF(AND(M49&gt;=2000,M49&lt;5000),(4.25+(PM49-2000)*0.08%),IF(AND(M49&gt;=1000,M49&lt;2000),(2.75+(M49-1000)*0.15%),IF(AND(M49&gt;=100,M49&lt;1000),(0.5+(M49-100)*0.25%),IF(AND(M49&gt;0,M49&lt;100),M49*0.5%)))))))</f>
        <v>12.9611</v>
      </c>
      <c r="M67" s="24">
        <f ca="1">ROUND(L67*0.9,1)</f>
        <v>11.7</v>
      </c>
      <c r="Z67" s="2421"/>
      <c r="AI67" s="2422"/>
    </row>
    <row r="68" spans="1:35" ht="14.25" customHeight="1" thickBot="1">
      <c r="A68" s="207" t="s">
        <v>774</v>
      </c>
      <c r="B68" s="208" t="s">
        <v>2257</v>
      </c>
      <c r="C68" s="209">
        <f ca="1">IF(C67&lt;=0,0,ROUND(C67*D68,0))</f>
        <v>2992</v>
      </c>
      <c r="D68" s="210">
        <f>'数据-取费表'!B41</f>
        <v>5.5000000000000007E-2</v>
      </c>
      <c r="E68" s="211"/>
      <c r="F68" s="2487"/>
      <c r="G68" s="2487"/>
      <c r="H68" s="2495"/>
      <c r="I68" s="137"/>
      <c r="J68" s="3206"/>
      <c r="K68" s="2497" t="s">
        <v>2258</v>
      </c>
      <c r="L68" s="1748">
        <f ca="1">IF(M49&gt;10000,M49*0.5%,IF(AND(M49&gt;5000,M49&lt;=10000),M49*1%,IF(AND(M49&gt;1000,M49&lt;=5000),M49*2%,IF(AND(M49&gt;200,M49&lt;=1000),M49*3%,M49*5%))))</f>
        <v>285.55500000000001</v>
      </c>
      <c r="M68" s="24">
        <f ca="1">ROUND(L68,1)</f>
        <v>285.60000000000002</v>
      </c>
      <c r="Z68" s="2421"/>
      <c r="AI68" s="2422"/>
    </row>
    <row r="69" spans="1:35" s="2444" customFormat="1" ht="16.5" customHeight="1">
      <c r="A69" s="2498"/>
      <c r="B69" s="2499"/>
      <c r="C69" s="2500"/>
      <c r="D69" s="2501"/>
      <c r="E69" s="2502"/>
      <c r="F69" s="2164"/>
      <c r="G69" s="2164"/>
      <c r="H69" s="2163"/>
      <c r="I69" s="2416"/>
      <c r="J69" s="3206"/>
      <c r="K69" s="2497" t="s">
        <v>2259</v>
      </c>
      <c r="L69" s="2503"/>
      <c r="M69" s="24">
        <f ca="1">ROUND(SUM(M63:M68),0)</f>
        <v>926</v>
      </c>
      <c r="N69" s="1749">
        <f ca="1">M69/M49</f>
        <v>1.6214039326924761E-2</v>
      </c>
      <c r="O69" s="794"/>
      <c r="P69" s="794"/>
      <c r="Q69" s="794"/>
      <c r="R69" s="794"/>
      <c r="S69" s="794"/>
      <c r="T69" s="794"/>
      <c r="U69" s="794"/>
      <c r="V69" s="794"/>
      <c r="W69" s="794"/>
      <c r="X69" s="794"/>
      <c r="Y69" s="794"/>
      <c r="Z69" s="2421"/>
      <c r="AA69" s="2421"/>
      <c r="AB69" s="2421"/>
      <c r="AC69" s="2421"/>
      <c r="AD69" s="2421"/>
      <c r="AE69" s="2421"/>
      <c r="AF69" s="2421"/>
      <c r="AG69" s="2421"/>
      <c r="AH69" s="2421"/>
    </row>
    <row r="70" spans="1:35" s="2505" customFormat="1" ht="15" thickBot="1">
      <c r="A70" s="3165" t="s">
        <v>2260</v>
      </c>
      <c r="B70" s="3166"/>
      <c r="C70" s="3166"/>
      <c r="D70" s="3166"/>
      <c r="E70" s="3166"/>
      <c r="F70" s="3166"/>
      <c r="G70" s="3166"/>
      <c r="H70" s="3166"/>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44" t="s">
        <v>2241</v>
      </c>
      <c r="B71" s="3145"/>
      <c r="C71" s="1800"/>
      <c r="D71" s="1800" t="s">
        <v>2242</v>
      </c>
      <c r="E71" s="212" t="s">
        <v>2243</v>
      </c>
      <c r="F71" s="213"/>
      <c r="G71" s="213"/>
      <c r="H71" s="214"/>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2" t="s">
        <v>775</v>
      </c>
      <c r="B72" s="203" t="s">
        <v>2261</v>
      </c>
      <c r="C72" s="206">
        <f ca="1">ROUND(D45/(1+'数据-取费表'!C42),0)</f>
        <v>54391</v>
      </c>
      <c r="D72" s="199" t="s">
        <v>32</v>
      </c>
      <c r="E72" s="1799"/>
      <c r="F72" s="1793"/>
      <c r="G72" s="1793"/>
      <c r="H72" s="215"/>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2" t="s">
        <v>772</v>
      </c>
      <c r="B73" s="172" t="s">
        <v>2262</v>
      </c>
      <c r="C73" s="206">
        <f ca="1">C74+C78</f>
        <v>272</v>
      </c>
      <c r="D73" s="199" t="s">
        <v>32</v>
      </c>
      <c r="E73" s="1799"/>
      <c r="F73" s="1793"/>
      <c r="G73" s="1793"/>
      <c r="H73" s="215"/>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6" t="s">
        <v>770</v>
      </c>
      <c r="B74" s="197" t="s">
        <v>2263</v>
      </c>
      <c r="C74" s="199">
        <f>ROUND(IF(G77="2016年5月1日后购买",C75/(1+'数据-取费表'!C42)+C76+C77,C75+C76+C77),0)</f>
        <v>0</v>
      </c>
      <c r="D74" s="199" t="s">
        <v>32</v>
      </c>
      <c r="E74" s="1799"/>
      <c r="F74" s="1793"/>
      <c r="G74" s="1793"/>
      <c r="H74" s="215"/>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6" t="s">
        <v>776</v>
      </c>
      <c r="B75" s="197" t="s">
        <v>2264</v>
      </c>
      <c r="C75" s="217"/>
      <c r="D75" s="199" t="s">
        <v>32</v>
      </c>
      <c r="E75" s="218" t="s">
        <v>2265</v>
      </c>
      <c r="F75" s="2509" t="s">
        <v>2266</v>
      </c>
      <c r="G75" s="218" t="s">
        <v>2267</v>
      </c>
      <c r="H75" s="219"/>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6" t="s">
        <v>777</v>
      </c>
      <c r="B76" s="220" t="s">
        <v>2268</v>
      </c>
      <c r="C76" s="199">
        <f>IF(F75="购房发票",ROUND(C75*H75*D76,0),0)</f>
        <v>0</v>
      </c>
      <c r="D76" s="221">
        <v>0.05</v>
      </c>
      <c r="E76" s="3139" t="s">
        <v>2269</v>
      </c>
      <c r="F76" s="3116"/>
      <c r="G76" s="3116"/>
      <c r="H76" s="3164"/>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6" t="s">
        <v>778</v>
      </c>
      <c r="B77" s="197" t="s">
        <v>2270</v>
      </c>
      <c r="C77" s="199">
        <f>ROUND(IF(G77="个人住宅",0,IF(G77="2016年5月1日前购买",C75*D77,C75*D77/(1+'数据-取费表'!C42))),0)</f>
        <v>0</v>
      </c>
      <c r="D77" s="222">
        <f>'数据-取费表'!B48+'数据-取费表'!B49</f>
        <v>3.0499999999999999E-2</v>
      </c>
      <c r="E77" s="15" t="s">
        <v>2271</v>
      </c>
      <c r="F77" s="223"/>
      <c r="G77" s="2511" t="s">
        <v>2272</v>
      </c>
      <c r="H77" s="1804"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6" t="s">
        <v>771</v>
      </c>
      <c r="B78" s="197" t="s">
        <v>2273</v>
      </c>
      <c r="C78" s="224">
        <f ca="1">ROUND(D45*D78/(1+'数据-取费表'!C42),0)</f>
        <v>272</v>
      </c>
      <c r="D78" s="225">
        <f>'数据-取费表'!B43</f>
        <v>5.000000000000001E-3</v>
      </c>
      <c r="E78" s="3125" t="s">
        <v>2274</v>
      </c>
      <c r="F78" s="3126"/>
      <c r="G78" s="3126"/>
      <c r="H78" s="3135"/>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3" t="s">
        <v>2275</v>
      </c>
      <c r="C79" s="206">
        <f ca="1">C72-C73</f>
        <v>54119</v>
      </c>
      <c r="D79" s="199" t="s">
        <v>32</v>
      </c>
      <c r="E79" s="1799"/>
      <c r="F79" s="1793"/>
      <c r="G79" s="1793"/>
      <c r="H79" s="215"/>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3" t="s">
        <v>2276</v>
      </c>
      <c r="C80" s="226">
        <f ca="1">IF(C79&lt;=0,0,C79/C73)</f>
        <v>198.96691176470588</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5"/>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8" t="s">
        <v>2277</v>
      </c>
      <c r="C81" s="227">
        <f ca="1">ROUND(IF(C79&lt;=0,0,IF(C80&gt;=200%,C79*60%-C73*35%,IF(C80&gt;=100%,C79*50%-C73*15%,IF(C80&gt;=50%,C79*40%-C73*5%,IF(C80&lt;50%,C79*30%,0))))),0)</f>
        <v>32376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2"/>
      <c r="B82" s="733"/>
      <c r="C82" s="7"/>
      <c r="D82" s="7"/>
      <c r="E82" s="733"/>
      <c r="F82" s="733"/>
      <c r="G82" s="733"/>
      <c r="H82" s="734"/>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65" t="s">
        <v>2278</v>
      </c>
      <c r="B83" s="3166"/>
      <c r="C83" s="3166"/>
      <c r="D83" s="3166"/>
      <c r="E83" s="3166"/>
      <c r="F83" s="3166"/>
      <c r="G83" s="3166"/>
      <c r="H83" s="3166"/>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44" t="s">
        <v>2241</v>
      </c>
      <c r="B84" s="3145"/>
      <c r="C84" s="1800"/>
      <c r="D84" s="1800" t="s">
        <v>2242</v>
      </c>
      <c r="E84" s="212" t="s">
        <v>2243</v>
      </c>
      <c r="F84" s="213"/>
      <c r="G84" s="213"/>
      <c r="H84" s="232"/>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2" t="s">
        <v>775</v>
      </c>
      <c r="B85" s="203" t="s">
        <v>2261</v>
      </c>
      <c r="C85" s="206">
        <f ca="1">ROUND(D45/(1+'数据-取费表'!C42),0)</f>
        <v>54391</v>
      </c>
      <c r="D85" s="199" t="s">
        <v>32</v>
      </c>
      <c r="E85" s="1799"/>
      <c r="F85" s="1793"/>
      <c r="G85" s="1793"/>
      <c r="H85" s="233"/>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2" t="s">
        <v>772</v>
      </c>
      <c r="B86" s="172" t="s">
        <v>2262</v>
      </c>
      <c r="C86" s="206">
        <f ca="1">IF(H88="仅含出让金",C87+C90+C91+C92+C93+C94,C87+C91+C92+C93+C94)</f>
        <v>272</v>
      </c>
      <c r="D86" s="234"/>
      <c r="E86" s="1799"/>
      <c r="F86" s="1793"/>
      <c r="G86" s="1793"/>
      <c r="H86" s="233"/>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6" t="s">
        <v>770</v>
      </c>
      <c r="B87" s="197" t="s">
        <v>2279</v>
      </c>
      <c r="C87" s="224">
        <f>C88+C89</f>
        <v>0</v>
      </c>
      <c r="D87" s="225"/>
      <c r="E87" s="1795"/>
      <c r="F87" s="1796"/>
      <c r="G87" s="1796"/>
      <c r="H87" s="1798"/>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6" t="s">
        <v>776</v>
      </c>
      <c r="B88" s="197" t="s">
        <v>2280</v>
      </c>
      <c r="C88" s="235"/>
      <c r="D88" s="225"/>
      <c r="E88" s="236" t="s">
        <v>2281</v>
      </c>
      <c r="F88" s="1796"/>
      <c r="G88" s="237" t="s">
        <v>2282</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6" t="s">
        <v>777</v>
      </c>
      <c r="B89" s="197" t="s">
        <v>2270</v>
      </c>
      <c r="C89" s="224">
        <f>ROUND(C88*D89,0)</f>
        <v>0</v>
      </c>
      <c r="D89" s="225">
        <f>'数据-取费表'!B48+'数据-取费表'!B49</f>
        <v>3.0499999999999999E-2</v>
      </c>
      <c r="E89" s="236" t="s">
        <v>2283</v>
      </c>
      <c r="F89" s="1796"/>
      <c r="G89" s="1796"/>
      <c r="H89" s="1798"/>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6" t="s">
        <v>771</v>
      </c>
      <c r="B90" s="197" t="s">
        <v>2284</v>
      </c>
      <c r="C90" s="235"/>
      <c r="D90" s="225"/>
      <c r="E90" s="236" t="str">
        <f>IF(H88="-","土地取得成本中已包含该笔费用"," ")</f>
        <v xml:space="preserve"> </v>
      </c>
      <c r="F90" s="1796"/>
      <c r="G90" s="1796"/>
      <c r="H90" s="1798"/>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6" t="s">
        <v>2285</v>
      </c>
      <c r="B91" s="197" t="s">
        <v>2286</v>
      </c>
      <c r="C91" s="224">
        <f>IF(H91="——",成本法!C33,I91)</f>
        <v>0</v>
      </c>
      <c r="D91" s="225"/>
      <c r="E91" s="3125" t="s">
        <v>2287</v>
      </c>
      <c r="F91" s="3126"/>
      <c r="G91" s="3126"/>
      <c r="H91" s="2516" t="s">
        <v>2288</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6" t="s">
        <v>2289</v>
      </c>
      <c r="B92" s="197" t="s">
        <v>2290</v>
      </c>
      <c r="C92" s="224">
        <f>ROUND((C87+C90+C91)*D92,0)</f>
        <v>0</v>
      </c>
      <c r="D92" s="225">
        <v>0.1</v>
      </c>
      <c r="E92" s="3125" t="s">
        <v>2291</v>
      </c>
      <c r="F92" s="3126"/>
      <c r="G92" s="3126"/>
      <c r="H92" s="3135"/>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6" t="s">
        <v>2292</v>
      </c>
      <c r="B93" s="197" t="s">
        <v>2273</v>
      </c>
      <c r="C93" s="224">
        <f ca="1">ROUND(D45*D93/(1+'数据-取费表'!C42),0)</f>
        <v>272</v>
      </c>
      <c r="D93" s="225">
        <f>'数据-取费表'!B43</f>
        <v>5.000000000000001E-3</v>
      </c>
      <c r="E93" s="3125" t="s">
        <v>2274</v>
      </c>
      <c r="F93" s="3126"/>
      <c r="G93" s="3126"/>
      <c r="H93" s="3135"/>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6" t="s">
        <v>2293</v>
      </c>
      <c r="B94" s="197" t="s">
        <v>2294</v>
      </c>
      <c r="C94" s="235">
        <f>ROUND((C87+C90+C91)*D94,0)</f>
        <v>0</v>
      </c>
      <c r="D94" s="225">
        <v>0.2</v>
      </c>
      <c r="E94" s="3136" t="s">
        <v>2295</v>
      </c>
      <c r="F94" s="3137"/>
      <c r="G94" s="3137"/>
      <c r="H94" s="3138"/>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3" t="s">
        <v>2275</v>
      </c>
      <c r="C95" s="206">
        <f ca="1">ROUND(C85-C86,0)</f>
        <v>54119</v>
      </c>
      <c r="D95" s="199" t="s">
        <v>32</v>
      </c>
      <c r="E95" s="1799"/>
      <c r="F95" s="1793"/>
      <c r="G95" s="1793"/>
      <c r="H95" s="233"/>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3" t="s">
        <v>2276</v>
      </c>
      <c r="C96" s="226">
        <f ca="1">IF(C95&lt;=0,0,C95/C86)</f>
        <v>198.96691176470588</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3"/>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8" t="s">
        <v>2277</v>
      </c>
      <c r="C97" s="227">
        <f ca="1">ROUND(IF(C95&lt;=0,0,IF(C96&gt;=200%,C95*60%-C86*35%,IF(C96&gt;=100%,C95*50%-C86*15%,IF(C96&gt;=50%,C95*40%-C86*5%,IF(C96&lt;50%,C95*30%,0))))),0)</f>
        <v>32376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7"/>
    </row>
    <row r="99" spans="1:35" ht="21.75" customHeight="1" thickBot="1">
      <c r="A99" s="2472" t="s">
        <v>2296</v>
      </c>
      <c r="B99" s="2416"/>
      <c r="C99" s="2416"/>
      <c r="D99" s="2416"/>
      <c r="E99" s="2164"/>
      <c r="F99" s="2164"/>
      <c r="G99" s="2164"/>
      <c r="H99" s="2163"/>
      <c r="I99" s="137"/>
    </row>
    <row r="100" spans="1:35" ht="18.75" customHeight="1">
      <c r="A100" s="3110" t="s">
        <v>2297</v>
      </c>
      <c r="B100" s="3111"/>
      <c r="C100" s="3111"/>
      <c r="D100" s="3127"/>
      <c r="E100" s="3111" t="s">
        <v>2298</v>
      </c>
      <c r="F100" s="3111"/>
      <c r="G100" s="3111"/>
      <c r="H100" s="3127"/>
      <c r="I100" s="137"/>
    </row>
    <row r="101" spans="1:35" ht="18.75" customHeight="1">
      <c r="A101" s="3189" t="s">
        <v>2299</v>
      </c>
      <c r="B101" s="3190"/>
      <c r="C101" s="735" t="str">
        <f>C4</f>
        <v>比较法-办公</v>
      </c>
      <c r="D101" s="736" t="str">
        <f>D4</f>
        <v>收益法办公</v>
      </c>
      <c r="E101" s="3203" t="s">
        <v>2300</v>
      </c>
      <c r="F101" s="3157"/>
      <c r="G101" s="2518" t="s">
        <v>2301</v>
      </c>
      <c r="H101" s="1044">
        <f ca="1">H118</f>
        <v>57111</v>
      </c>
      <c r="I101" s="137"/>
    </row>
    <row r="102" spans="1:35" ht="18.75" customHeight="1">
      <c r="A102" s="3159" t="s">
        <v>2302</v>
      </c>
      <c r="B102" s="2518" t="s">
        <v>2301</v>
      </c>
      <c r="C102" s="735">
        <f ca="1">C19</f>
        <v>63119</v>
      </c>
      <c r="D102" s="736">
        <f ca="1">D19</f>
        <v>51102</v>
      </c>
      <c r="E102" s="3203"/>
      <c r="F102" s="3157"/>
      <c r="G102" s="2518" t="s">
        <v>2303</v>
      </c>
      <c r="H102" s="370">
        <f ca="1">I118</f>
        <v>38139</v>
      </c>
      <c r="I102" s="137"/>
    </row>
    <row r="103" spans="1:35" ht="42.75" customHeight="1">
      <c r="A103" s="3159"/>
      <c r="B103" s="2518" t="s">
        <v>2303</v>
      </c>
      <c r="C103" s="737">
        <f ca="1">C20</f>
        <v>42151</v>
      </c>
      <c r="D103" s="738">
        <f ca="1">D20</f>
        <v>34126</v>
      </c>
      <c r="E103" s="3198" t="s">
        <v>2304</v>
      </c>
      <c r="F103" s="3199"/>
      <c r="G103" s="2519" t="s">
        <v>2305</v>
      </c>
      <c r="H103" s="1044">
        <f>IF(D36="正常操作",H104+H105+H106,H105+H106)</f>
        <v>0</v>
      </c>
      <c r="I103" s="137"/>
    </row>
    <row r="104" spans="1:35" ht="18.75" customHeight="1">
      <c r="A104" s="3159" t="s">
        <v>2306</v>
      </c>
      <c r="B104" s="2520" t="s">
        <v>2301</v>
      </c>
      <c r="C104" s="739">
        <f ca="1">H118</f>
        <v>57111</v>
      </c>
      <c r="D104" s="740"/>
      <c r="E104" s="2264" t="s">
        <v>2307</v>
      </c>
      <c r="F104" s="2256"/>
      <c r="G104" s="2519" t="s">
        <v>2305</v>
      </c>
      <c r="H104" s="1045">
        <f>IF(D36="同一抵押权人同一抵押物续贷",C36&amp;"（未扣减，详见特别提示）",C36)</f>
        <v>0</v>
      </c>
      <c r="I104" s="137"/>
    </row>
    <row r="105" spans="1:35" ht="18.75" customHeight="1" thickBot="1">
      <c r="A105" s="3160"/>
      <c r="B105" s="2521" t="s">
        <v>2303</v>
      </c>
      <c r="C105" s="741">
        <f ca="1">I118</f>
        <v>38139</v>
      </c>
      <c r="D105" s="742"/>
      <c r="E105" s="2264" t="s">
        <v>2308</v>
      </c>
      <c r="F105" s="2256"/>
      <c r="G105" s="2519" t="s">
        <v>2305</v>
      </c>
      <c r="H105" s="1045">
        <f>C37</f>
        <v>0</v>
      </c>
      <c r="I105" s="137"/>
    </row>
    <row r="106" spans="1:35" ht="18.75" customHeight="1">
      <c r="A106" s="2416" t="s">
        <v>2309</v>
      </c>
      <c r="B106" s="2416"/>
      <c r="C106" s="2416"/>
      <c r="D106" s="2416"/>
      <c r="E106" s="2522" t="s">
        <v>2310</v>
      </c>
      <c r="F106" s="2256"/>
      <c r="G106" s="2519" t="s">
        <v>2305</v>
      </c>
      <c r="H106" s="1045">
        <f>C38</f>
        <v>0</v>
      </c>
      <c r="I106" s="137"/>
    </row>
    <row r="107" spans="1:35" ht="18.75" customHeight="1">
      <c r="A107" s="137"/>
      <c r="B107" s="137"/>
      <c r="C107" s="137"/>
      <c r="D107" s="137"/>
      <c r="E107" s="3156" t="str">
        <f>IF(项目基本情况!E8="已注销","——","3.房地产抵押价值")</f>
        <v>3.房地产抵押价值</v>
      </c>
      <c r="F107" s="3157"/>
      <c r="G107" s="2518" t="s">
        <v>2301</v>
      </c>
      <c r="H107" s="1044">
        <f ca="1">IF(E107="——","——",H101-H103)</f>
        <v>57111</v>
      </c>
      <c r="I107" s="137"/>
    </row>
    <row r="108" spans="1:35" ht="18.75" customHeight="1">
      <c r="A108" s="137"/>
      <c r="B108" s="137"/>
      <c r="C108" s="137"/>
      <c r="D108" s="137"/>
      <c r="E108" s="3156"/>
      <c r="F108" s="3157"/>
      <c r="G108" s="2518" t="s">
        <v>2303</v>
      </c>
      <c r="H108" s="370">
        <f ca="1">ROUND(H107*10000/'数据-汇总表'!E3,0)</f>
        <v>38139</v>
      </c>
      <c r="I108" s="137"/>
    </row>
    <row r="109" spans="1:35" ht="18.75" customHeight="1">
      <c r="A109" s="137"/>
      <c r="B109" s="137"/>
      <c r="C109" s="137"/>
      <c r="D109" s="137"/>
      <c r="E109" s="3156" t="str">
        <f>IF(项目基本情况!E8="已注销及未注销","4.抵押担保权已注销时的房地产抵押价值",IF(项目基本情况!E8="已注销","3.抵押担保权已注销时的房地产抵押价值","——"))</f>
        <v>——</v>
      </c>
      <c r="F109" s="3157"/>
      <c r="G109" s="2518" t="s">
        <v>2301</v>
      </c>
      <c r="H109" s="347" t="str">
        <f>IF(E109="——","——",H101-H105-H106)</f>
        <v>——</v>
      </c>
      <c r="I109" s="137"/>
    </row>
    <row r="110" spans="1:35" ht="18.75" customHeight="1">
      <c r="A110" s="137"/>
      <c r="B110" s="137"/>
      <c r="C110" s="137"/>
      <c r="D110" s="137"/>
      <c r="E110" s="3156"/>
      <c r="F110" s="3157"/>
      <c r="G110" s="2518" t="s">
        <v>2303</v>
      </c>
      <c r="H110" s="370" t="str">
        <f>IF(H109="——","——",ROUND(H109*10000/'数据-汇总表'!E3,0))</f>
        <v>——</v>
      </c>
      <c r="I110" s="137"/>
    </row>
    <row r="111" spans="1:35" ht="18.75" customHeight="1">
      <c r="A111" s="137"/>
      <c r="B111" s="137"/>
      <c r="C111" s="137"/>
      <c r="D111" s="137"/>
      <c r="E111" s="3191" t="str">
        <f>IF(项目基本情况!E9="抵押净值",IF(OR(项目基本情况!E8="已注销",项目基本情况!E8="房地产抵押价值"),"4.抵押净值","5.抵押净值"),"——")</f>
        <v>——</v>
      </c>
      <c r="F111" s="3192"/>
      <c r="G111" s="2518" t="s">
        <v>2301</v>
      </c>
      <c r="H111" s="1044" t="str">
        <f>IF(E111="——","——",N59)</f>
        <v>——</v>
      </c>
      <c r="I111" s="137"/>
    </row>
    <row r="112" spans="1:35" ht="18.75" customHeight="1" thickBot="1">
      <c r="A112" s="137"/>
      <c r="B112" s="137"/>
      <c r="C112" s="137"/>
      <c r="D112" s="137"/>
      <c r="E112" s="3193"/>
      <c r="F112" s="3194"/>
      <c r="G112" s="2523" t="s">
        <v>2303</v>
      </c>
      <c r="H112" s="789" t="str">
        <f>IF(E111="——","——",N61)</f>
        <v>——</v>
      </c>
      <c r="I112" s="137"/>
    </row>
    <row r="113" spans="1:11" ht="18.75" customHeight="1">
      <c r="A113" s="137"/>
      <c r="B113" s="137"/>
      <c r="C113" s="137"/>
      <c r="D113" s="137"/>
      <c r="E113" s="3161" t="s">
        <v>2309</v>
      </c>
      <c r="F113" s="3161"/>
      <c r="G113" s="3161"/>
      <c r="H113" s="3161"/>
      <c r="I113" s="137"/>
    </row>
    <row r="114" spans="1:11" ht="3.75" customHeight="1">
      <c r="A114" s="2416"/>
      <c r="B114" s="2416"/>
      <c r="C114" s="2416"/>
      <c r="D114" s="2416"/>
      <c r="E114" s="2494"/>
      <c r="F114" s="2494"/>
      <c r="G114" s="2494"/>
      <c r="H114" s="2494"/>
      <c r="I114" s="2416"/>
    </row>
    <row r="115" spans="1:11" ht="18.75" customHeight="1">
      <c r="A115" s="3174" t="s">
        <v>2311</v>
      </c>
      <c r="B115" s="3175"/>
      <c r="C115" s="3175"/>
      <c r="D115" s="3175"/>
      <c r="E115" s="3175"/>
      <c r="F115" s="3175"/>
      <c r="G115" s="3175"/>
      <c r="H115" s="3175"/>
      <c r="I115" s="3176"/>
    </row>
    <row r="116" spans="1:11" ht="27" customHeight="1">
      <c r="A116" s="3052" t="s">
        <v>2312</v>
      </c>
      <c r="B116" s="3162" t="s">
        <v>2313</v>
      </c>
      <c r="C116" s="3162" t="s">
        <v>2314</v>
      </c>
      <c r="D116" s="3178" t="s">
        <v>2315</v>
      </c>
      <c r="E116" s="3179"/>
      <c r="F116" s="3170" t="s">
        <v>2316</v>
      </c>
      <c r="G116" s="3170"/>
      <c r="H116" s="3052" t="s">
        <v>2317</v>
      </c>
      <c r="I116" s="3052"/>
    </row>
    <row r="117" spans="1:11" ht="18.75" customHeight="1">
      <c r="A117" s="3052"/>
      <c r="B117" s="3163"/>
      <c r="C117" s="3163"/>
      <c r="D117" s="1794" t="s">
        <v>2318</v>
      </c>
      <c r="E117" s="1794" t="s">
        <v>2319</v>
      </c>
      <c r="F117" s="1794" t="s">
        <v>2318</v>
      </c>
      <c r="G117" s="1794" t="s">
        <v>2320</v>
      </c>
      <c r="H117" s="1794" t="s">
        <v>2318</v>
      </c>
      <c r="I117" s="1794" t="s">
        <v>2320</v>
      </c>
    </row>
    <row r="118" spans="1:11" ht="24.75" customHeight="1">
      <c r="A118" s="2524" t="str">
        <f>项目基本情况!S2</f>
        <v>北京市房地产</v>
      </c>
      <c r="B118" s="1794">
        <f>M18</f>
        <v>14974.55</v>
      </c>
      <c r="C118" s="1794">
        <f>M19</f>
        <v>3260.64</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57111</v>
      </c>
      <c r="I118" s="1794">
        <f ca="1">ROUND(IF(D32="楼面单价",C32,H118*10000/B118),0)</f>
        <v>38139</v>
      </c>
    </row>
    <row r="119" spans="1:11" ht="18.75" customHeight="1">
      <c r="A119" s="3052" t="s">
        <v>2321</v>
      </c>
      <c r="B119" s="3052"/>
      <c r="C119" s="3052"/>
      <c r="D119" s="3167" t="e">
        <f ca="1">NUMBERSTRING(INT(D118*10000),2)&amp;"元整"</f>
        <v>#REF!</v>
      </c>
      <c r="E119" s="3169"/>
      <c r="F119" s="3167" t="e">
        <f ca="1">NUMBERSTRING(INT(F118*10000),2)&amp;"元整"</f>
        <v>#REF!</v>
      </c>
      <c r="G119" s="3169"/>
      <c r="H119" s="3167" t="str">
        <f ca="1">NUMBERSTRING(INT(H118*10000),2)&amp;"元整"</f>
        <v>伍亿柒仟壹佰壹拾壹万元整</v>
      </c>
      <c r="I119" s="3169"/>
    </row>
    <row r="120" spans="1:11" ht="18.75" customHeight="1">
      <c r="A120" s="3195" t="str">
        <f>IF(项目基本情况!B9="房地产市场价值","",MID(E103,3,LEN(E103)-2))</f>
        <v>估价师知悉的法定优先受偿款</v>
      </c>
      <c r="B120" s="3196"/>
      <c r="C120" s="3197"/>
      <c r="D120" s="3195">
        <f>H103</f>
        <v>0</v>
      </c>
      <c r="E120" s="3196"/>
      <c r="F120" s="3196"/>
      <c r="G120" s="3196"/>
      <c r="H120" s="3196"/>
      <c r="I120" s="3197"/>
      <c r="K120" s="2421" t="str">
        <f>IF(D120=0,"故，本次评估不存在"&amp;A120,"故，本次评估"&amp;A120&amp;"为人民币"&amp;D120&amp;"万元整。")</f>
        <v>故，本次评估不存在估价师知悉的法定优先受偿款</v>
      </c>
    </row>
    <row r="121" spans="1:11" ht="18.75" customHeight="1">
      <c r="A121" s="3171" t="s">
        <v>2321</v>
      </c>
      <c r="B121" s="3172"/>
      <c r="C121" s="3173"/>
      <c r="D121" s="3167" t="str">
        <f>IF(D120=0,"零元整",NUMBERSTRING(INT(D120*10000),2)&amp;"元整")</f>
        <v>零元整</v>
      </c>
      <c r="E121" s="3168"/>
      <c r="F121" s="3168"/>
      <c r="G121" s="3168"/>
      <c r="H121" s="3168"/>
      <c r="I121" s="3169"/>
    </row>
    <row r="122" spans="1:11" ht="18.75" customHeight="1">
      <c r="A122" s="3158" t="str">
        <f>IF(项目基本情况!B9="房地产市场价值","",MID(E107,3,LEN(E107)-2))</f>
        <v>房地产抵押价值</v>
      </c>
      <c r="B122" s="3158"/>
      <c r="C122" s="3158"/>
      <c r="D122" s="3195">
        <f ca="1">H107</f>
        <v>57111</v>
      </c>
      <c r="E122" s="3196"/>
      <c r="F122" s="3196"/>
      <c r="G122" s="3196"/>
      <c r="H122" s="3196"/>
      <c r="I122" s="3197"/>
    </row>
    <row r="123" spans="1:11" ht="18.75" customHeight="1">
      <c r="A123" s="3052" t="s">
        <v>2321</v>
      </c>
      <c r="B123" s="3052"/>
      <c r="C123" s="3052"/>
      <c r="D123" s="3167" t="str">
        <f ca="1">NUMBERSTRING(INT(D122*10000),2)&amp;"元整"</f>
        <v>伍亿柒仟壹佰壹拾壹万元整</v>
      </c>
      <c r="E123" s="3168"/>
      <c r="F123" s="3168"/>
      <c r="G123" s="3168"/>
      <c r="H123" s="3168"/>
      <c r="I123" s="3169"/>
    </row>
    <row r="124" spans="1:11" ht="18.75" customHeight="1">
      <c r="A124" s="3158" t="str">
        <f>IF(项目基本情况!B9="房地产市场价值","",MID(E109,3,LEN(E109)-2))</f>
        <v/>
      </c>
      <c r="B124" s="3158"/>
      <c r="C124" s="3158"/>
      <c r="D124" s="3195" t="str">
        <f>H109</f>
        <v>——</v>
      </c>
      <c r="E124" s="3196"/>
      <c r="F124" s="3196"/>
      <c r="G124" s="3196"/>
      <c r="H124" s="3196"/>
      <c r="I124" s="3197"/>
    </row>
    <row r="125" spans="1:11" ht="18.75" customHeight="1">
      <c r="A125" s="3052" t="s">
        <v>2321</v>
      </c>
      <c r="B125" s="3052"/>
      <c r="C125" s="3052"/>
      <c r="D125" s="3167" t="e">
        <f>NUMBERSTRING(INT(D124*10000),2)&amp;"元整"</f>
        <v>#VALUE!</v>
      </c>
      <c r="E125" s="3168"/>
      <c r="F125" s="3168"/>
      <c r="G125" s="3168"/>
      <c r="H125" s="3168"/>
      <c r="I125" s="3169"/>
    </row>
    <row r="126" spans="1:11" ht="18.75" customHeight="1">
      <c r="A126" s="3158" t="str">
        <f>IF(项目基本情况!B9="房地产市场价值","",MID(E111,3,LEN(E111)-2))</f>
        <v/>
      </c>
      <c r="B126" s="3158"/>
      <c r="C126" s="3158"/>
      <c r="D126" s="3195" t="str">
        <f>H111</f>
        <v>——</v>
      </c>
      <c r="E126" s="3196"/>
      <c r="F126" s="3196"/>
      <c r="G126" s="3196"/>
      <c r="H126" s="3196"/>
      <c r="I126" s="3197"/>
    </row>
    <row r="127" spans="1:11" ht="18.75" customHeight="1">
      <c r="A127" s="3052" t="s">
        <v>2321</v>
      </c>
      <c r="B127" s="3052"/>
      <c r="C127" s="3052"/>
      <c r="D127" s="3167" t="e">
        <f>NUMBERSTRING(INT(D126*10000),2)&amp;"元整"</f>
        <v>#VALUE!</v>
      </c>
      <c r="E127" s="3168"/>
      <c r="F127" s="3168"/>
      <c r="G127" s="3168"/>
      <c r="H127" s="3168"/>
      <c r="I127" s="3169"/>
    </row>
    <row r="128" spans="1:11" ht="21.75" customHeight="1">
      <c r="A128" s="3177" t="s">
        <v>2322</v>
      </c>
      <c r="B128" s="3177"/>
      <c r="C128" s="3177"/>
      <c r="D128" s="3177"/>
      <c r="E128" s="3177"/>
      <c r="F128" s="3177"/>
      <c r="G128" s="3177"/>
      <c r="H128" s="3177"/>
      <c r="I128" s="3177"/>
    </row>
    <row r="129" spans="1:35" ht="21.75" customHeight="1">
      <c r="A129" s="2525" t="s">
        <v>2323</v>
      </c>
      <c r="B129" s="2526"/>
      <c r="C129" s="2527" t="s">
        <v>2324</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4"/>
    </row>
    <row r="135" spans="1:35" ht="21.75" customHeight="1">
      <c r="A135" s="794"/>
      <c r="B135" s="794"/>
      <c r="C135" s="794"/>
      <c r="D135" s="794"/>
      <c r="E135" s="794"/>
      <c r="F135" s="2541" t="s">
        <v>2325</v>
      </c>
      <c r="G135" s="2542"/>
      <c r="H135" s="2542"/>
      <c r="I135" s="2543" t="s">
        <v>2326</v>
      </c>
    </row>
    <row r="136" spans="1:35" ht="21.75" customHeight="1">
      <c r="A136" s="794"/>
      <c r="B136" s="2544" t="s">
        <v>2327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2"/>
      <c r="C138" s="2542"/>
      <c r="D138" s="2542"/>
      <c r="E138" s="2542"/>
      <c r="F138" s="2542"/>
      <c r="G138" s="2542"/>
      <c r="H138" s="2542"/>
      <c r="I138" s="2543" t="s">
        <v>2328</v>
      </c>
    </row>
    <row r="139" spans="1:35" ht="21.75" customHeight="1">
      <c r="A139" s="794"/>
      <c r="B139" s="2544" t="s">
        <v>2329</v>
      </c>
      <c r="C139" s="794"/>
      <c r="D139" s="794"/>
      <c r="E139" s="794"/>
      <c r="F139" s="794"/>
      <c r="G139" s="794"/>
      <c r="H139" s="794"/>
      <c r="I139" s="794"/>
    </row>
    <row r="140" spans="1:35" ht="21.75" customHeight="1">
      <c r="A140" s="794"/>
      <c r="B140" s="2544"/>
      <c r="C140" s="794"/>
      <c r="D140" s="794"/>
      <c r="E140" s="794"/>
      <c r="F140" s="794"/>
      <c r="G140" s="794"/>
      <c r="H140" s="794"/>
      <c r="I140" s="794"/>
    </row>
    <row r="141" spans="1:35" ht="21.75" customHeight="1">
      <c r="A141" s="794"/>
      <c r="B141" s="2542"/>
      <c r="C141" s="2542"/>
      <c r="D141" s="2542"/>
      <c r="E141" s="2542"/>
      <c r="F141" s="2542"/>
      <c r="G141" s="2542"/>
      <c r="H141" s="2542"/>
      <c r="I141" s="2543" t="s">
        <v>2328</v>
      </c>
    </row>
    <row r="142" spans="1:35" ht="21.75" customHeight="1">
      <c r="A142" s="794"/>
      <c r="B142" s="2544"/>
      <c r="C142" s="2545"/>
      <c r="D142" s="2546"/>
      <c r="E142" s="2546"/>
      <c r="F142" s="2338"/>
      <c r="G142" s="794"/>
      <c r="H142" s="794"/>
      <c r="I142" s="794"/>
    </row>
    <row r="143" spans="1:35" s="138" customFormat="1" ht="21.75" customHeight="1">
      <c r="A143" s="794"/>
      <c r="B143" s="2544"/>
      <c r="C143" s="2545"/>
      <c r="D143" s="2546"/>
      <c r="E143" s="2546"/>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204" priority="21" stopIfTrue="1" operator="equal">
      <formula>25</formula>
    </cfRule>
  </conditionalFormatting>
  <conditionalFormatting sqref="C8:C9">
    <cfRule type="cellIs" dxfId="203" priority="19" stopIfTrue="1" operator="equal">
      <formula>15</formula>
    </cfRule>
  </conditionalFormatting>
  <conditionalFormatting sqref="C14:C16">
    <cfRule type="cellIs" dxfId="202" priority="13" stopIfTrue="1" operator="equal">
      <formula>30</formula>
    </cfRule>
  </conditionalFormatting>
  <conditionalFormatting sqref="D5:D7">
    <cfRule type="cellIs" dxfId="201" priority="10" stopIfTrue="1" operator="equal">
      <formula>25</formula>
    </cfRule>
  </conditionalFormatting>
  <conditionalFormatting sqref="D8:D9">
    <cfRule type="cellIs" dxfId="200" priority="9" stopIfTrue="1" operator="equal">
      <formula>15</formula>
    </cfRule>
  </conditionalFormatting>
  <conditionalFormatting sqref="C10:D13">
    <cfRule type="cellIs" dxfId="199" priority="8" stopIfTrue="1" operator="equal">
      <formula>15</formula>
    </cfRule>
  </conditionalFormatting>
  <conditionalFormatting sqref="D14:D16">
    <cfRule type="cellIs" dxfId="198" priority="6" stopIfTrue="1" operator="equal">
      <formula>30</formula>
    </cfRule>
  </conditionalFormatting>
  <conditionalFormatting sqref="C90">
    <cfRule type="expression" dxfId="197" priority="3" stopIfTrue="1">
      <formula>$H$88&lt;&gt;"仅含出让金"</formula>
    </cfRule>
  </conditionalFormatting>
  <conditionalFormatting sqref="C91">
    <cfRule type="expression" dxfId="196" priority="2" stopIfTrue="1">
      <formula>$H$91="由企业提供"</formula>
    </cfRule>
  </conditionalFormatting>
  <conditionalFormatting sqref="E36">
    <cfRule type="expression" dxfId="19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008" t="str">
        <f>项目基本情况!B1</f>
        <v>北京市房地产抵押价值预评估</v>
      </c>
      <c r="C37" s="3008"/>
      <c r="D37" s="3008"/>
      <c r="E37" s="3008"/>
      <c r="F37" s="3008"/>
      <c r="G37" s="3008"/>
      <c r="H37" s="3008"/>
      <c r="I37" s="3008"/>
    </row>
    <row r="38" spans="1:9">
      <c r="A38" s="1015"/>
      <c r="B38" s="1015"/>
    </row>
    <row r="39" spans="1:9">
      <c r="A39" s="1013" t="s">
        <v>818</v>
      </c>
      <c r="B39" s="1013" t="s">
        <v>820</v>
      </c>
    </row>
    <row r="40" spans="1:9">
      <c r="A40" s="1013"/>
      <c r="B40" s="1941" t="str">
        <f>项目基本情况!B5</f>
        <v>北京国锐房地产开发有限公司</v>
      </c>
    </row>
    <row r="41" spans="1:9">
      <c r="A41" s="1013"/>
      <c r="B41" s="1013"/>
    </row>
    <row r="42" spans="1:9">
      <c r="A42" s="1013" t="s">
        <v>818</v>
      </c>
      <c r="B42" s="1013" t="s">
        <v>821</v>
      </c>
    </row>
    <row r="43" spans="1:9">
      <c r="A43" s="1013"/>
      <c r="B43" s="1941" t="s">
        <v>822</v>
      </c>
    </row>
    <row r="44" spans="1:9">
      <c r="A44" s="1013"/>
      <c r="B44" s="1013"/>
    </row>
    <row r="45" spans="1:9">
      <c r="A45" s="1013" t="s">
        <v>818</v>
      </c>
      <c r="B45" s="1013" t="s">
        <v>823</v>
      </c>
    </row>
    <row r="46" spans="1:9" s="1013" customFormat="1" ht="12.75">
      <c r="B46" s="1941" t="str">
        <f ca="1">项目基本情况!K4</f>
        <v>刘梅（注册号：1120140022)、吴薇（注册号：1419970001)</v>
      </c>
    </row>
    <row r="47" spans="1:9">
      <c r="A47" s="1013"/>
      <c r="B47" s="1013" t="str">
        <f>项目基本情况!K5</f>
        <v/>
      </c>
    </row>
    <row r="48" spans="1:9">
      <c r="A48" s="1013" t="s">
        <v>818</v>
      </c>
      <c r="B48" s="1013"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2330</v>
      </c>
      <c r="B1" s="1936"/>
      <c r="C1" s="2553" t="s">
        <v>2432</v>
      </c>
      <c r="D1" s="241"/>
      <c r="E1" s="241"/>
      <c r="F1" s="241"/>
      <c r="G1" s="1378">
        <f>MATCH(B1,'数据-取费表'!A6:A16,0)+5</f>
        <v>7</v>
      </c>
      <c r="H1" s="1281" t="str">
        <f>IF(ISERROR(FIND("住宅",B1)),"非住宅","住宅")</f>
        <v>非住宅</v>
      </c>
    </row>
    <row r="2" spans="1:8" s="243" customFormat="1" ht="18" customHeight="1">
      <c r="A2" s="244" t="s">
        <v>2331</v>
      </c>
      <c r="B2" s="245">
        <f ca="1">ROUND(IF(D2="——",C52/10000,C52/10000-E2),0)</f>
        <v>8594</v>
      </c>
      <c r="C2" s="242" t="s">
        <v>2332</v>
      </c>
      <c r="D2" s="2547" t="s">
        <v>70</v>
      </c>
      <c r="E2" s="1439" t="e">
        <f ca="1">SUMIF(INDIRECT("'"&amp;G2&amp;"'"&amp;"!A:A"),"承租人权益价值",INDIRECT("'"&amp;G2&amp;"'"&amp;"!c:c"))</f>
        <v>#REF!</v>
      </c>
      <c r="F2" s="2548" t="s">
        <v>2332</v>
      </c>
      <c r="G2" s="2549"/>
    </row>
    <row r="3" spans="1:8" s="243" customFormat="1" ht="18" customHeight="1" thickBot="1">
      <c r="A3" s="246" t="s">
        <v>2333</v>
      </c>
      <c r="B3" s="247">
        <f ca="1">ROUND(B2*10000/(IF(B1="",'数据-汇总表'!E3,INDIRECT("'数据-取费表'!k"&amp;$G$1))),0)</f>
        <v>5739</v>
      </c>
      <c r="C3" s="242" t="s">
        <v>2334</v>
      </c>
      <c r="D3" s="242"/>
      <c r="E3" s="242"/>
      <c r="F3" s="242"/>
      <c r="G3" s="242"/>
    </row>
    <row r="4" spans="1:8" s="251" customFormat="1" ht="15.75">
      <c r="A4" s="248" t="s">
        <v>2335</v>
      </c>
      <c r="B4" s="249"/>
      <c r="C4" s="249"/>
      <c r="D4" s="249"/>
      <c r="E4" s="249"/>
      <c r="F4" s="249"/>
      <c r="G4" s="250"/>
    </row>
    <row r="5" spans="1:8" s="257" customFormat="1" ht="13.5" customHeight="1">
      <c r="A5" s="298" t="s">
        <v>2336</v>
      </c>
      <c r="B5" s="253" t="s">
        <v>2337</v>
      </c>
      <c r="C5" s="254">
        <f ca="1">C6+C7+C8</f>
        <v>0</v>
      </c>
      <c r="D5" s="254" t="s">
        <v>2338</v>
      </c>
      <c r="E5" s="255" t="s">
        <v>2339</v>
      </c>
      <c r="F5" s="255" t="s">
        <v>2340</v>
      </c>
      <c r="G5" s="256"/>
    </row>
    <row r="6" spans="1:8" s="257" customFormat="1" ht="13.5" customHeight="1">
      <c r="A6" s="948" t="s">
        <v>2341</v>
      </c>
      <c r="B6" s="258" t="s">
        <v>2342</v>
      </c>
      <c r="C6" s="259"/>
      <c r="D6" s="260"/>
      <c r="E6" s="261"/>
      <c r="F6" s="261"/>
      <c r="G6" s="262"/>
    </row>
    <row r="7" spans="1:8" s="257" customFormat="1" ht="13.5" customHeight="1">
      <c r="A7" s="948" t="s">
        <v>2343</v>
      </c>
      <c r="B7" s="258" t="s">
        <v>2344</v>
      </c>
      <c r="C7" s="263">
        <f>ROUND(C6*F7,0)</f>
        <v>0</v>
      </c>
      <c r="D7" s="263"/>
      <c r="E7" s="261"/>
      <c r="F7" s="264">
        <f>'数据-取费表'!B48+'数据-取费表'!B49</f>
        <v>3.0499999999999999E-2</v>
      </c>
      <c r="G7" s="262"/>
    </row>
    <row r="8" spans="1:8" s="266" customFormat="1">
      <c r="A8" s="948" t="s">
        <v>2345</v>
      </c>
      <c r="B8" s="258" t="s">
        <v>2346</v>
      </c>
      <c r="C8" s="263">
        <f ca="1">IF(G8="已包含在土地购买价格中",0,C9+C10)</f>
        <v>0</v>
      </c>
      <c r="D8" s="265"/>
      <c r="E8" s="263"/>
      <c r="F8" s="264"/>
      <c r="G8" s="2550"/>
    </row>
    <row r="9" spans="1:8" s="257" customFormat="1" ht="13.5" customHeight="1">
      <c r="A9" s="949" t="s">
        <v>800</v>
      </c>
      <c r="B9" s="267" t="s">
        <v>2347</v>
      </c>
      <c r="C9" s="268">
        <f ca="1">ROUND(D9*E9,0)</f>
        <v>0</v>
      </c>
      <c r="D9" s="1031">
        <f ca="1">IF(B1="",'数据-汇总表'!E5,IF(INDIRECT("'数据-取费表'!c"&amp;$G$1)="住宅",INDIRECT("'数据-取费表'!k"&amp;$G$1),0))</f>
        <v>0</v>
      </c>
      <c r="E9" s="268">
        <f>'数据-取费表'!B27</f>
        <v>0</v>
      </c>
      <c r="F9" s="264"/>
      <c r="G9" s="269"/>
    </row>
    <row r="10" spans="1:8" s="257" customFormat="1" ht="13.5" customHeight="1">
      <c r="A10" s="949" t="s">
        <v>801</v>
      </c>
      <c r="B10" s="267" t="s">
        <v>2349</v>
      </c>
      <c r="C10" s="268">
        <f ca="1">ROUND(D10*E10,0)</f>
        <v>0</v>
      </c>
      <c r="D10" s="1031">
        <f ca="1">IF(B1="",'数据-汇总表'!E6,IF(INDIRECT("'数据-取费表'!c"&amp;$G$1)="住宅",INDIRECT("'数据-取费表'!s"&amp;$G$1),INDIRECT("'数据-取费表'!k"&amp;$G$1)+INDIRECT("'数据-取费表'!s"&amp;$G$1)))</f>
        <v>14974.55</v>
      </c>
      <c r="E10" s="268">
        <f>'数据-取费表'!B28</f>
        <v>0</v>
      </c>
      <c r="F10" s="264"/>
      <c r="G10" s="269"/>
    </row>
    <row r="11" spans="1:8" s="257" customFormat="1" ht="13.5" hidden="1" customHeight="1">
      <c r="A11" s="270" t="s">
        <v>7</v>
      </c>
      <c r="B11" s="258" t="s">
        <v>2350</v>
      </c>
      <c r="C11" s="254"/>
      <c r="D11" s="1033"/>
      <c r="E11" s="261"/>
      <c r="F11" s="261"/>
      <c r="G11" s="262"/>
    </row>
    <row r="12" spans="1:8" s="257" customFormat="1" ht="13.5" hidden="1" customHeight="1">
      <c r="A12" s="270" t="s">
        <v>8</v>
      </c>
      <c r="B12" s="258" t="s">
        <v>2433</v>
      </c>
      <c r="C12" s="254">
        <v>0</v>
      </c>
      <c r="D12" s="1033"/>
      <c r="E12" s="271"/>
      <c r="F12" s="264">
        <v>3.0499999999999999E-2</v>
      </c>
      <c r="G12" s="262"/>
    </row>
    <row r="13" spans="1:8" s="257" customFormat="1" ht="13.5" hidden="1" customHeight="1">
      <c r="A13" s="270" t="s">
        <v>9</v>
      </c>
      <c r="B13" s="258" t="s">
        <v>2434</v>
      </c>
      <c r="C13" s="254"/>
      <c r="D13" s="1033"/>
      <c r="E13" s="261"/>
      <c r="F13" s="261"/>
      <c r="G13" s="262"/>
    </row>
    <row r="14" spans="1:8" s="257" customFormat="1" ht="13.5" hidden="1" customHeight="1">
      <c r="A14" s="270" t="s">
        <v>10</v>
      </c>
      <c r="B14" s="258" t="s">
        <v>2346</v>
      </c>
      <c r="C14" s="254"/>
      <c r="D14" s="1033"/>
      <c r="E14" s="261"/>
      <c r="F14" s="261"/>
      <c r="G14" s="262" t="s">
        <v>2435</v>
      </c>
    </row>
    <row r="15" spans="1:8" s="257" customFormat="1" ht="13.5" hidden="1" customHeight="1">
      <c r="A15" s="270" t="s">
        <v>11</v>
      </c>
      <c r="B15" s="258" t="s">
        <v>2436</v>
      </c>
      <c r="C15" s="263"/>
      <c r="D15" s="1033"/>
      <c r="E15" s="261"/>
      <c r="F15" s="261"/>
      <c r="G15" s="262" t="s">
        <v>2437</v>
      </c>
    </row>
    <row r="16" spans="1:8" s="257" customFormat="1" ht="13.5" hidden="1" customHeight="1">
      <c r="A16" s="270" t="s">
        <v>12</v>
      </c>
      <c r="B16" s="258" t="s">
        <v>2346</v>
      </c>
      <c r="C16" s="263"/>
      <c r="D16" s="1033"/>
      <c r="E16" s="261"/>
      <c r="F16" s="261"/>
      <c r="G16" s="262"/>
    </row>
    <row r="17" spans="1:7" s="257" customFormat="1" ht="13.5" hidden="1" customHeight="1">
      <c r="A17" s="270" t="s">
        <v>13</v>
      </c>
      <c r="B17" s="258" t="s">
        <v>2438</v>
      </c>
      <c r="C17" s="272"/>
      <c r="D17" s="1034"/>
      <c r="E17" s="272"/>
      <c r="F17" s="272"/>
      <c r="G17" s="262" t="s">
        <v>2437</v>
      </c>
    </row>
    <row r="18" spans="1:7" s="257" customFormat="1" ht="13.5" hidden="1" customHeight="1">
      <c r="A18" s="270" t="s">
        <v>14</v>
      </c>
      <c r="B18" s="258" t="s">
        <v>2439</v>
      </c>
      <c r="C18" s="263">
        <v>0</v>
      </c>
      <c r="D18" s="1033"/>
      <c r="E18" s="261"/>
      <c r="F18" s="264">
        <v>3.0499999999999999E-2</v>
      </c>
      <c r="G18" s="262" t="s">
        <v>2440</v>
      </c>
    </row>
    <row r="19" spans="1:7" s="266" customFormat="1" ht="13.5" customHeight="1">
      <c r="A19" s="298" t="s">
        <v>2441</v>
      </c>
      <c r="B19" s="253" t="s">
        <v>2442</v>
      </c>
      <c r="C19" s="254">
        <f ca="1">IF(G19="已包含在土地取得成本中","0",ROUND(D19*E19,0))</f>
        <v>2994910</v>
      </c>
      <c r="D19" s="1035">
        <f ca="1">D9+D10</f>
        <v>14974.55</v>
      </c>
      <c r="E19" s="254">
        <f>'数据-取费表'!B31</f>
        <v>200</v>
      </c>
      <c r="F19" s="274"/>
      <c r="G19" s="2550"/>
    </row>
    <row r="20" spans="1:7" s="257" customFormat="1" ht="13.5" customHeight="1">
      <c r="A20" s="298" t="s">
        <v>2443</v>
      </c>
      <c r="B20" s="253" t="s">
        <v>2444</v>
      </c>
      <c r="C20" s="275">
        <f ca="1">ROUND((C5+C19)*F20,0)</f>
        <v>89847</v>
      </c>
      <c r="D20" s="275"/>
      <c r="E20" s="275"/>
      <c r="F20" s="276">
        <f>'数据-取费表'!B37</f>
        <v>0.03</v>
      </c>
      <c r="G20" s="277" t="s">
        <v>2445</v>
      </c>
    </row>
    <row r="21" spans="1:7" s="257" customFormat="1" ht="13.5" customHeight="1">
      <c r="A21" s="298" t="s">
        <v>2446</v>
      </c>
      <c r="B21" s="253" t="s">
        <v>2447</v>
      </c>
      <c r="C21" s="278">
        <f>F21</f>
        <v>0.03</v>
      </c>
      <c r="D21" s="279" t="s">
        <v>2448</v>
      </c>
      <c r="E21" s="275"/>
      <c r="F21" s="276">
        <f>'数据-取费表'!B38</f>
        <v>0.03</v>
      </c>
      <c r="G21" s="277" t="s">
        <v>2449</v>
      </c>
    </row>
    <row r="22" spans="1:7" s="257" customFormat="1" ht="13.5" customHeight="1">
      <c r="A22" s="298" t="s">
        <v>2450</v>
      </c>
      <c r="B22" s="253" t="s">
        <v>2451</v>
      </c>
      <c r="C22" s="1379">
        <f ca="1">ROUND(SUM(C23:C25),0)</f>
        <v>295542</v>
      </c>
      <c r="D22" s="278">
        <f ca="1">C26</f>
        <v>1.4E-3</v>
      </c>
      <c r="E22" s="279" t="s">
        <v>2448</v>
      </c>
      <c r="F22" s="280">
        <f ca="1">'数据-取费表'!B40</f>
        <v>4.7500000000000001E-2</v>
      </c>
      <c r="G22" s="277" t="str">
        <f>IF('数据-取费表'!B22&lt;=1,"单利计息","复利计息")</f>
        <v>复利计息</v>
      </c>
    </row>
    <row r="23" spans="1:7" s="257" customFormat="1" ht="13.5" customHeight="1">
      <c r="A23" s="950" t="s">
        <v>2341</v>
      </c>
      <c r="B23" s="258" t="s">
        <v>2452</v>
      </c>
      <c r="C23" s="1380">
        <f ca="1">ROUND(IF('数据-取费表'!B22&lt;=1,C5*F22*'数据-取费表'!B22,C5*(POWER((1+F22),'数据-取费表'!B22)-1)),0)</f>
        <v>0</v>
      </c>
      <c r="D23" s="281"/>
      <c r="E23" s="281"/>
      <c r="F23" s="282"/>
      <c r="G23" s="283" t="s">
        <v>2453</v>
      </c>
    </row>
    <row r="24" spans="1:7" s="257" customFormat="1" ht="13.5" customHeight="1">
      <c r="A24" s="950" t="s">
        <v>2343</v>
      </c>
      <c r="B24" s="258" t="s">
        <v>2454</v>
      </c>
      <c r="C24" s="1380">
        <f ca="1">ROUND(IF('数据-取费表'!B22&lt;=1,C19*F22*('数据-取费表'!B19/2+'数据-取费表'!B20),C19*(POWER((1+F22),('数据-取费表'!B19/2+'数据-取费表'!B20))-1)),0)</f>
        <v>291274</v>
      </c>
      <c r="D24" s="281"/>
      <c r="E24" s="281"/>
      <c r="F24" s="282"/>
      <c r="G24" s="283" t="s">
        <v>2455</v>
      </c>
    </row>
    <row r="25" spans="1:7" s="257" customFormat="1" ht="24">
      <c r="A25" s="950" t="s">
        <v>2345</v>
      </c>
      <c r="B25" s="258" t="s">
        <v>2456</v>
      </c>
      <c r="C25" s="1380">
        <f ca="1">ROUND(IF('数据-取费表'!B22&lt;=1,C20*F22*'数据-取费表'!B22/2,C20*(POWER((1+F22),'数据-取费表'!B22/2)-1)),0)</f>
        <v>4268</v>
      </c>
      <c r="D25" s="281"/>
      <c r="E25" s="284"/>
      <c r="F25" s="282"/>
      <c r="G25" s="285" t="s">
        <v>2457</v>
      </c>
    </row>
    <row r="26" spans="1:7" s="257" customFormat="1">
      <c r="A26" s="950" t="s">
        <v>795</v>
      </c>
      <c r="B26" s="258" t="s">
        <v>2380</v>
      </c>
      <c r="C26" s="281">
        <f ca="1">ROUND(IF('数据-取费表'!B22&lt;=1,F21*F22*'数据-取费表'!B22/2,F21*(POWER((1+F22),'数据-取费表'!B22/2)-1)),4)</f>
        <v>1.4E-3</v>
      </c>
      <c r="D26" s="281"/>
      <c r="E26" s="284"/>
      <c r="F26" s="282"/>
      <c r="G26" s="286"/>
    </row>
    <row r="27" spans="1:7" s="257" customFormat="1" ht="24.75">
      <c r="A27" s="298" t="s">
        <v>2381</v>
      </c>
      <c r="B27" s="287" t="s">
        <v>2382</v>
      </c>
      <c r="C27" s="288">
        <f ca="1">C28</f>
        <v>616951</v>
      </c>
      <c r="D27" s="278">
        <f ca="1">C29</f>
        <v>6.0000000000000001E-3</v>
      </c>
      <c r="E27" s="279" t="s">
        <v>2383</v>
      </c>
      <c r="F27" s="289">
        <f ca="1">IF(B1="",'数据-取费表'!Q16,INDIRECT("'数据-取费表'!q"&amp;$G$1))</f>
        <v>0.2</v>
      </c>
      <c r="G27" s="290" t="s">
        <v>2384</v>
      </c>
    </row>
    <row r="28" spans="1:7" s="257" customFormat="1" ht="13.5" customHeight="1">
      <c r="A28" s="950" t="s">
        <v>791</v>
      </c>
      <c r="B28" s="291" t="s">
        <v>2385</v>
      </c>
      <c r="C28" s="292">
        <f ca="1">ROUND((C5+C19+C20)*F27,0)</f>
        <v>616951</v>
      </c>
      <c r="D28" s="278"/>
      <c r="E28" s="279"/>
      <c r="F28" s="289"/>
      <c r="G28" s="290"/>
    </row>
    <row r="29" spans="1:7" s="257" customFormat="1" ht="13.5" customHeight="1">
      <c r="A29" s="950" t="s">
        <v>792</v>
      </c>
      <c r="B29" s="291" t="s">
        <v>2386</v>
      </c>
      <c r="C29" s="281">
        <f ca="1">ROUND(C21*F27,4)</f>
        <v>6.0000000000000001E-3</v>
      </c>
      <c r="D29" s="278"/>
      <c r="E29" s="279"/>
      <c r="F29" s="289"/>
      <c r="G29" s="290"/>
    </row>
    <row r="30" spans="1:7" s="257" customFormat="1" ht="13.5" customHeight="1">
      <c r="A30" s="298" t="s">
        <v>2387</v>
      </c>
      <c r="B30" s="253" t="s">
        <v>2388</v>
      </c>
      <c r="C30" s="278">
        <f>ROUND(F30/(1+'数据-取费表'!C42),4)</f>
        <v>5.2400000000000002E-2</v>
      </c>
      <c r="D30" s="279" t="s">
        <v>2383</v>
      </c>
      <c r="E30" s="284"/>
      <c r="F30" s="280">
        <f>'数据-取费表'!B41</f>
        <v>5.5000000000000007E-2</v>
      </c>
      <c r="G30" s="277" t="s">
        <v>2389</v>
      </c>
    </row>
    <row r="31" spans="1:7" ht="16.5" customHeight="1">
      <c r="A31" s="252">
        <v>1</v>
      </c>
      <c r="B31" s="253" t="s">
        <v>2390</v>
      </c>
      <c r="C31" s="254">
        <f ca="1">ROUND((C5+C19+C20+C22+C27)/(1-C21-D22-D27-C30),0)</f>
        <v>4391617</v>
      </c>
      <c r="D31" s="273"/>
      <c r="E31" s="254"/>
      <c r="F31" s="293"/>
      <c r="G31" s="277" t="s">
        <v>2391</v>
      </c>
    </row>
    <row r="32" spans="1:7" s="251" customFormat="1" ht="15.75">
      <c r="A32" s="295" t="s">
        <v>2458</v>
      </c>
      <c r="B32" s="296"/>
      <c r="C32" s="296"/>
      <c r="D32" s="296"/>
      <c r="E32" s="296"/>
      <c r="F32" s="296"/>
      <c r="G32" s="297"/>
    </row>
    <row r="33" spans="1:7" s="257" customFormat="1" ht="13.5" customHeight="1">
      <c r="A33" s="298" t="s">
        <v>782</v>
      </c>
      <c r="B33" s="253" t="s">
        <v>2459</v>
      </c>
      <c r="C33" s="299">
        <f ca="1">SUM(C34:C38)</f>
        <v>57764327</v>
      </c>
      <c r="D33" s="275"/>
      <c r="E33" s="255"/>
      <c r="F33" s="284"/>
      <c r="G33" s="277"/>
    </row>
    <row r="34" spans="1:7" s="301" customFormat="1" ht="13.5" customHeight="1">
      <c r="A34" s="950" t="s">
        <v>791</v>
      </c>
      <c r="B34" s="258" t="s">
        <v>2394</v>
      </c>
      <c r="C34" s="263">
        <f ca="1">ROUND(IF(B1="",SUMPRODUCT('数据-取费表'!K6:K14,'数据-取费表'!L6:L14),INDIRECT("'数据-取费表'!l"&amp;$G$1)*INDIRECT("'数据-取费表'!k"&amp;$G$1)+'数据-取费表'!L14*INDIRECT("'数据-取费表'!S"&amp;$G$1)),0)</f>
        <v>52410925</v>
      </c>
      <c r="D34" s="260"/>
      <c r="E34" s="263"/>
      <c r="F34" s="300"/>
      <c r="G34" s="262"/>
    </row>
    <row r="35" spans="1:7" ht="13.5" customHeight="1">
      <c r="A35" s="950" t="s">
        <v>796</v>
      </c>
      <c r="B35" s="258" t="s">
        <v>2396</v>
      </c>
      <c r="C35" s="263">
        <f ca="1">ROUND(C34*F35,0)</f>
        <v>1572328</v>
      </c>
      <c r="D35" s="263"/>
      <c r="E35" s="263"/>
      <c r="F35" s="302">
        <f>'数据-取费表'!B33</f>
        <v>0.03</v>
      </c>
      <c r="G35" s="262" t="s">
        <v>2397</v>
      </c>
    </row>
    <row r="36" spans="1:7" ht="24">
      <c r="A36" s="950" t="s">
        <v>797</v>
      </c>
      <c r="B36" s="258" t="s">
        <v>2398</v>
      </c>
      <c r="C36" s="263">
        <f ca="1">ROUND(IF(B1="",SUM('数据-取费表'!AP6:AP13)*F36,IF(INDIRECT("'数据-取费表'!c"&amp;$G$1)="住宅",INDIRECT("'数据-取费表'!k"&amp;$G$1)*INDIRECT("'数据-取费表'!l"&amp;$G$1)*F36,0)),0)</f>
        <v>0</v>
      </c>
      <c r="D36" s="263"/>
      <c r="E36" s="263"/>
      <c r="F36" s="302">
        <f>'数据-取费表'!B34</f>
        <v>0.03</v>
      </c>
      <c r="G36" s="303" t="s">
        <v>2399</v>
      </c>
    </row>
    <row r="37" spans="1:7" s="301" customFormat="1" ht="13.5" customHeight="1">
      <c r="A37" s="950" t="s">
        <v>798</v>
      </c>
      <c r="B37" s="258" t="s">
        <v>2400</v>
      </c>
      <c r="C37" s="292">
        <f ca="1">ROUND(E37*D37,0)</f>
        <v>2994910</v>
      </c>
      <c r="D37" s="260">
        <f ca="1">D19</f>
        <v>14974.55</v>
      </c>
      <c r="E37" s="292">
        <f>'数据-取费表'!B35</f>
        <v>200</v>
      </c>
      <c r="F37" s="302"/>
      <c r="G37" s="304"/>
    </row>
    <row r="38" spans="1:7" ht="13.5" customHeight="1">
      <c r="A38" s="950" t="s">
        <v>799</v>
      </c>
      <c r="B38" s="258" t="s">
        <v>2402</v>
      </c>
      <c r="C38" s="263">
        <f ca="1">ROUND(C34*F38,0)</f>
        <v>786164</v>
      </c>
      <c r="D38" s="263"/>
      <c r="E38" s="263"/>
      <c r="F38" s="302">
        <f>'数据-取费表'!B36</f>
        <v>1.4999999999999999E-2</v>
      </c>
      <c r="G38" s="262" t="s">
        <v>2397</v>
      </c>
    </row>
    <row r="39" spans="1:7" s="257" customFormat="1" ht="13.5" customHeight="1">
      <c r="A39" s="298" t="s">
        <v>2403</v>
      </c>
      <c r="B39" s="253" t="s">
        <v>2404</v>
      </c>
      <c r="C39" s="275">
        <f ca="1">ROUND(C33*F20,0)</f>
        <v>1732930</v>
      </c>
      <c r="D39" s="275"/>
      <c r="E39" s="275"/>
      <c r="F39" s="276"/>
      <c r="G39" s="277" t="s">
        <v>2405</v>
      </c>
    </row>
    <row r="40" spans="1:7" s="257" customFormat="1" ht="13.5" customHeight="1">
      <c r="A40" s="298" t="s">
        <v>2406</v>
      </c>
      <c r="B40" s="253" t="s">
        <v>2407</v>
      </c>
      <c r="C40" s="1727">
        <f>F21</f>
        <v>0.03</v>
      </c>
      <c r="D40" s="279" t="s">
        <v>2408</v>
      </c>
      <c r="E40" s="275"/>
      <c r="F40" s="276"/>
      <c r="G40" s="277" t="s">
        <v>2409</v>
      </c>
    </row>
    <row r="41" spans="1:7" s="257" customFormat="1" ht="13.5" customHeight="1">
      <c r="A41" s="298" t="s">
        <v>2410</v>
      </c>
      <c r="B41" s="253" t="s">
        <v>2411</v>
      </c>
      <c r="C41" s="275">
        <f ca="1">ROUND(SUM(C42:C43),0)</f>
        <v>2826120</v>
      </c>
      <c r="D41" s="278">
        <f ca="1">C44</f>
        <v>1.4E-3</v>
      </c>
      <c r="E41" s="279" t="s">
        <v>2408</v>
      </c>
      <c r="F41" s="280"/>
      <c r="G41" s="277" t="str">
        <f>IF('数据-取费表'!B22&lt;=1,"单利计息","复利计息")</f>
        <v>复利计息</v>
      </c>
    </row>
    <row r="42" spans="1:7" ht="13.5" customHeight="1">
      <c r="A42" s="950" t="s">
        <v>791</v>
      </c>
      <c r="B42" s="258" t="s">
        <v>2412</v>
      </c>
      <c r="C42" s="281">
        <f ca="1">ROUND(IF('数据-取费表'!B22&lt;=1,C33*F22*'数据-取费表'!B20/2,C33*(POWER((1+F22),'数据-取费表'!B20/2)-1)),0)</f>
        <v>2743806</v>
      </c>
      <c r="D42" s="281"/>
      <c r="E42" s="281"/>
      <c r="F42" s="282"/>
      <c r="G42" s="3209" t="s">
        <v>2460</v>
      </c>
    </row>
    <row r="43" spans="1:7" ht="13.5" customHeight="1">
      <c r="A43" s="950" t="s">
        <v>792</v>
      </c>
      <c r="B43" s="258" t="s">
        <v>2414</v>
      </c>
      <c r="C43" s="281">
        <f ca="1">ROUND(IF('数据-取费表'!B22&lt;=1,C39*F22*'数据-取费表'!B20/2,C39*(POWER((1+F22),'数据-取费表'!B20/2)-1)),0)</f>
        <v>82314</v>
      </c>
      <c r="D43" s="281"/>
      <c r="E43" s="281"/>
      <c r="F43" s="282"/>
      <c r="G43" s="3210"/>
    </row>
    <row r="44" spans="1:7" ht="13.5" customHeight="1">
      <c r="A44" s="950" t="s">
        <v>793</v>
      </c>
      <c r="B44" s="258" t="s">
        <v>2415</v>
      </c>
      <c r="C44" s="281">
        <f ca="1">ROUND(IF('数据-取费表'!B22&lt;=1,C40*F22*'数据-取费表'!B20/2,C40*(POWER((1+F22),'数据-取费表'!B20/2)-1)),4)</f>
        <v>1.4E-3</v>
      </c>
      <c r="D44" s="281"/>
      <c r="E44" s="281"/>
      <c r="F44" s="282"/>
      <c r="G44" s="3211"/>
    </row>
    <row r="45" spans="1:7" s="257" customFormat="1" ht="13.5" customHeight="1">
      <c r="A45" s="298" t="s">
        <v>2416</v>
      </c>
      <c r="B45" s="287" t="s">
        <v>2382</v>
      </c>
      <c r="C45" s="288">
        <f ca="1">C46</f>
        <v>11899451</v>
      </c>
      <c r="D45" s="278">
        <f ca="1">C47</f>
        <v>6.0000000000000001E-3</v>
      </c>
      <c r="E45" s="279" t="s">
        <v>2408</v>
      </c>
      <c r="F45" s="289"/>
      <c r="G45" s="290" t="s">
        <v>2417</v>
      </c>
    </row>
    <row r="46" spans="1:7" s="257" customFormat="1" ht="13.5" customHeight="1">
      <c r="A46" s="950" t="s">
        <v>791</v>
      </c>
      <c r="B46" s="291" t="s">
        <v>2418</v>
      </c>
      <c r="C46" s="292">
        <f ca="1">ROUND((C33+C39)*F27,0)</f>
        <v>11899451</v>
      </c>
      <c r="D46" s="306"/>
      <c r="E46" s="279"/>
      <c r="F46" s="289"/>
      <c r="G46" s="290"/>
    </row>
    <row r="47" spans="1:7" s="257" customFormat="1" ht="13.5" customHeight="1">
      <c r="A47" s="950" t="s">
        <v>792</v>
      </c>
      <c r="B47" s="291" t="s">
        <v>2419</v>
      </c>
      <c r="C47" s="281">
        <f ca="1">ROUND(C40*F27,4)</f>
        <v>6.0000000000000001E-3</v>
      </c>
      <c r="D47" s="306"/>
      <c r="E47" s="279"/>
      <c r="F47" s="289"/>
      <c r="G47" s="290"/>
    </row>
    <row r="48" spans="1:7" s="257" customFormat="1" ht="13.5" customHeight="1">
      <c r="A48" s="298" t="s">
        <v>2381</v>
      </c>
      <c r="B48" s="253" t="s">
        <v>2420</v>
      </c>
      <c r="C48" s="305">
        <f>ROUND(F30/(1+'数据-取费表'!C42),4)</f>
        <v>5.2400000000000002E-2</v>
      </c>
      <c r="D48" s="279" t="s">
        <v>2408</v>
      </c>
      <c r="E48" s="275"/>
      <c r="F48" s="280"/>
      <c r="G48" s="277" t="s">
        <v>2421</v>
      </c>
    </row>
    <row r="49" spans="1:7" ht="16.5" customHeight="1">
      <c r="A49" s="298" t="s">
        <v>2387</v>
      </c>
      <c r="B49" s="253" t="s">
        <v>2461</v>
      </c>
      <c r="C49" s="275">
        <f ca="1">ROUND((C33+C39+C41+C45)/(1-C40-D41-D45-C48),0)</f>
        <v>81545625</v>
      </c>
      <c r="D49" s="275"/>
      <c r="E49" s="275"/>
      <c r="F49" s="307"/>
      <c r="G49" s="277" t="s">
        <v>2423</v>
      </c>
    </row>
    <row r="50" spans="1:7" s="301" customFormat="1">
      <c r="A50" s="298" t="s">
        <v>2424</v>
      </c>
      <c r="B50" s="253" t="s">
        <v>2425</v>
      </c>
      <c r="C50" s="275"/>
      <c r="D50" s="275"/>
      <c r="E50" s="275"/>
      <c r="F50" s="307">
        <f>IF('数据-取费表'!B24=0,'数据-取费表'!N16,1)</f>
        <v>1</v>
      </c>
      <c r="G50" s="290"/>
    </row>
    <row r="51" spans="1:7" ht="16.5" customHeight="1">
      <c r="A51" s="298" t="s">
        <v>2427</v>
      </c>
      <c r="B51" s="253" t="s">
        <v>2462</v>
      </c>
      <c r="C51" s="275">
        <f ca="1">ROUND(C49*F50,0)</f>
        <v>81545625</v>
      </c>
      <c r="D51" s="275"/>
      <c r="E51" s="275"/>
      <c r="F51" s="307"/>
      <c r="G51" s="277" t="s">
        <v>2429</v>
      </c>
    </row>
    <row r="52" spans="1:7" s="251" customFormat="1" ht="16.5" thickBot="1">
      <c r="A52" s="308" t="s">
        <v>2430</v>
      </c>
      <c r="B52" s="309"/>
      <c r="C52" s="310">
        <f ca="1">C31+C51</f>
        <v>85937242</v>
      </c>
      <c r="D52" s="309"/>
      <c r="E52" s="309"/>
      <c r="F52" s="309"/>
      <c r="G52" s="311"/>
    </row>
    <row r="55" spans="1:7" ht="15">
      <c r="B55" s="313" t="s">
        <v>2431</v>
      </c>
      <c r="C55" s="314"/>
    </row>
    <row r="56" spans="1:7">
      <c r="B56" s="316" t="s">
        <v>1513</v>
      </c>
      <c r="C56" s="318">
        <f ca="1">1-C57</f>
        <v>5.1000000000000045E-2</v>
      </c>
    </row>
    <row r="57" spans="1:7">
      <c r="B57" s="316" t="s">
        <v>1514</v>
      </c>
      <c r="C57" s="317">
        <f ca="1">ROUND(C51/C52,3)</f>
        <v>0.94899999999999995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2463</v>
      </c>
      <c r="B1" s="1580"/>
      <c r="C1" s="1581"/>
      <c r="D1" s="1579"/>
      <c r="E1" s="319"/>
      <c r="F1" s="319"/>
      <c r="G1" s="1580"/>
      <c r="H1" s="319"/>
      <c r="I1" s="319"/>
      <c r="J1" s="319"/>
      <c r="K1" s="319">
        <f>MATCH(C1,'数据-取费表'!A6:A16,0)+5</f>
        <v>7</v>
      </c>
    </row>
    <row r="2" spans="1:33" ht="18" customHeight="1">
      <c r="A2" s="244" t="s">
        <v>2331</v>
      </c>
      <c r="B2" s="247">
        <f ca="1">C32</f>
        <v>0</v>
      </c>
      <c r="C2" s="319" t="s">
        <v>2464</v>
      </c>
      <c r="D2" s="319"/>
      <c r="E2" s="319"/>
      <c r="F2" s="319"/>
      <c r="G2" s="319"/>
      <c r="H2" s="319"/>
      <c r="I2" s="319"/>
      <c r="J2" s="319"/>
      <c r="K2" s="319"/>
    </row>
    <row r="3" spans="1:33" ht="18" customHeight="1" thickBot="1">
      <c r="A3" s="246" t="s">
        <v>2333</v>
      </c>
      <c r="B3" s="247">
        <f ca="1">ROUND(B2*10000/IF(C1="",'数据-汇总表'!E3,INDIRECT("'数据-取费表'!K"&amp;$K$1)),0)</f>
        <v>0</v>
      </c>
      <c r="C3" s="319" t="s">
        <v>2465</v>
      </c>
      <c r="D3" s="319"/>
      <c r="E3" s="319"/>
      <c r="F3" s="319"/>
      <c r="G3" s="319"/>
      <c r="H3" s="319"/>
      <c r="I3" s="319"/>
      <c r="J3" s="319"/>
      <c r="K3" s="319"/>
    </row>
    <row r="4" spans="1:33" s="955" customFormat="1" ht="16.5" customHeight="1">
      <c r="A4" s="952" t="s">
        <v>2466</v>
      </c>
      <c r="B4" s="953"/>
      <c r="C4" s="995">
        <f>SUM(C8:K8)</f>
        <v>0</v>
      </c>
      <c r="D4" s="953"/>
      <c r="E4" s="953"/>
      <c r="F4" s="953"/>
      <c r="G4" s="953"/>
      <c r="H4" s="953"/>
      <c r="I4" s="953"/>
      <c r="J4" s="953"/>
      <c r="K4" s="954"/>
    </row>
    <row r="5" spans="1:33" s="959" customFormat="1" ht="24.75">
      <c r="A5" s="956" t="s">
        <v>2467</v>
      </c>
      <c r="B5" s="957" t="s">
        <v>2468</v>
      </c>
      <c r="C5" s="2554" t="s">
        <v>2469</v>
      </c>
      <c r="D5" s="2554" t="s">
        <v>2470</v>
      </c>
      <c r="E5" s="2554" t="s">
        <v>2471</v>
      </c>
      <c r="F5" s="2554"/>
      <c r="G5" s="2554"/>
      <c r="H5" s="2554"/>
      <c r="I5" s="2554"/>
      <c r="J5" s="2554"/>
      <c r="K5" s="2554"/>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2472</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2473</v>
      </c>
      <c r="B7" s="139" t="s">
        <v>2474</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5" t="s">
        <v>2475</v>
      </c>
      <c r="B8" s="176" t="s">
        <v>2476</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2477</v>
      </c>
      <c r="B9" s="953"/>
      <c r="C9" s="953"/>
      <c r="D9" s="953"/>
      <c r="E9" s="953"/>
      <c r="F9" s="953"/>
      <c r="G9" s="953"/>
      <c r="H9" s="953"/>
      <c r="I9" s="953"/>
      <c r="J9" s="953"/>
      <c r="K9" s="954"/>
    </row>
    <row r="10" spans="1:33" s="969" customFormat="1" ht="13.5" customHeight="1">
      <c r="A10" s="956" t="s">
        <v>2478</v>
      </c>
      <c r="B10" s="8" t="s">
        <v>2479</v>
      </c>
      <c r="C10" s="965" t="s">
        <v>2480</v>
      </c>
      <c r="D10" s="966" t="s">
        <v>2481</v>
      </c>
      <c r="E10" s="966" t="s">
        <v>2482</v>
      </c>
      <c r="F10" s="966" t="s">
        <v>2483</v>
      </c>
      <c r="G10" s="8"/>
      <c r="H10" s="967"/>
      <c r="I10" s="967"/>
      <c r="J10" s="967"/>
      <c r="K10" s="968"/>
    </row>
    <row r="11" spans="1:33" s="974" customFormat="1" ht="13.5" customHeight="1">
      <c r="A11" s="970" t="s">
        <v>1334</v>
      </c>
      <c r="B11" s="971" t="s">
        <v>2484</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1335</v>
      </c>
      <c r="B12" s="971" t="s">
        <v>2485</v>
      </c>
      <c r="C12" s="24">
        <f ca="1">ROUND(C11*F12,0)</f>
        <v>0</v>
      </c>
      <c r="D12" s="972"/>
      <c r="E12" s="374"/>
      <c r="F12" s="975">
        <f>'数据-取费表'!B33</f>
        <v>0.03</v>
      </c>
      <c r="G12" s="8" t="s">
        <v>2486</v>
      </c>
      <c r="H12" s="967"/>
      <c r="I12" s="967"/>
      <c r="J12" s="967"/>
      <c r="K12" s="968"/>
    </row>
    <row r="13" spans="1:33" s="974" customFormat="1" ht="13.5" customHeight="1">
      <c r="A13" s="970" t="s">
        <v>1336</v>
      </c>
      <c r="B13" s="971" t="s">
        <v>2487</v>
      </c>
      <c r="C13" s="24">
        <f ca="1">ROUND(IF(C1="",SUMIF('数据-取费表'!C:C,"住宅",'数据-取费表'!P:P)*F13,IF(INDIRECT("'数据-取费表'!c"&amp;$K$1)="住宅",INDIRECT("'数据-取费表'!P"&amp;$K$1)*F13,0)),0)</f>
        <v>0</v>
      </c>
      <c r="D13" s="1032"/>
      <c r="E13" s="374"/>
      <c r="F13" s="975">
        <f>'数据-取费表'!B34</f>
        <v>0.03</v>
      </c>
      <c r="G13" s="8" t="s">
        <v>2488</v>
      </c>
      <c r="H13" s="967"/>
      <c r="I13" s="967"/>
      <c r="J13" s="967"/>
      <c r="K13" s="968"/>
    </row>
    <row r="14" spans="1:33" s="976" customFormat="1" ht="13.5" customHeight="1">
      <c r="A14" s="970" t="s">
        <v>1337</v>
      </c>
      <c r="B14" s="971" t="s">
        <v>2489</v>
      </c>
      <c r="C14" s="24">
        <f ca="1">ROUND(D14*E14*F11/10000,0)</f>
        <v>0</v>
      </c>
      <c r="D14" s="1032">
        <f ca="1">IF(C1="",'数据-汇总表'!E3,INDIRECT("'数据-取费表'!K"&amp;$K$1)+INDIRECT("'数据-取费表'!S"&amp;$K$1))</f>
        <v>14974.55</v>
      </c>
      <c r="E14" s="24">
        <f>'数据-取费表'!B35</f>
        <v>200</v>
      </c>
      <c r="F14" s="975"/>
      <c r="G14" s="8" t="s">
        <v>2490</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1338</v>
      </c>
      <c r="B15" s="971" t="s">
        <v>2491</v>
      </c>
      <c r="C15" s="982">
        <f ca="1">ROUND(C11*F15,0)</f>
        <v>0</v>
      </c>
      <c r="D15" s="977"/>
      <c r="E15" s="982"/>
      <c r="F15" s="983">
        <f>'数据-取费表'!B36</f>
        <v>1.4999999999999999E-2</v>
      </c>
      <c r="G15" s="139" t="s">
        <v>2492</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2493</v>
      </c>
      <c r="C16" s="982">
        <f ca="1">SUM(C11:C15)</f>
        <v>0</v>
      </c>
      <c r="D16" s="977"/>
      <c r="E16" s="982"/>
      <c r="F16" s="983"/>
      <c r="G16" s="139"/>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2494</v>
      </c>
      <c r="C17" s="24">
        <f ca="1">ROUND(D17*E17/10000,0)</f>
        <v>0</v>
      </c>
      <c r="D17" s="1032">
        <f ca="1">D14</f>
        <v>14974.55</v>
      </c>
      <c r="E17" s="24">
        <f>'数据-取费表'!B32</f>
        <v>0</v>
      </c>
      <c r="F17" s="977"/>
      <c r="G17" s="139" t="s">
        <v>2495</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1339</v>
      </c>
      <c r="B18" s="971" t="s">
        <v>2496</v>
      </c>
      <c r="C18" s="24">
        <f ca="1">C19+C20-IF(C1="",'数据-取费表'!B29,IF(G18="已全部缴纳",C19+C20,H18))</f>
        <v>0</v>
      </c>
      <c r="D18" s="1032"/>
      <c r="E18" s="24"/>
      <c r="F18" s="975"/>
      <c r="G18" s="2556"/>
      <c r="H18" s="1576"/>
      <c r="I18" s="2557" t="s">
        <v>2497</v>
      </c>
      <c r="J18" s="978"/>
      <c r="K18" s="979"/>
    </row>
    <row r="19" spans="1:33" s="974" customFormat="1" ht="13.5" customHeight="1">
      <c r="A19" s="970" t="s">
        <v>805</v>
      </c>
      <c r="B19" s="971" t="s">
        <v>2498</v>
      </c>
      <c r="C19" s="24">
        <f ca="1">ROUND(D19*E19/10000,0)</f>
        <v>0</v>
      </c>
      <c r="D19" s="1032">
        <f ca="1">IF(C1="",'数据-汇总表'!E5,IF(INDIRECT("'数据-取费表'!c"&amp;$K$1)="住宅",INDIRECT("'数据-取费表'!k"&amp;$K$1),0))</f>
        <v>0</v>
      </c>
      <c r="E19" s="24">
        <f>'数据-取费表'!B27</f>
        <v>0</v>
      </c>
      <c r="F19" s="975"/>
      <c r="G19" s="15"/>
      <c r="H19" s="1578"/>
      <c r="I19" s="980"/>
      <c r="J19" s="980"/>
      <c r="K19" s="981"/>
    </row>
    <row r="20" spans="1:33" s="974" customFormat="1" ht="13.5" customHeight="1">
      <c r="A20" s="970" t="s">
        <v>806</v>
      </c>
      <c r="B20" s="971" t="s">
        <v>2499</v>
      </c>
      <c r="C20" s="24">
        <f ca="1">ROUND(D20*E20/10000,0)</f>
        <v>0</v>
      </c>
      <c r="D20" s="1032">
        <f ca="1">IF(C1="",'数据-汇总表'!E6,IF(INDIRECT("'数据-取费表'!c"&amp;$K$1)="住宅",INDIRECT("'数据-取费表'!s"&amp;$K$1),INDIRECT("'数据-取费表'!k"&amp;$K$1)+INDIRECT("'数据-取费表'!s"&amp;$K$1)))</f>
        <v>14974.55</v>
      </c>
      <c r="E20" s="24">
        <f>'数据-取费表'!B28</f>
        <v>0</v>
      </c>
      <c r="F20" s="975"/>
      <c r="G20" s="15"/>
      <c r="H20" s="980"/>
      <c r="I20" s="980"/>
      <c r="J20" s="980"/>
      <c r="K20" s="981"/>
    </row>
    <row r="21" spans="1:33" s="974" customFormat="1" ht="13.5" customHeight="1">
      <c r="A21" s="960" t="s">
        <v>802</v>
      </c>
      <c r="B21" s="984" t="s">
        <v>2500</v>
      </c>
      <c r="C21" s="985">
        <f ca="1">C16+C17+C18</f>
        <v>0</v>
      </c>
      <c r="D21" s="986"/>
      <c r="E21" s="324"/>
      <c r="F21" s="324"/>
      <c r="G21" s="139" t="s">
        <v>2501</v>
      </c>
      <c r="H21" s="978"/>
      <c r="I21" s="978"/>
      <c r="J21" s="978"/>
      <c r="K21" s="979"/>
    </row>
    <row r="22" spans="1:33" s="974" customFormat="1" ht="13.5" customHeight="1">
      <c r="A22" s="960" t="s">
        <v>2473</v>
      </c>
      <c r="B22" s="984" t="s">
        <v>2502</v>
      </c>
      <c r="C22" s="985">
        <f ca="1">ROUND(C21*F22,0)</f>
        <v>0</v>
      </c>
      <c r="D22" s="324"/>
      <c r="E22" s="324"/>
      <c r="F22" s="987">
        <f>'数据-取费表'!B37</f>
        <v>0.03</v>
      </c>
      <c r="G22" s="8" t="s">
        <v>2503</v>
      </c>
      <c r="H22" s="967"/>
      <c r="I22" s="967"/>
      <c r="J22" s="967"/>
      <c r="K22" s="968"/>
    </row>
    <row r="23" spans="1:33" s="974" customFormat="1" ht="13.5" customHeight="1">
      <c r="A23" s="960" t="s">
        <v>2475</v>
      </c>
      <c r="B23" s="984" t="s">
        <v>2504</v>
      </c>
      <c r="C23" s="985">
        <f ca="1">ROUND(C4*F23*F11,0)</f>
        <v>0</v>
      </c>
      <c r="D23" s="324"/>
      <c r="E23" s="324"/>
      <c r="F23" s="987">
        <f>'数据-取费表'!B38</f>
        <v>0.03</v>
      </c>
      <c r="G23" s="8" t="s">
        <v>2505</v>
      </c>
      <c r="H23" s="967"/>
      <c r="I23" s="967"/>
      <c r="J23" s="967"/>
      <c r="K23" s="968"/>
    </row>
    <row r="24" spans="1:33" s="974" customFormat="1" ht="13.5" customHeight="1">
      <c r="A24" s="960" t="s">
        <v>2506</v>
      </c>
      <c r="B24" s="984" t="s">
        <v>2507</v>
      </c>
      <c r="C24" s="323">
        <f>ROUND(F24/(1+'数据-取费表'!C42),4)</f>
        <v>2.9000000000000001E-2</v>
      </c>
      <c r="D24" s="324" t="s">
        <v>15</v>
      </c>
      <c r="E24" s="324"/>
      <c r="F24" s="987">
        <f>'数据-取费表'!B48+'数据-取费表'!B49</f>
        <v>3.0499999999999999E-2</v>
      </c>
      <c r="G24" s="8" t="s">
        <v>2508</v>
      </c>
      <c r="H24" s="989"/>
      <c r="I24" s="989"/>
      <c r="J24" s="989"/>
      <c r="K24" s="990"/>
    </row>
    <row r="25" spans="1:33" s="974" customFormat="1" ht="13.5" customHeight="1">
      <c r="A25" s="960" t="s">
        <v>2509</v>
      </c>
      <c r="B25" s="986" t="s">
        <v>2510</v>
      </c>
      <c r="C25" s="1355">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2511</v>
      </c>
      <c r="C26" s="1356">
        <f ca="1">ROUND(IF('数据-取费表'!B22&lt;=1,(1+C24)*F25*'数据-取费表'!B24,(1+C24)*(POWER((1+F25),'数据-取费表'!B24)-1)),4)</f>
        <v>0</v>
      </c>
      <c r="D26" s="327"/>
      <c r="E26" s="328"/>
      <c r="F26" s="329"/>
      <c r="G26" s="2558"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2512</v>
      </c>
      <c r="C27" s="1357">
        <f ca="1">ROUND(IF('数据-取费表'!B22&lt;=1,(C21+C22+C23)*F25*'数据-取费表'!B24/2,(C21+C22+C23)*(POWER((1+F25),'数据-取费表'!B24/2)-1)),0)</f>
        <v>0</v>
      </c>
      <c r="D27" s="327"/>
      <c r="E27" s="328"/>
      <c r="F27" s="329"/>
      <c r="G27" s="2558" t="str">
        <f>IF('数据-取费表'!B22&lt;=1,"（1）-（3）项×年利率×建设期÷2","（1）-（3）项×((1+年利率)^(建设期÷2)-1)")</f>
        <v>（1）-（3）项×((1+年利率)^(建设期÷2)-1)</v>
      </c>
      <c r="H27" s="978"/>
      <c r="I27" s="978"/>
      <c r="J27" s="978"/>
      <c r="K27" s="979"/>
    </row>
    <row r="28" spans="1:33" s="332" customFormat="1" ht="13.5" customHeight="1">
      <c r="A28" s="960" t="s">
        <v>2513</v>
      </c>
      <c r="B28" s="2559" t="s">
        <v>2514</v>
      </c>
      <c r="C28" s="330">
        <f ca="1">C30</f>
        <v>0</v>
      </c>
      <c r="D28" s="323">
        <f ca="1">C29</f>
        <v>0</v>
      </c>
      <c r="E28" s="325" t="s">
        <v>15</v>
      </c>
      <c r="F28" s="331">
        <f ca="1">IF(C1="",'数据-取费表'!Q16,INDIRECT("'数据-取费表'!q"&amp;$K$1))</f>
        <v>0.2</v>
      </c>
      <c r="G28" s="988"/>
      <c r="H28" s="989"/>
      <c r="I28" s="989"/>
      <c r="J28" s="989"/>
      <c r="K28" s="990"/>
    </row>
    <row r="29" spans="1:33" s="334" customFormat="1" ht="13.5" customHeight="1">
      <c r="A29" s="970" t="s">
        <v>803</v>
      </c>
      <c r="B29" s="993" t="s">
        <v>2515</v>
      </c>
      <c r="C29" s="327">
        <f ca="1">ROUND((1+C24)*F28*'数据-取费表'!B24/'数据-取费表'!B20,4)</f>
        <v>0</v>
      </c>
      <c r="D29" s="327"/>
      <c r="E29" s="328"/>
      <c r="F29" s="333"/>
      <c r="G29" s="139" t="s">
        <v>2516</v>
      </c>
      <c r="H29" s="978"/>
      <c r="I29" s="978"/>
      <c r="J29" s="978"/>
      <c r="K29" s="979"/>
    </row>
    <row r="30" spans="1:33" s="334" customFormat="1" ht="13.5" customHeight="1">
      <c r="A30" s="970" t="s">
        <v>804</v>
      </c>
      <c r="B30" s="993" t="s">
        <v>2517</v>
      </c>
      <c r="C30" s="335">
        <f ca="1">ROUND((C21+C22+C23)*F28,0)</f>
        <v>0</v>
      </c>
      <c r="D30" s="327"/>
      <c r="E30" s="328"/>
      <c r="F30" s="333"/>
      <c r="G30" s="139"/>
      <c r="H30" s="978"/>
      <c r="I30" s="978"/>
      <c r="J30" s="978"/>
      <c r="K30" s="979"/>
    </row>
    <row r="31" spans="1:33" s="974" customFormat="1" ht="13.5" customHeight="1" thickBot="1">
      <c r="A31" s="2560" t="s">
        <v>2518</v>
      </c>
      <c r="B31" s="1004" t="s">
        <v>2519</v>
      </c>
      <c r="C31" s="1005">
        <f>ROUND(C4*F31/(1+'数据-取费表'!C42),0)</f>
        <v>0</v>
      </c>
      <c r="D31" s="1006"/>
      <c r="E31" s="1007"/>
      <c r="F31" s="1008">
        <f>'数据-取费表'!B41</f>
        <v>5.5000000000000007E-2</v>
      </c>
      <c r="G31" s="1009" t="s">
        <v>2520</v>
      </c>
      <c r="H31" s="1010"/>
      <c r="I31" s="1010"/>
      <c r="J31" s="1010"/>
      <c r="K31" s="1011"/>
    </row>
    <row r="32" spans="1:33" s="969" customFormat="1" ht="13.5" customHeight="1" thickBot="1">
      <c r="A32" s="999" t="s">
        <v>2521</v>
      </c>
      <c r="B32" s="1000"/>
      <c r="C32" s="1001">
        <f ca="1">ROUND((C4-C21-C22-C23-C25-C28-C31)/(1+C24+D25+D28),0)</f>
        <v>0</v>
      </c>
      <c r="D32" s="1000"/>
      <c r="E32" s="1000"/>
      <c r="F32" s="1000"/>
      <c r="G32" s="1002" t="s">
        <v>2522</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4"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1589</v>
      </c>
      <c r="B1" s="781"/>
      <c r="C1" s="1836"/>
      <c r="D1" s="1819"/>
      <c r="E1" s="1820" t="s">
        <v>1387</v>
      </c>
      <c r="F1" s="1282" t="b">
        <f>J53</f>
        <v>0</v>
      </c>
      <c r="G1" s="1835">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1590</v>
      </c>
      <c r="B2" s="1843" t="e">
        <f ca="1">ROUND(D2/10000,0)</f>
        <v>#DIV/0!</v>
      </c>
      <c r="C2" s="1844" t="s">
        <v>1591</v>
      </c>
      <c r="D2" s="1937" t="e">
        <f ca="1">C40+J29+L46</f>
        <v>#DIV/0!</v>
      </c>
      <c r="E2" s="1845" t="s">
        <v>1592</v>
      </c>
      <c r="F2" s="1846"/>
      <c r="G2" s="1847"/>
      <c r="H2" s="1839"/>
      <c r="I2" s="1839"/>
      <c r="J2" s="1839"/>
      <c r="K2" s="1840"/>
      <c r="L2" s="1839"/>
      <c r="M2" s="1839"/>
    </row>
    <row r="3" spans="1:37" ht="18" customHeight="1" thickBot="1">
      <c r="A3" s="1848" t="s">
        <v>1593</v>
      </c>
      <c r="B3" s="1849">
        <f ca="1">IF(ISERROR(D2/F43),0,ROUND(D2/F43,0))</f>
        <v>0</v>
      </c>
      <c r="C3" s="1844" t="s">
        <v>1594</v>
      </c>
      <c r="D3" s="1844"/>
      <c r="E3" s="1845"/>
      <c r="F3" s="1846"/>
      <c r="G3" s="1847"/>
      <c r="H3" s="743" t="s">
        <v>1588</v>
      </c>
      <c r="I3" s="1839"/>
      <c r="J3" s="1839"/>
      <c r="K3" s="1840"/>
      <c r="L3" s="1839"/>
      <c r="M3" s="1839"/>
    </row>
    <row r="4" spans="1:37" ht="18" customHeight="1">
      <c r="A4" s="339" t="s">
        <v>1595</v>
      </c>
      <c r="B4" s="340" t="s">
        <v>1596</v>
      </c>
      <c r="C4" s="340" t="s">
        <v>1597</v>
      </c>
      <c r="D4" s="340" t="s">
        <v>1598</v>
      </c>
      <c r="E4" s="341" t="s">
        <v>1599</v>
      </c>
      <c r="F4" s="342"/>
      <c r="G4" s="1850"/>
      <c r="H4" s="339" t="s">
        <v>1595</v>
      </c>
      <c r="I4" s="340" t="s">
        <v>1596</v>
      </c>
      <c r="J4" s="340" t="s">
        <v>1597</v>
      </c>
      <c r="K4" s="340" t="s">
        <v>1598</v>
      </c>
      <c r="L4" s="341" t="s">
        <v>1599</v>
      </c>
      <c r="M4" s="342"/>
    </row>
    <row r="5" spans="1:37" ht="18" customHeight="1">
      <c r="A5" s="343">
        <v>1</v>
      </c>
      <c r="B5" s="344" t="s">
        <v>1600</v>
      </c>
      <c r="C5" s="1291">
        <f ca="1">C6+C10+C12</f>
        <v>0</v>
      </c>
      <c r="D5" s="1821" t="s">
        <v>1601</v>
      </c>
      <c r="E5" s="1292"/>
      <c r="F5" s="1293"/>
      <c r="G5" s="1850"/>
      <c r="H5" s="343">
        <v>1</v>
      </c>
      <c r="I5" s="344" t="s">
        <v>1600</v>
      </c>
      <c r="J5" s="1291">
        <f ca="1">J6+J10+J12</f>
        <v>0</v>
      </c>
      <c r="K5" s="1821" t="s">
        <v>1601</v>
      </c>
      <c r="L5" s="1292"/>
      <c r="M5" s="1293"/>
    </row>
    <row r="6" spans="1:37" ht="18" customHeight="1">
      <c r="A6" s="1290" t="s">
        <v>1035</v>
      </c>
      <c r="B6" s="3212" t="s">
        <v>1403</v>
      </c>
      <c r="C6" s="1295">
        <f ca="1">ROUND(F6*F8*F7*(1-F9),0)</f>
        <v>0</v>
      </c>
      <c r="D6" s="163" t="s">
        <v>3033</v>
      </c>
      <c r="E6" s="346" t="s">
        <v>1405</v>
      </c>
      <c r="F6" s="347">
        <f ca="1">INDIRECT("'数据-取费表'!u"&amp;$G$1)</f>
        <v>0</v>
      </c>
      <c r="G6" s="1850"/>
      <c r="H6" s="1290" t="s">
        <v>1035</v>
      </c>
      <c r="I6" s="3212" t="s">
        <v>1403</v>
      </c>
      <c r="J6" s="345">
        <f ca="1">ROUND(M6*M8*M7*(1-M9),0)</f>
        <v>0</v>
      </c>
      <c r="K6" s="1833" t="s">
        <v>3034</v>
      </c>
      <c r="L6" s="346" t="s">
        <v>1405</v>
      </c>
      <c r="M6" s="347">
        <f ca="1">INDIRECT("'数据-取费表'!z"&amp;$G$1)</f>
        <v>0</v>
      </c>
    </row>
    <row r="7" spans="1:37" ht="18" customHeight="1">
      <c r="A7" s="1294"/>
      <c r="B7" s="3213"/>
      <c r="C7" s="1296"/>
      <c r="D7" s="351"/>
      <c r="E7" s="1297" t="s">
        <v>1406</v>
      </c>
      <c r="F7" s="347">
        <f ca="1">IF(INDIRECT("'数据-取费表'!ah"&amp;$G$1)="",INDIRECT("'数据-取费表'!k"&amp;$G$1),INDIRECT("'数据-取费表'!ah"&amp;$G$1))</f>
        <v>0</v>
      </c>
      <c r="G7" s="1850"/>
      <c r="H7" s="348"/>
      <c r="I7" s="3213"/>
      <c r="J7" s="350"/>
      <c r="K7" s="351"/>
      <c r="L7" s="346" t="s">
        <v>1406</v>
      </c>
      <c r="M7" s="347">
        <f ca="1">F7</f>
        <v>0</v>
      </c>
    </row>
    <row r="8" spans="1:37" ht="18" customHeight="1">
      <c r="A8" s="348"/>
      <c r="B8" s="3213"/>
      <c r="C8" s="350"/>
      <c r="D8" s="351"/>
      <c r="E8" s="346" t="s">
        <v>1407</v>
      </c>
      <c r="F8" s="347">
        <f ca="1">INDIRECT("'数据-取费表'!ai"&amp;$G$1)</f>
        <v>0</v>
      </c>
      <c r="G8" s="1850"/>
      <c r="H8" s="348"/>
      <c r="I8" s="3213"/>
      <c r="J8" s="350"/>
      <c r="K8" s="351"/>
      <c r="L8" s="346" t="s">
        <v>1407</v>
      </c>
      <c r="M8" s="347">
        <f ca="1">INDIRECT("'数据-取费表'!ai"&amp;$G$1)</f>
        <v>0</v>
      </c>
    </row>
    <row r="9" spans="1:37" ht="18" customHeight="1">
      <c r="A9" s="348"/>
      <c r="B9" s="3214"/>
      <c r="C9" s="350"/>
      <c r="D9" s="351"/>
      <c r="E9" s="346" t="s">
        <v>1408</v>
      </c>
      <c r="F9" s="356">
        <f ca="1">INDIRECT("'数据-取费表'!w"&amp;$G$1)</f>
        <v>0</v>
      </c>
      <c r="G9" s="1850"/>
      <c r="H9" s="348"/>
      <c r="I9" s="3214"/>
      <c r="J9" s="350"/>
      <c r="K9" s="351"/>
      <c r="L9" s="357" t="s">
        <v>1408</v>
      </c>
      <c r="M9" s="358">
        <f ca="1">INDIRECT("'数据-取费表'!ab"&amp;$G$1)</f>
        <v>0</v>
      </c>
    </row>
    <row r="10" spans="1:37" ht="18" customHeight="1">
      <c r="A10" s="1290" t="s">
        <v>1039</v>
      </c>
      <c r="B10" s="1822" t="s">
        <v>1409</v>
      </c>
      <c r="C10" s="360">
        <f ca="1">ROUND(IF(F10="押一",C6/12*F11,IF(F10="押二",C6/12*2*F11,IF(F10="押三",C6/12*3*F11,C11*F11))),0)</f>
        <v>0</v>
      </c>
      <c r="D10" s="1823" t="s">
        <v>3044</v>
      </c>
      <c r="E10" s="357" t="s">
        <v>1410</v>
      </c>
      <c r="F10" s="1365"/>
      <c r="G10" s="1850"/>
      <c r="H10" s="1290" t="s">
        <v>1039</v>
      </c>
      <c r="I10" s="1822" t="s">
        <v>1409</v>
      </c>
      <c r="J10" s="345">
        <f ca="1">ROUND(IF(M10="押一",J6/12*M11,IF(M10="押二",J6/12*2*M11,IF(M10="押三",J6/12*3*M11,J11*M11))),0)</f>
        <v>0</v>
      </c>
      <c r="K10" s="1834" t="s">
        <v>3046</v>
      </c>
      <c r="L10" s="357" t="s">
        <v>1410</v>
      </c>
      <c r="M10" s="1365"/>
    </row>
    <row r="11" spans="1:37" ht="18" customHeight="1">
      <c r="A11" s="352"/>
      <c r="B11" s="1824" t="s">
        <v>1602</v>
      </c>
      <c r="C11" s="1177"/>
      <c r="D11" s="351"/>
      <c r="E11" s="357" t="s">
        <v>1412</v>
      </c>
      <c r="F11" s="358">
        <f ca="1">'数据-取费表'!B39</f>
        <v>1.4999999999999999E-2</v>
      </c>
      <c r="G11" s="1850"/>
      <c r="H11" s="1298"/>
      <c r="I11" s="1824" t="s">
        <v>1603</v>
      </c>
      <c r="J11" s="1177"/>
      <c r="K11" s="747"/>
      <c r="L11" s="357" t="s">
        <v>1412</v>
      </c>
      <c r="M11" s="1055">
        <f ca="1">'数据-取费表'!B39</f>
        <v>1.4999999999999999E-2</v>
      </c>
    </row>
    <row r="12" spans="1:37" ht="18" customHeight="1" thickBot="1">
      <c r="A12" s="1332" t="s">
        <v>1075</v>
      </c>
      <c r="B12" s="1826" t="s">
        <v>1413</v>
      </c>
      <c r="C12" s="1333"/>
      <c r="D12" s="1334"/>
      <c r="E12" s="1339"/>
      <c r="F12" s="1335"/>
      <c r="G12" s="1850"/>
      <c r="H12" s="1332" t="s">
        <v>1075</v>
      </c>
      <c r="I12" s="1826" t="s">
        <v>1413</v>
      </c>
      <c r="J12" s="1333"/>
      <c r="K12" s="1347"/>
      <c r="L12" s="1339"/>
      <c r="M12" s="1348"/>
    </row>
    <row r="13" spans="1:37" ht="18" customHeight="1" thickTop="1">
      <c r="A13" s="1328">
        <v>2</v>
      </c>
      <c r="B13" s="1329" t="s">
        <v>1414</v>
      </c>
      <c r="C13" s="354">
        <f ca="1">ROUND(C29*F13,0)</f>
        <v>0</v>
      </c>
      <c r="D13" s="1330" t="s">
        <v>1415</v>
      </c>
      <c r="E13" s="1330" t="s">
        <v>1416</v>
      </c>
      <c r="F13" s="1331">
        <f ca="1">INDIRECT("'数据-取费表'!y"&amp;$G$1)</f>
        <v>0</v>
      </c>
      <c r="G13" s="1850"/>
      <c r="H13" s="1328">
        <v>2</v>
      </c>
      <c r="I13" s="1329" t="s">
        <v>1414</v>
      </c>
      <c r="J13" s="1289">
        <f ca="1">ROUND(J14*J15,0)</f>
        <v>0</v>
      </c>
      <c r="K13" s="1336" t="s">
        <v>1415</v>
      </c>
      <c r="L13" s="1851"/>
      <c r="M13" s="1852"/>
    </row>
    <row r="14" spans="1:37" ht="18" customHeight="1">
      <c r="A14" s="1200" t="s">
        <v>1034</v>
      </c>
      <c r="B14" s="346" t="s">
        <v>1417</v>
      </c>
      <c r="C14" s="362">
        <f ca="1">ROUND(INDIRECT("'数据-取费表'!l"&amp;$G$1)*F43+'数据-取费表'!L14*INDIRECT("'数据-取费表'!S"&amp;$G$1),0)</f>
        <v>0</v>
      </c>
      <c r="D14" s="1799" t="s">
        <v>1418</v>
      </c>
      <c r="E14" s="1793"/>
      <c r="F14" s="363"/>
      <c r="G14" s="1850"/>
      <c r="H14" s="1200" t="s">
        <v>1035</v>
      </c>
      <c r="I14" s="346" t="s">
        <v>1419</v>
      </c>
      <c r="J14" s="24">
        <f ca="1">C29</f>
        <v>0</v>
      </c>
      <c r="K14" s="15"/>
      <c r="L14" s="978"/>
      <c r="M14" s="979"/>
    </row>
    <row r="15" spans="1:37" s="1857" customFormat="1" ht="18" customHeight="1" thickBot="1">
      <c r="A15" s="1200" t="s">
        <v>1036</v>
      </c>
      <c r="B15" s="346" t="s">
        <v>1420</v>
      </c>
      <c r="C15" s="24">
        <f ca="1">ROUND(C14*F15,0)</f>
        <v>0</v>
      </c>
      <c r="D15" s="364" t="s">
        <v>1421</v>
      </c>
      <c r="E15" s="364" t="s">
        <v>1422</v>
      </c>
      <c r="F15" s="365">
        <f>'数据-取费表'!B33</f>
        <v>0.03</v>
      </c>
      <c r="G15" s="1853"/>
      <c r="H15" s="1338" t="s">
        <v>1039</v>
      </c>
      <c r="I15" s="1339" t="s">
        <v>1416</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6" t="s">
        <v>1423</v>
      </c>
      <c r="C16" s="24">
        <f ca="1">ROUND(INDIRECT("'数据-取费表'!l"&amp;$G$1)*F43*F16,0)</f>
        <v>0</v>
      </c>
      <c r="D16" s="346" t="s">
        <v>1421</v>
      </c>
      <c r="E16" s="346" t="s">
        <v>1422</v>
      </c>
      <c r="F16" s="366">
        <f ca="1">IF(INDIRECT("'数据-取费表'!c"&amp;$G$1)="住宅",'数据-取费表'!B34,0)</f>
        <v>0</v>
      </c>
      <c r="G16" s="1850"/>
      <c r="H16" s="1328" t="s">
        <v>1030</v>
      </c>
      <c r="I16" s="1329" t="s">
        <v>1424</v>
      </c>
      <c r="J16" s="354">
        <f ca="1">ROUND(J17+J22+J23+J24,0)</f>
        <v>0</v>
      </c>
      <c r="K16" s="1336" t="s">
        <v>1425</v>
      </c>
      <c r="L16" s="1337"/>
      <c r="M16" s="1293"/>
    </row>
    <row r="17" spans="1:37" s="1857" customFormat="1" ht="18" customHeight="1">
      <c r="A17" s="1200" t="s">
        <v>1390</v>
      </c>
      <c r="B17" s="346" t="s">
        <v>1426</v>
      </c>
      <c r="C17" s="24">
        <f ca="1">ROUND(F17*(F43+INDIRECT("'数据-取费表'!S"&amp;$G$1)),0)</f>
        <v>0</v>
      </c>
      <c r="D17" s="346" t="s">
        <v>1427</v>
      </c>
      <c r="E17" s="346" t="s">
        <v>1428</v>
      </c>
      <c r="F17" s="26">
        <f>'数据-取费表'!B35</f>
        <v>200</v>
      </c>
      <c r="G17" s="1853"/>
      <c r="H17" s="1200" t="s">
        <v>1035</v>
      </c>
      <c r="I17" s="346" t="s">
        <v>1429</v>
      </c>
      <c r="J17" s="24">
        <f ca="1">ROUND(IF(项目基本情况!B11="自然人",J5*M17,J18+J19+J20),0)</f>
        <v>0</v>
      </c>
      <c r="K17" s="1799" t="s">
        <v>1430</v>
      </c>
      <c r="L17" s="1797" t="s">
        <v>1431</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6" t="s">
        <v>1432</v>
      </c>
      <c r="C18" s="24">
        <f ca="1">ROUND(C14*F18,0)</f>
        <v>0</v>
      </c>
      <c r="D18" s="346" t="s">
        <v>1421</v>
      </c>
      <c r="E18" s="346" t="s">
        <v>1422</v>
      </c>
      <c r="F18" s="366">
        <f>'数据-取费表'!B36</f>
        <v>1.4999999999999999E-2</v>
      </c>
      <c r="G18" s="1853"/>
      <c r="H18" s="1200" t="s">
        <v>1034</v>
      </c>
      <c r="I18" s="346" t="s">
        <v>1433</v>
      </c>
      <c r="J18" s="24">
        <f ca="1">ROUND(J5*M18/(1+'数据-取费表'!C42),0)</f>
        <v>0</v>
      </c>
      <c r="K18" s="1797" t="s">
        <v>1434</v>
      </c>
      <c r="L18" s="346" t="s">
        <v>1422</v>
      </c>
      <c r="M18" s="366">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6" t="s">
        <v>1435</v>
      </c>
      <c r="C19" s="24">
        <f ca="1">SUM(C14:C18)</f>
        <v>0</v>
      </c>
      <c r="D19" s="139" t="s">
        <v>1436</v>
      </c>
      <c r="E19" s="1817"/>
      <c r="F19" s="26"/>
      <c r="G19" s="1850"/>
      <c r="H19" s="1200" t="s">
        <v>1036</v>
      </c>
      <c r="I19" s="346" t="s">
        <v>1437</v>
      </c>
      <c r="J19" s="24">
        <f ca="1">IF(K19="按租金收入计税",ROUND(J5*M19,0),ROUND(C29*M19*0.7,0))</f>
        <v>0</v>
      </c>
      <c r="K19" s="1827" t="s">
        <v>1438</v>
      </c>
      <c r="L19" s="346" t="s">
        <v>1422</v>
      </c>
      <c r="M19" s="366">
        <f>IF(K19="按租金收入计税",'数据-取费表'!B51,'数据-取费表'!B50)</f>
        <v>1.2E-2</v>
      </c>
    </row>
    <row r="20" spans="1:37" s="1857" customFormat="1" ht="18" customHeight="1">
      <c r="A20" s="1200" t="s">
        <v>1039</v>
      </c>
      <c r="B20" s="346" t="s">
        <v>1439</v>
      </c>
      <c r="C20" s="24">
        <f ca="1">ROUND(C19*F20,0)</f>
        <v>0</v>
      </c>
      <c r="D20" s="368" t="s">
        <v>1440</v>
      </c>
      <c r="E20" s="346" t="s">
        <v>1422</v>
      </c>
      <c r="F20" s="366">
        <f>'数据-取费表'!B37</f>
        <v>0.03</v>
      </c>
      <c r="G20" s="1853"/>
      <c r="H20" s="1200" t="s">
        <v>1389</v>
      </c>
      <c r="I20" s="163" t="s">
        <v>1441</v>
      </c>
      <c r="J20" s="25">
        <f ca="1">ROUND(M20*M21,0)</f>
        <v>0</v>
      </c>
      <c r="K20" s="369" t="s">
        <v>1442</v>
      </c>
      <c r="L20" s="346" t="s">
        <v>1443</v>
      </c>
      <c r="M20" s="370">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6" t="s">
        <v>1444</v>
      </c>
      <c r="C21" s="24" t="s">
        <v>1</v>
      </c>
      <c r="D21" s="368" t="s">
        <v>1445</v>
      </c>
      <c r="E21" s="346" t="s">
        <v>1446</v>
      </c>
      <c r="F21" s="366">
        <f>'数据-取费表'!B38</f>
        <v>0.03</v>
      </c>
      <c r="G21" s="1853"/>
      <c r="H21" s="371"/>
      <c r="I21" s="355"/>
      <c r="J21" s="29"/>
      <c r="K21" s="372"/>
      <c r="L21" s="346" t="s">
        <v>1447</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6" t="s">
        <v>1448</v>
      </c>
      <c r="C22" s="24"/>
      <c r="D22" s="139" t="str">
        <f>IF(F23&lt;=1,"单利计息。","复利计息。")&amp;"建造成本、管理费用、销售费用产生的利息。"</f>
        <v>复利计息。建造成本、管理费用、销售费用产生的利息。</v>
      </c>
      <c r="E22" s="1817"/>
      <c r="F22" s="26"/>
      <c r="G22" s="1850"/>
      <c r="H22" s="1200" t="s">
        <v>1039</v>
      </c>
      <c r="I22" s="346" t="s">
        <v>1449</v>
      </c>
      <c r="J22" s="24">
        <f ca="1">ROUND(J14*M22,0)</f>
        <v>0</v>
      </c>
      <c r="K22" s="1797" t="s">
        <v>1450</v>
      </c>
      <c r="L22" s="346" t="s">
        <v>1422</v>
      </c>
      <c r="M22" s="373">
        <f ca="1">INDIRECT("'数据-取费表'!Ak"&amp;$G$1)</f>
        <v>0</v>
      </c>
    </row>
    <row r="23" spans="1:37" s="1857" customFormat="1" ht="18" customHeight="1">
      <c r="A23" s="1200"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3"/>
      <c r="H23" s="1200" t="s">
        <v>1075</v>
      </c>
      <c r="I23" s="346" t="s">
        <v>1453</v>
      </c>
      <c r="J23" s="24">
        <f ca="1">ROUND(J13*M23,0)</f>
        <v>0</v>
      </c>
      <c r="K23" s="1797" t="s">
        <v>1454</v>
      </c>
      <c r="L23" s="346" t="s">
        <v>1455</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1456</v>
      </c>
      <c r="B24" s="346" t="s">
        <v>1457</v>
      </c>
      <c r="C24" s="24">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3"/>
      <c r="H24" s="1338" t="s">
        <v>1393</v>
      </c>
      <c r="I24" s="1339" t="s">
        <v>1439</v>
      </c>
      <c r="J24" s="1340">
        <f ca="1">ROUND(J5*M24,0)</f>
        <v>0</v>
      </c>
      <c r="K24" s="1341" t="s">
        <v>1459</v>
      </c>
      <c r="L24" s="1339" t="s">
        <v>1455</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1460</v>
      </c>
      <c r="B25" s="346" t="s">
        <v>1461</v>
      </c>
      <c r="C25" s="24"/>
      <c r="D25" s="139" t="s">
        <v>1462</v>
      </c>
      <c r="E25" s="1817"/>
      <c r="F25" s="26"/>
      <c r="G25" s="1850"/>
      <c r="H25" s="1328" t="s">
        <v>1031</v>
      </c>
      <c r="I25" s="1343" t="s">
        <v>1463</v>
      </c>
      <c r="J25" s="354">
        <f ca="1">J5-J16</f>
        <v>0</v>
      </c>
      <c r="K25" s="1344" t="s">
        <v>1464</v>
      </c>
      <c r="L25" s="1345"/>
      <c r="M25" s="1346"/>
    </row>
    <row r="26" spans="1:37" ht="18" customHeight="1">
      <c r="A26" s="1200" t="s">
        <v>1034</v>
      </c>
      <c r="B26" s="346" t="s">
        <v>1465</v>
      </c>
      <c r="C26" s="24">
        <f ca="1">ROUND((C19+C20)*F26,0)</f>
        <v>0</v>
      </c>
      <c r="D26" s="368" t="s">
        <v>1466</v>
      </c>
      <c r="E26" s="357" t="s">
        <v>1467</v>
      </c>
      <c r="F26" s="356">
        <f ca="1">INDIRECT("'数据-取费表'!q"&amp;$G$1)</f>
        <v>0</v>
      </c>
      <c r="G26" s="1850"/>
      <c r="H26" s="343" t="s">
        <v>1032</v>
      </c>
      <c r="I26" s="344" t="s">
        <v>1468</v>
      </c>
      <c r="J26" s="345">
        <f ca="1">IF(J5&lt;&gt;0,ROUND(J25*(1-((1+M28)/(1+M26))^M27)/(M26-M28),0),0)</f>
        <v>0</v>
      </c>
      <c r="K26" s="369" t="s">
        <v>1469</v>
      </c>
      <c r="L26" s="346" t="s">
        <v>1470</v>
      </c>
      <c r="M26" s="356">
        <f ca="1">INDIRECT("'数据-取费表'!I"&amp;$G$1)</f>
        <v>0</v>
      </c>
    </row>
    <row r="27" spans="1:37" ht="18" customHeight="1">
      <c r="A27" s="1200" t="s">
        <v>1036</v>
      </c>
      <c r="B27" s="346" t="s">
        <v>1471</v>
      </c>
      <c r="C27" s="24">
        <f ca="1">ROUND(F21*F26,4)</f>
        <v>0</v>
      </c>
      <c r="D27" s="368" t="s">
        <v>1472</v>
      </c>
      <c r="E27" s="364"/>
      <c r="F27" s="365"/>
      <c r="G27" s="1850"/>
      <c r="H27" s="348"/>
      <c r="I27" s="349"/>
      <c r="J27" s="350"/>
      <c r="K27" s="377" t="s">
        <v>1473</v>
      </c>
      <c r="L27" s="346" t="s">
        <v>1474</v>
      </c>
      <c r="M27" s="378">
        <f ca="1">INDIRECT("'数据-取费表'!ag"&amp;$G$1)</f>
        <v>0</v>
      </c>
    </row>
    <row r="28" spans="1:37" s="1857" customFormat="1" ht="18" customHeight="1">
      <c r="A28" s="1200" t="s">
        <v>1037</v>
      </c>
      <c r="B28" s="346" t="s">
        <v>1475</v>
      </c>
      <c r="C28" s="24">
        <f>ROUND(F28/(1+'数据-取费表'!C42),4)</f>
        <v>5.2400000000000002E-2</v>
      </c>
      <c r="D28" s="368" t="s">
        <v>1476</v>
      </c>
      <c r="E28" s="346" t="s">
        <v>1422</v>
      </c>
      <c r="F28" s="366">
        <f>'数据-取费表'!B41</f>
        <v>5.5000000000000007E-2</v>
      </c>
      <c r="G28" s="1853"/>
      <c r="H28" s="352"/>
      <c r="I28" s="353"/>
      <c r="J28" s="354"/>
      <c r="K28" s="372"/>
      <c r="L28" s="346" t="s">
        <v>1477</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1478</v>
      </c>
      <c r="C29" s="1340">
        <f ca="1">ROUND((C19+C20+C23+C26)/(1-F21-C24-C27-C28),0)</f>
        <v>0</v>
      </c>
      <c r="D29" s="1341"/>
      <c r="E29" s="1339"/>
      <c r="F29" s="1342"/>
      <c r="G29" s="1853"/>
      <c r="H29" s="379" t="s">
        <v>1033</v>
      </c>
      <c r="I29" s="380" t="s">
        <v>1479</v>
      </c>
      <c r="J29" s="381">
        <f ca="1">ROUND(J26/(1+F40)^F41,0)</f>
        <v>0</v>
      </c>
      <c r="K29" s="382" t="s">
        <v>1480</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1424</v>
      </c>
      <c r="C30" s="354">
        <f ca="1">ROUND(C31+C36+C37+C38,0)</f>
        <v>0</v>
      </c>
      <c r="D30" s="1336" t="s">
        <v>1425</v>
      </c>
      <c r="E30" s="1337"/>
      <c r="F30" s="1293"/>
      <c r="G30" s="1850"/>
      <c r="H30" s="744"/>
      <c r="I30" s="745"/>
      <c r="J30" s="746"/>
      <c r="K30" s="747"/>
      <c r="L30" s="748"/>
      <c r="M30" s="749"/>
    </row>
    <row r="31" spans="1:37" ht="18" customHeight="1">
      <c r="A31" s="1200" t="s">
        <v>1035</v>
      </c>
      <c r="B31" s="346" t="s">
        <v>1429</v>
      </c>
      <c r="C31" s="24">
        <f ca="1">ROUND(IF(项目基本情况!B11="自然人",C5*F31,C32+C33+C34),0)</f>
        <v>0</v>
      </c>
      <c r="D31" s="1799" t="s">
        <v>1430</v>
      </c>
      <c r="E31" s="1797" t="s">
        <v>1481</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1034</v>
      </c>
      <c r="B32" s="346" t="s">
        <v>1433</v>
      </c>
      <c r="C32" s="24">
        <f ca="1">IF(项目基本情况!B11="自然人","——",ROUND(C5*F32/(1+'数据-取费表'!C42),0))</f>
        <v>0</v>
      </c>
      <c r="D32" s="1797" t="s">
        <v>1434</v>
      </c>
      <c r="E32" s="346" t="s">
        <v>1422</v>
      </c>
      <c r="F32" s="376">
        <f>'数据-取费表'!B41</f>
        <v>5.5000000000000007E-2</v>
      </c>
      <c r="G32" s="1850"/>
      <c r="H32" s="744"/>
      <c r="I32" s="745"/>
      <c r="J32" s="746"/>
      <c r="K32" s="747"/>
      <c r="L32" s="748"/>
      <c r="M32" s="749"/>
    </row>
    <row r="33" spans="1:18" ht="18" customHeight="1">
      <c r="A33" s="1200" t="s">
        <v>1036</v>
      </c>
      <c r="B33" s="346" t="s">
        <v>1437</v>
      </c>
      <c r="C33" s="24">
        <f ca="1">IF(项目基本情况!B11="自然人","——",IF(D33="按租金收入计税",ROUND(C5*F33,0),IF(D33="按房产原值计税",ROUND(C29*F33*0.7,0),INDIRECT("'数据-取费表'!Aj"&amp;$G$1))))</f>
        <v>0</v>
      </c>
      <c r="D33" s="1827" t="s">
        <v>1438</v>
      </c>
      <c r="E33" s="346" t="s">
        <v>1422</v>
      </c>
      <c r="F33" s="366">
        <f>IF(D33="按票据","——",IF(D33="按租金收入计税",'数据-取费表'!B51,'数据-取费表'!B50))</f>
        <v>1.2E-2</v>
      </c>
      <c r="G33" s="1850"/>
      <c r="H33" s="1858"/>
      <c r="I33" s="1859"/>
      <c r="J33" s="1860"/>
      <c r="K33" s="1861"/>
      <c r="L33" s="1858"/>
      <c r="M33" s="1858"/>
    </row>
    <row r="34" spans="1:18" ht="18" customHeight="1">
      <c r="A34" s="1290" t="s">
        <v>1389</v>
      </c>
      <c r="B34" s="163" t="s">
        <v>1441</v>
      </c>
      <c r="C34" s="25">
        <f ca="1">IF(项目基本情况!B11="自然人","——",ROUND(F34*F35,))</f>
        <v>0</v>
      </c>
      <c r="D34" s="369" t="s">
        <v>1442</v>
      </c>
      <c r="E34" s="346" t="s">
        <v>1443</v>
      </c>
      <c r="F34" s="370">
        <f>'数据-取费表'!B52</f>
        <v>1.5</v>
      </c>
      <c r="G34" s="1850"/>
      <c r="H34" s="744"/>
      <c r="I34" s="1859"/>
      <c r="J34" s="1860"/>
      <c r="K34" s="1862"/>
      <c r="L34" s="1863"/>
      <c r="M34" s="1863"/>
    </row>
    <row r="35" spans="1:18" ht="18" customHeight="1">
      <c r="A35" s="1352"/>
      <c r="B35" s="1350"/>
      <c r="C35" s="29"/>
      <c r="D35" s="372"/>
      <c r="E35" s="346" t="s">
        <v>1447</v>
      </c>
      <c r="F35" s="347">
        <f ca="1">INDIRECT("'数据-取费表'!r"&amp;$G$1)</f>
        <v>0</v>
      </c>
      <c r="G35" s="1850"/>
      <c r="H35" s="744"/>
      <c r="I35" s="1859"/>
      <c r="J35" s="1860"/>
      <c r="K35" s="1861"/>
      <c r="L35" s="1858"/>
      <c r="M35" s="1858"/>
    </row>
    <row r="36" spans="1:18" ht="18" customHeight="1">
      <c r="A36" s="1351" t="s">
        <v>1039</v>
      </c>
      <c r="B36" s="346" t="s">
        <v>1449</v>
      </c>
      <c r="C36" s="24">
        <f ca="1">ROUND(C29*F36,0)</f>
        <v>0</v>
      </c>
      <c r="D36" s="1797" t="s">
        <v>1482</v>
      </c>
      <c r="E36" s="346" t="s">
        <v>1422</v>
      </c>
      <c r="F36" s="373">
        <f ca="1">INDIRECT("'数据-取费表'!Ak"&amp;$G$1)</f>
        <v>0</v>
      </c>
      <c r="G36" s="1850"/>
      <c r="H36" s="1858"/>
      <c r="I36" s="1859"/>
      <c r="J36" s="1860"/>
      <c r="K36" s="750"/>
      <c r="L36" s="1858"/>
      <c r="M36" s="1858"/>
    </row>
    <row r="37" spans="1:18" ht="18" customHeight="1">
      <c r="A37" s="1200" t="s">
        <v>1075</v>
      </c>
      <c r="B37" s="346" t="s">
        <v>1453</v>
      </c>
      <c r="C37" s="24">
        <f ca="1">ROUND(C13*F37,0)</f>
        <v>0</v>
      </c>
      <c r="D37" s="1797" t="s">
        <v>1454</v>
      </c>
      <c r="E37" s="346" t="s">
        <v>1455</v>
      </c>
      <c r="F37" s="375">
        <f ca="1">INDIRECT("'数据-取费表'!Al"&amp;$G$1)</f>
        <v>0</v>
      </c>
      <c r="G37" s="1850"/>
      <c r="H37" s="1858"/>
      <c r="I37" s="1859"/>
      <c r="J37" s="1860"/>
      <c r="K37" s="750"/>
      <c r="L37" s="1858"/>
      <c r="M37" s="1858"/>
    </row>
    <row r="38" spans="1:18" ht="18" customHeight="1" thickBot="1">
      <c r="A38" s="1338" t="s">
        <v>1393</v>
      </c>
      <c r="B38" s="1339" t="s">
        <v>1439</v>
      </c>
      <c r="C38" s="1340">
        <f ca="1">ROUND(C5*F38,1)</f>
        <v>0</v>
      </c>
      <c r="D38" s="1341" t="s">
        <v>1459</v>
      </c>
      <c r="E38" s="1339" t="s">
        <v>1455</v>
      </c>
      <c r="F38" s="1335">
        <f ca="1">INDIRECT("'数据-取费表'!Am"&amp;$G$1)</f>
        <v>0</v>
      </c>
      <c r="G38" s="1850"/>
      <c r="H38" s="1858"/>
      <c r="I38" s="1859"/>
      <c r="J38" s="1860"/>
      <c r="K38" s="1864"/>
      <c r="L38" s="1858"/>
      <c r="M38" s="1858"/>
    </row>
    <row r="39" spans="1:18" ht="24.6" customHeight="1" thickTop="1">
      <c r="A39" s="1328" t="s">
        <v>1031</v>
      </c>
      <c r="B39" s="1343" t="s">
        <v>1483</v>
      </c>
      <c r="C39" s="354">
        <f ca="1">C5-C30</f>
        <v>0</v>
      </c>
      <c r="D39" s="1344" t="s">
        <v>1484</v>
      </c>
      <c r="E39" s="1345"/>
      <c r="F39" s="1346"/>
      <c r="G39" s="1850"/>
      <c r="H39" s="1858"/>
      <c r="I39" s="1859"/>
      <c r="J39" s="1860"/>
      <c r="K39" s="1864"/>
      <c r="L39" s="1858"/>
      <c r="M39" s="1858"/>
    </row>
    <row r="40" spans="1:18" ht="18" customHeight="1">
      <c r="A40" s="343" t="s">
        <v>1032</v>
      </c>
      <c r="B40" s="344" t="s">
        <v>1485</v>
      </c>
      <c r="C40" s="345" t="e">
        <f ca="1">ROUND(C39*(1-((1+F42)/(1+F40))^F41)/(F40-F42),0)</f>
        <v>#DIV/0!</v>
      </c>
      <c r="D40" s="369" t="s">
        <v>1469</v>
      </c>
      <c r="E40" s="346" t="s">
        <v>1470</v>
      </c>
      <c r="F40" s="356">
        <f ca="1">INDIRECT("'数据-取费表'!I"&amp;$G$1)</f>
        <v>0</v>
      </c>
      <c r="G40" s="1850"/>
      <c r="H40" s="1838"/>
      <c r="I40" s="1859"/>
      <c r="J40" s="1860"/>
      <c r="K40" s="1864"/>
      <c r="L40" s="1838"/>
      <c r="M40" s="1838"/>
    </row>
    <row r="41" spans="1:18" ht="18" customHeight="1">
      <c r="A41" s="348"/>
      <c r="B41" s="349"/>
      <c r="C41" s="350"/>
      <c r="D41" s="377" t="s">
        <v>1486</v>
      </c>
      <c r="E41" s="346" t="s">
        <v>1474</v>
      </c>
      <c r="F41" s="378">
        <f ca="1">IF(INDIRECT("'数据-取费表'!af"&amp;$G$1)=0,INDIRECT("'数据-取费表'!ae"&amp;$G$1),INDIRECT("'数据-取费表'!af"&amp;$G$1))</f>
        <v>0</v>
      </c>
      <c r="G41" s="1850"/>
      <c r="H41" s="731"/>
      <c r="I41" s="1859"/>
      <c r="J41" s="1860"/>
      <c r="K41" s="750"/>
      <c r="L41" s="731"/>
      <c r="M41" s="731"/>
    </row>
    <row r="42" spans="1:18" ht="18" customHeight="1">
      <c r="A42" s="352"/>
      <c r="B42" s="353"/>
      <c r="C42" s="354"/>
      <c r="D42" s="372"/>
      <c r="E42" s="346" t="s">
        <v>1477</v>
      </c>
      <c r="F42" s="356">
        <f ca="1">INDIRECT("'数据-取费表'!v"&amp;$G$1)</f>
        <v>0</v>
      </c>
      <c r="G42" s="1850"/>
      <c r="H42" s="731"/>
      <c r="I42" s="1859"/>
      <c r="J42" s="1860"/>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1604</v>
      </c>
      <c r="E45" s="1865"/>
      <c r="F45" s="1865"/>
      <c r="O45" s="1868" t="s">
        <v>1519</v>
      </c>
      <c r="P45" s="1838"/>
      <c r="Q45" s="1838"/>
      <c r="R45" s="1838"/>
    </row>
    <row r="46" spans="1:18" s="1841" customFormat="1" ht="13.5" thickBot="1">
      <c r="A46" s="1869" t="s">
        <v>1520</v>
      </c>
      <c r="C46" s="1870" t="e">
        <f ca="1">ROUND(C45/10000,0)</f>
        <v>#DIV/0!</v>
      </c>
      <c r="D46" s="1871" t="str">
        <f>C2</f>
        <v>万元</v>
      </c>
      <c r="I46" s="1872" t="s">
        <v>1521</v>
      </c>
      <c r="J46" s="1873"/>
      <c r="K46" s="1874"/>
      <c r="L46" s="1875" t="e">
        <f ca="1">IF(M47="住宅",0,IF(L48&gt;J51,L60,J60))</f>
        <v>#DIV/0!</v>
      </c>
      <c r="O46" s="1876" t="s">
        <v>1522</v>
      </c>
      <c r="P46" s="1877" t="s">
        <v>1523</v>
      </c>
      <c r="Q46" s="1878" t="s">
        <v>1524</v>
      </c>
      <c r="R46" s="1878" t="s">
        <v>1525</v>
      </c>
    </row>
    <row r="47" spans="1:18" s="1841" customFormat="1" ht="13.5" thickBot="1">
      <c r="A47" s="1164" t="s">
        <v>1396</v>
      </c>
      <c r="B47" s="1196" t="s">
        <v>1397</v>
      </c>
      <c r="C47" s="1196" t="s">
        <v>1398</v>
      </c>
      <c r="D47" s="1196" t="s">
        <v>1399</v>
      </c>
      <c r="E47" s="1278" t="s">
        <v>1400</v>
      </c>
      <c r="F47" s="1279"/>
      <c r="G47" s="791"/>
      <c r="I47" s="1879" t="s">
        <v>1526</v>
      </c>
      <c r="J47" s="1880"/>
      <c r="K47" s="1881" t="s">
        <v>1527</v>
      </c>
      <c r="L47" s="1882">
        <f ca="1">INDIRECT("'数据-取费表'!d"&amp;$G$1)</f>
        <v>0</v>
      </c>
      <c r="M47" s="1837" t="str">
        <f>IF(ISNUMBER(FIND("住宅",C1)),"住宅","非住宅")</f>
        <v>非住宅</v>
      </c>
      <c r="O47" s="1883" t="s">
        <v>1040</v>
      </c>
      <c r="P47" s="1884" t="s">
        <v>1528</v>
      </c>
      <c r="Q47" s="1885" t="e">
        <f ca="1">C40+J29</f>
        <v>#DIV/0!</v>
      </c>
      <c r="R47" s="1885" t="s">
        <v>1529</v>
      </c>
    </row>
    <row r="48" spans="1:18" s="1841" customFormat="1" ht="28.5" thickBot="1">
      <c r="A48" s="1359" t="s">
        <v>1135</v>
      </c>
      <c r="B48" s="344" t="s">
        <v>1401</v>
      </c>
      <c r="C48" s="1816">
        <f ca="1">C49+C53+C55</f>
        <v>0</v>
      </c>
      <c r="D48" s="1361"/>
      <c r="E48" s="1362"/>
      <c r="F48" s="1180"/>
      <c r="G48" s="791"/>
      <c r="H48" s="792"/>
      <c r="I48" s="1886" t="s">
        <v>1530</v>
      </c>
      <c r="J48" s="1887"/>
      <c r="K48" s="1888" t="s">
        <v>1531</v>
      </c>
      <c r="L48" s="1889">
        <f ca="1">INDIRECT("'数据-取费表'!f"&amp;$G$1)</f>
        <v>0</v>
      </c>
      <c r="O48" s="1883" t="s">
        <v>1041</v>
      </c>
      <c r="P48" s="1884" t="s">
        <v>1532</v>
      </c>
      <c r="Q48" s="1885" t="e">
        <f ca="1">J60</f>
        <v>#DIV/0!</v>
      </c>
      <c r="R48" s="1885" t="s">
        <v>1533</v>
      </c>
    </row>
    <row r="49" spans="1:18" s="1841" customFormat="1" ht="13.5" thickBot="1">
      <c r="A49" s="1193" t="s">
        <v>1136</v>
      </c>
      <c r="B49" s="1828" t="s">
        <v>1490</v>
      </c>
      <c r="C49" s="1363">
        <f ca="1">ROUND(F49*F51*F50*(1-F52),0)</f>
        <v>0</v>
      </c>
      <c r="D49" s="1275" t="s">
        <v>1404</v>
      </c>
      <c r="E49" s="1829" t="s">
        <v>1491</v>
      </c>
      <c r="F49" s="1280"/>
      <c r="G49" s="1890"/>
      <c r="H49" s="792"/>
      <c r="I49" s="1886" t="s">
        <v>1534</v>
      </c>
      <c r="J49" s="1891"/>
      <c r="K49" s="1888" t="s">
        <v>1535</v>
      </c>
      <c r="L49" s="1892"/>
      <c r="O49" s="1893" t="s">
        <v>1042</v>
      </c>
      <c r="P49" s="1884" t="s">
        <v>1536</v>
      </c>
      <c r="Q49" s="1885">
        <f ca="1">C29</f>
        <v>0</v>
      </c>
      <c r="R49" s="1885" t="s">
        <v>1529</v>
      </c>
    </row>
    <row r="50" spans="1:18" s="1841" customFormat="1" ht="13.5" thickBot="1">
      <c r="A50" s="1194"/>
      <c r="B50" s="1197"/>
      <c r="C50" s="1198"/>
      <c r="D50" s="1171"/>
      <c r="E50" s="1276" t="s">
        <v>1406</v>
      </c>
      <c r="F50" s="1277">
        <f ca="1">F7</f>
        <v>0</v>
      </c>
      <c r="H50" s="792"/>
      <c r="I50" s="1886" t="s">
        <v>1537</v>
      </c>
      <c r="J50" s="1894">
        <f>SUMPRODUCT((I63:I65=J47)*(J62:L62=J48)*(J63:L65))</f>
        <v>0</v>
      </c>
      <c r="K50" s="1888" t="s">
        <v>1538</v>
      </c>
      <c r="L50" s="1892"/>
      <c r="M50" s="1895"/>
      <c r="O50" s="1893" t="s">
        <v>1043</v>
      </c>
      <c r="P50" s="1884" t="s">
        <v>1539</v>
      </c>
      <c r="Q50" s="1896" t="e">
        <f ca="1">J58</f>
        <v>#DIV/0!</v>
      </c>
      <c r="R50" s="1885"/>
    </row>
    <row r="51" spans="1:18" s="1841" customFormat="1" ht="13.5" thickBot="1">
      <c r="A51" s="1195"/>
      <c r="B51" s="1197"/>
      <c r="C51" s="1198"/>
      <c r="D51" s="1171"/>
      <c r="E51" s="1199" t="s">
        <v>1407</v>
      </c>
      <c r="F51" s="347">
        <f ca="1">F8</f>
        <v>0</v>
      </c>
      <c r="I51" s="1897" t="s">
        <v>1540</v>
      </c>
      <c r="J51" s="1898">
        <f>IF(J49="",J50,J49+J50-YEAR('数据-取费表'!B2))</f>
        <v>0</v>
      </c>
      <c r="K51" s="1899" t="s">
        <v>1541</v>
      </c>
      <c r="L51" s="1900">
        <f ca="1">ROUND(-PV(INDIRECT("'数据-取费表'!h"&amp;$G$1),L48,(C39-C13*C76),0),0)</f>
        <v>0</v>
      </c>
      <c r="M51" s="1901"/>
      <c r="O51" s="1893" t="s">
        <v>1044</v>
      </c>
      <c r="P51" s="1884" t="s">
        <v>1542</v>
      </c>
      <c r="Q51" s="1896">
        <f>J52</f>
        <v>0</v>
      </c>
      <c r="R51" s="1885"/>
    </row>
    <row r="52" spans="1:18" s="1841" customFormat="1" ht="13.5" thickBot="1">
      <c r="A52" s="1195"/>
      <c r="B52" s="1197"/>
      <c r="C52" s="1198"/>
      <c r="D52" s="1171"/>
      <c r="E52" s="1199" t="s">
        <v>1408</v>
      </c>
      <c r="F52" s="1274"/>
      <c r="I52" s="1902" t="s">
        <v>1543</v>
      </c>
      <c r="J52" s="1903"/>
      <c r="K52" s="1902" t="s">
        <v>1544</v>
      </c>
      <c r="L52" s="1903"/>
      <c r="O52" s="1893" t="s">
        <v>1045</v>
      </c>
      <c r="P52" s="1884" t="s">
        <v>1545</v>
      </c>
      <c r="Q52" s="1885" t="b">
        <f>J53</f>
        <v>0</v>
      </c>
      <c r="R52" s="1885" t="s">
        <v>1546</v>
      </c>
    </row>
    <row r="53" spans="1:18" s="1841" customFormat="1" ht="30.75" customHeight="1" thickBot="1">
      <c r="A53" s="1360" t="s">
        <v>1137</v>
      </c>
      <c r="B53" s="368" t="s">
        <v>1409</v>
      </c>
      <c r="C53" s="360">
        <f ca="1">ROUND(IF(F53="押一",C49/12*F11,IF(F53="押二",C49/12*2*F11,IF(F53="押三",C49/12*3*F11,C54*F11))),0)</f>
        <v>0</v>
      </c>
      <c r="D53" s="1823" t="s">
        <v>3047</v>
      </c>
      <c r="E53" s="357" t="s">
        <v>1410</v>
      </c>
      <c r="F53" s="1365"/>
      <c r="I53" s="1904" t="s">
        <v>1547</v>
      </c>
      <c r="J53" s="1905" t="b">
        <f>IF(M47="住宅",J51,IF(D1="——",MIN(J51,L48),IF(D1="在建（套用方法）",MIN(J51,L48-'数据-取费表'!B24),IF(D1="土地（套用方法）",MIN(J51,L48-'数据-取费表'!B20)))))</f>
        <v>0</v>
      </c>
      <c r="K53" s="3215" t="s">
        <v>1548</v>
      </c>
      <c r="L53" s="3216"/>
      <c r="O53" s="1883" t="s">
        <v>1046</v>
      </c>
      <c r="P53" s="1884" t="s">
        <v>1549</v>
      </c>
      <c r="Q53" s="1885" t="e">
        <f ca="1">Q47+Q48</f>
        <v>#DIV/0!</v>
      </c>
      <c r="R53" s="1885" t="s">
        <v>1047</v>
      </c>
    </row>
    <row r="54" spans="1:18" s="1841" customFormat="1" ht="13.5" thickBot="1">
      <c r="A54" s="1193"/>
      <c r="B54" s="1940" t="s">
        <v>1603</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1550</v>
      </c>
      <c r="P54" s="1838"/>
      <c r="Q54" s="1838"/>
      <c r="R54" s="1838"/>
    </row>
    <row r="55" spans="1:18" s="1841" customFormat="1" ht="13.5" thickBot="1">
      <c r="A55" s="1332" t="s">
        <v>1075</v>
      </c>
      <c r="B55" s="1826" t="s">
        <v>1413</v>
      </c>
      <c r="C55" s="1333"/>
      <c r="D55" s="1823"/>
      <c r="E55" s="1831"/>
      <c r="F55" s="1906"/>
      <c r="I55" s="1909" t="s">
        <v>1551</v>
      </c>
      <c r="J55" s="1910" t="e">
        <f ca="1">ROUND(IF(J47="钢混",J57/J50,1-(1-2%)*(J50-J57)/J50),3)</f>
        <v>#DIV/0!</v>
      </c>
      <c r="K55" s="1911" t="s">
        <v>1552</v>
      </c>
      <c r="L55" s="1912"/>
      <c r="O55" s="1876" t="s">
        <v>1522</v>
      </c>
      <c r="P55" s="1877" t="s">
        <v>1523</v>
      </c>
      <c r="Q55" s="1878" t="s">
        <v>1524</v>
      </c>
      <c r="R55" s="1878" t="s">
        <v>1525</v>
      </c>
    </row>
    <row r="56" spans="1:18" s="1841" customFormat="1" ht="36" customHeight="1" thickTop="1" thickBot="1">
      <c r="A56" s="1175">
        <v>2</v>
      </c>
      <c r="B56" s="1176" t="s">
        <v>1414</v>
      </c>
      <c r="C56" s="275">
        <f ca="1">C13</f>
        <v>0</v>
      </c>
      <c r="D56" s="1913"/>
      <c r="E56" s="1914"/>
      <c r="F56" s="1906"/>
      <c r="I56" s="1915" t="s">
        <v>1554</v>
      </c>
      <c r="J56" s="1916"/>
      <c r="K56" s="1886" t="s">
        <v>1555</v>
      </c>
      <c r="L56" s="1889">
        <f ca="1">IF(L48&lt;J51,"——",L48-J51)</f>
        <v>0</v>
      </c>
      <c r="O56" s="1883" t="s">
        <v>1040</v>
      </c>
      <c r="P56" s="1884" t="s">
        <v>1528</v>
      </c>
      <c r="Q56" s="1885" t="e">
        <f ca="1">C40+J29</f>
        <v>#DIV/0!</v>
      </c>
      <c r="R56" s="1885" t="s">
        <v>1529</v>
      </c>
    </row>
    <row r="57" spans="1:18" s="1841" customFormat="1" ht="24.75" thickBot="1">
      <c r="A57" s="1917"/>
      <c r="B57" s="1168" t="s">
        <v>1478</v>
      </c>
      <c r="C57" s="281">
        <f ca="1">C29</f>
        <v>0</v>
      </c>
      <c r="D57" s="1918"/>
      <c r="E57" s="1919"/>
      <c r="F57" s="1920"/>
      <c r="I57" s="1921" t="s">
        <v>1556</v>
      </c>
      <c r="J57" s="1922">
        <f ca="1">IF(OR(M47="住宅",J51&lt;L48,J56="是"),"——",J51-L48)</f>
        <v>0</v>
      </c>
      <c r="K57" s="1886" t="s">
        <v>1605</v>
      </c>
      <c r="L57" s="1889">
        <f ca="1">IF(L48&lt;J51,"——",IF(L55="比较法",L49,IF(L55="基准地价",L50,L51)))</f>
        <v>0</v>
      </c>
      <c r="O57" s="1883" t="s">
        <v>1041</v>
      </c>
      <c r="P57" s="1884" t="s">
        <v>1606</v>
      </c>
      <c r="Q57" s="1885" t="e">
        <f ca="1">L60</f>
        <v>#DIV/0!</v>
      </c>
      <c r="R57" s="1885" t="s">
        <v>1607</v>
      </c>
    </row>
    <row r="58" spans="1:18" s="1841" customFormat="1" ht="24.75" thickBot="1">
      <c r="A58" s="359" t="s">
        <v>1030</v>
      </c>
      <c r="B58" s="1176" t="s">
        <v>1424</v>
      </c>
      <c r="C58" s="360">
        <f ca="1">ROUND(C59+C64+C65+C66,0)</f>
        <v>0</v>
      </c>
      <c r="D58" s="1178" t="s">
        <v>1425</v>
      </c>
      <c r="E58" s="1179"/>
      <c r="F58" s="1180"/>
      <c r="I58" s="1921" t="s">
        <v>1560</v>
      </c>
      <c r="J58" s="1923" t="e">
        <f ca="1">IF(J55&lt;0.4,0.4,J55)</f>
        <v>#DIV/0!</v>
      </c>
      <c r="K58" s="1899" t="s">
        <v>1608</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0" t="s">
        <v>1035</v>
      </c>
      <c r="B59" s="1168" t="s">
        <v>1429</v>
      </c>
      <c r="C59" s="24">
        <f ca="1">ROUND(IF(项目基本情况!B11="自然人",C48*F59,C60+C61+C62),0)</f>
        <v>0</v>
      </c>
      <c r="D59" s="1181" t="s">
        <v>1430</v>
      </c>
      <c r="E59" s="1182" t="s">
        <v>1431</v>
      </c>
      <c r="F59" s="367" t="str">
        <f ca="1">IF(项目基本情况!B11="企业","",IF(INDIRECT("'数据-取费表'!c"&amp;$G$1)="住宅",5%,IF(F49*F50*F51/12/(1+'数据-取费表'!C42)&gt;20000,12%,7%)))</f>
        <v/>
      </c>
      <c r="I59" s="1921" t="s">
        <v>1563</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1564</v>
      </c>
      <c r="Q59" s="1896">
        <f>L52</f>
        <v>0</v>
      </c>
      <c r="R59" s="1885"/>
    </row>
    <row r="60" spans="1:18" s="1841" customFormat="1" ht="16.5" thickBot="1">
      <c r="A60" s="1200" t="s">
        <v>1034</v>
      </c>
      <c r="B60" s="1168" t="s">
        <v>1433</v>
      </c>
      <c r="C60" s="24">
        <f ca="1">IF(项目基本情况!B11="自然人","——",ROUND(C48*F60/(1+'数据-取费表'!C42),0))</f>
        <v>0</v>
      </c>
      <c r="D60" s="1182" t="s">
        <v>1434</v>
      </c>
      <c r="E60" s="1168" t="s">
        <v>1422</v>
      </c>
      <c r="F60" s="376">
        <f t="shared" ref="F60:F66" si="0">F32</f>
        <v>5.5000000000000007E-2</v>
      </c>
      <c r="I60" s="1924" t="s">
        <v>1565</v>
      </c>
      <c r="J60" s="1925" t="e">
        <f ca="1">IF(OR(M47="住宅",J51&lt;L48,J56="是"),"0",ROUND(J59/(1+J52)^J53,0))</f>
        <v>#DIV/0!</v>
      </c>
      <c r="K60" s="1926" t="s">
        <v>1566</v>
      </c>
      <c r="L60" s="1925" t="e">
        <f ca="1">IF(OR(M47="住宅",L48&lt;J51),0,ROUND(L57*(L58/L59-1),0))</f>
        <v>#DIV/0!</v>
      </c>
      <c r="O60" s="1893" t="s">
        <v>1044</v>
      </c>
      <c r="P60" s="1884" t="s">
        <v>1567</v>
      </c>
      <c r="Q60" s="1885" t="e">
        <f ca="1">L58</f>
        <v>#DIV/0!</v>
      </c>
      <c r="R60" s="1885" t="s">
        <v>1568</v>
      </c>
    </row>
    <row r="61" spans="1:18" s="1841" customFormat="1" ht="13.5" thickBot="1">
      <c r="A61" s="1200" t="s">
        <v>1492</v>
      </c>
      <c r="B61" s="1168" t="s">
        <v>1493</v>
      </c>
      <c r="C61" s="24">
        <f ca="1">IF(项目基本情况!B11="自然人","——",IF(D61="按租金收入计税",ROUND(C48*F61,0),IF(D61="按房产原值计税",ROUND(C57*F61*0.7,0),INDIRECT("'数据-取费表'!Aj"&amp;$G$1))))</f>
        <v>0</v>
      </c>
      <c r="D61" s="1827" t="s">
        <v>1438</v>
      </c>
      <c r="E61" s="1168" t="s">
        <v>1494</v>
      </c>
      <c r="F61" s="366">
        <f t="shared" si="0"/>
        <v>1.2E-2</v>
      </c>
      <c r="I61" s="1927"/>
      <c r="J61" s="1927"/>
      <c r="K61" s="1927"/>
      <c r="L61" s="1927"/>
      <c r="O61" s="1893" t="s">
        <v>1045</v>
      </c>
      <c r="P61" s="1884" t="str">
        <f>K59</f>
        <v>建设期及建筑物耐用年限下的土地年期修正系数Kn</v>
      </c>
      <c r="Q61" s="1885" t="e">
        <f ca="1">L59</f>
        <v>#DIV/0!</v>
      </c>
      <c r="R61" s="1885" t="s">
        <v>1569</v>
      </c>
    </row>
    <row r="62" spans="1:18" s="1841" customFormat="1" ht="13.5" thickBot="1">
      <c r="A62" s="1200" t="s">
        <v>1495</v>
      </c>
      <c r="B62" s="1167" t="s">
        <v>1496</v>
      </c>
      <c r="C62" s="25">
        <f ca="1">IF(项目基本情况!B11="自然人","——",ROUND(F62*F63,0))</f>
        <v>0</v>
      </c>
      <c r="D62" s="1183" t="s">
        <v>1497</v>
      </c>
      <c r="E62" s="1168" t="s">
        <v>1498</v>
      </c>
      <c r="F62" s="370">
        <f t="shared" si="0"/>
        <v>1.5</v>
      </c>
      <c r="I62" s="1928" t="s">
        <v>1570</v>
      </c>
      <c r="J62" s="1929" t="s">
        <v>1571</v>
      </c>
      <c r="K62" s="1929" t="s">
        <v>1572</v>
      </c>
      <c r="L62" s="1929" t="s">
        <v>1573</v>
      </c>
      <c r="M62" s="1930" t="s">
        <v>1574</v>
      </c>
      <c r="O62" s="1883" t="s">
        <v>1046</v>
      </c>
      <c r="P62" s="1884" t="s">
        <v>1575</v>
      </c>
      <c r="Q62" s="1885" t="e">
        <f ca="1">Q56+Q57</f>
        <v>#DIV/0!</v>
      </c>
      <c r="R62" s="1885" t="s">
        <v>1047</v>
      </c>
    </row>
    <row r="63" spans="1:18" s="1841" customFormat="1" ht="13.5" thickBot="1">
      <c r="A63" s="371"/>
      <c r="B63" s="1174"/>
      <c r="C63" s="29"/>
      <c r="D63" s="1184"/>
      <c r="E63" s="1168" t="s">
        <v>1499</v>
      </c>
      <c r="F63" s="347">
        <f t="shared" ca="1" si="0"/>
        <v>0</v>
      </c>
      <c r="I63" s="1928" t="s">
        <v>1576</v>
      </c>
      <c r="J63" s="1929">
        <v>70</v>
      </c>
      <c r="K63" s="1929">
        <v>50</v>
      </c>
      <c r="L63" s="1929">
        <v>80</v>
      </c>
      <c r="M63" s="1931">
        <v>0.02</v>
      </c>
      <c r="O63" s="1868" t="s">
        <v>1577</v>
      </c>
      <c r="P63" s="1838"/>
      <c r="Q63" s="1838"/>
      <c r="R63" s="1838"/>
    </row>
    <row r="64" spans="1:18" s="1841" customFormat="1" ht="13.5" thickBot="1">
      <c r="A64" s="1200" t="s">
        <v>1500</v>
      </c>
      <c r="B64" s="1168" t="s">
        <v>1501</v>
      </c>
      <c r="C64" s="24">
        <f ca="1">ROUND(C57*F64,0)</f>
        <v>0</v>
      </c>
      <c r="D64" s="1182" t="s">
        <v>1502</v>
      </c>
      <c r="E64" s="1168" t="s">
        <v>1494</v>
      </c>
      <c r="F64" s="373">
        <f t="shared" ca="1" si="0"/>
        <v>0</v>
      </c>
      <c r="I64" s="1928" t="s">
        <v>1578</v>
      </c>
      <c r="J64" s="1929">
        <v>50</v>
      </c>
      <c r="K64" s="1929">
        <v>35</v>
      </c>
      <c r="L64" s="1929">
        <v>60</v>
      </c>
      <c r="M64" s="1930">
        <v>0</v>
      </c>
      <c r="O64" s="1876" t="s">
        <v>1522</v>
      </c>
      <c r="P64" s="1877" t="s">
        <v>1523</v>
      </c>
      <c r="Q64" s="1878" t="s">
        <v>1524</v>
      </c>
      <c r="R64" s="1878" t="s">
        <v>1525</v>
      </c>
    </row>
    <row r="65" spans="1:18" s="1841" customFormat="1" ht="13.5" thickBot="1">
      <c r="A65" s="1200" t="s">
        <v>1503</v>
      </c>
      <c r="B65" s="1168" t="s">
        <v>1453</v>
      </c>
      <c r="C65" s="24">
        <f ca="1">ROUND(C56*F65,0)</f>
        <v>0</v>
      </c>
      <c r="D65" s="1182" t="s">
        <v>1454</v>
      </c>
      <c r="E65" s="1168" t="s">
        <v>1455</v>
      </c>
      <c r="F65" s="375">
        <f t="shared" ca="1" si="0"/>
        <v>0</v>
      </c>
      <c r="I65" s="1928" t="s">
        <v>1579</v>
      </c>
      <c r="J65" s="1929">
        <v>40</v>
      </c>
      <c r="K65" s="1929">
        <v>30</v>
      </c>
      <c r="L65" s="1929">
        <v>50</v>
      </c>
      <c r="M65" s="1931">
        <v>0.02</v>
      </c>
      <c r="O65" s="1883" t="s">
        <v>1040</v>
      </c>
      <c r="P65" s="1884" t="s">
        <v>1580</v>
      </c>
      <c r="Q65" s="1885" t="e">
        <f ca="1">C40+J29</f>
        <v>#DIV/0!</v>
      </c>
      <c r="R65" s="1885" t="s">
        <v>1529</v>
      </c>
    </row>
    <row r="66" spans="1:18" s="1841" customFormat="1" ht="16.5" thickBot="1">
      <c r="A66" s="1200" t="s">
        <v>1504</v>
      </c>
      <c r="B66" s="1168" t="s">
        <v>1439</v>
      </c>
      <c r="C66" s="24">
        <f ca="1">ROUND(C48*F66,0)</f>
        <v>0</v>
      </c>
      <c r="D66" s="1182" t="s">
        <v>1505</v>
      </c>
      <c r="E66" s="1168" t="s">
        <v>1422</v>
      </c>
      <c r="F66" s="356">
        <f t="shared" ca="1" si="0"/>
        <v>0</v>
      </c>
      <c r="O66" s="1883" t="s">
        <v>1041</v>
      </c>
      <c r="P66" s="1884" t="s">
        <v>1558</v>
      </c>
      <c r="Q66" s="1885" t="e">
        <f ca="1">L60</f>
        <v>#DIV/0!</v>
      </c>
      <c r="R66" s="1885" t="s">
        <v>1581</v>
      </c>
    </row>
    <row r="67" spans="1:18" s="1841" customFormat="1" ht="16.5" thickBot="1">
      <c r="A67" s="1175" t="s">
        <v>1031</v>
      </c>
      <c r="B67" s="1185" t="s">
        <v>1463</v>
      </c>
      <c r="C67" s="360">
        <f ca="1">C48-C58</f>
        <v>0</v>
      </c>
      <c r="D67" s="1181" t="s">
        <v>1464</v>
      </c>
      <c r="E67" s="1186"/>
      <c r="F67" s="1187"/>
      <c r="O67" s="1893" t="s">
        <v>1042</v>
      </c>
      <c r="P67" s="1884" t="s">
        <v>1562</v>
      </c>
      <c r="Q67" s="1932">
        <f ca="1">L51</f>
        <v>0</v>
      </c>
      <c r="R67" s="1885" t="s">
        <v>1582</v>
      </c>
    </row>
    <row r="68" spans="1:18" s="1841" customFormat="1" ht="16.5" thickBot="1">
      <c r="A68" s="1165" t="s">
        <v>1032</v>
      </c>
      <c r="B68" s="1166" t="s">
        <v>1485</v>
      </c>
      <c r="C68" s="345" t="e">
        <f ca="1">ROUND(C67*(1-((1+F70)/(1+F68))^F69)/(F68-F70),0)</f>
        <v>#DIV/0!</v>
      </c>
      <c r="D68" s="1183" t="s">
        <v>1469</v>
      </c>
      <c r="E68" s="1168" t="s">
        <v>1470</v>
      </c>
      <c r="F68" s="356">
        <f ca="1">F40</f>
        <v>0</v>
      </c>
      <c r="O68" s="1893" t="s">
        <v>1043</v>
      </c>
      <c r="P68" s="1933" t="s">
        <v>1583</v>
      </c>
      <c r="Q68" s="1885">
        <f ca="1">ROUND(Q69-Q70*Q71,0)</f>
        <v>0</v>
      </c>
      <c r="R68" s="1885" t="s">
        <v>1051</v>
      </c>
    </row>
    <row r="69" spans="1:18" s="1841" customFormat="1" ht="13.5" thickBot="1">
      <c r="A69" s="1169"/>
      <c r="B69" s="1170"/>
      <c r="C69" s="350"/>
      <c r="D69" s="1188" t="s">
        <v>1473</v>
      </c>
      <c r="E69" s="1168" t="s">
        <v>1474</v>
      </c>
      <c r="F69" s="378">
        <f ca="1">F41</f>
        <v>0</v>
      </c>
      <c r="O69" s="1893" t="s">
        <v>1048</v>
      </c>
      <c r="P69" s="1933" t="s">
        <v>1584</v>
      </c>
      <c r="Q69" s="1885">
        <f ca="1">C39</f>
        <v>0</v>
      </c>
      <c r="R69" s="1885" t="s">
        <v>1529</v>
      </c>
    </row>
    <row r="70" spans="1:18" s="1841" customFormat="1" ht="13.5" thickBot="1">
      <c r="A70" s="1172"/>
      <c r="B70" s="1173"/>
      <c r="C70" s="354"/>
      <c r="D70" s="1184"/>
      <c r="E70" s="1168" t="s">
        <v>1477</v>
      </c>
      <c r="F70" s="1274">
        <f ca="1">F42</f>
        <v>0</v>
      </c>
      <c r="O70" s="1893" t="s">
        <v>1049</v>
      </c>
      <c r="P70" s="1933" t="s">
        <v>1585</v>
      </c>
      <c r="Q70" s="1885">
        <f ca="1">C13</f>
        <v>0</v>
      </c>
      <c r="R70" s="1885" t="s">
        <v>1529</v>
      </c>
    </row>
    <row r="71" spans="1:18" s="1841" customFormat="1" ht="13.5" thickBot="1">
      <c r="A71" s="1189" t="s">
        <v>1033</v>
      </c>
      <c r="B71" s="1190" t="s">
        <v>1487</v>
      </c>
      <c r="C71" s="381" t="e">
        <f ca="1">ROUND(C68/F71,0)</f>
        <v>#DIV/0!</v>
      </c>
      <c r="D71" s="1191" t="s">
        <v>1488</v>
      </c>
      <c r="E71" s="1192" t="s">
        <v>1489</v>
      </c>
      <c r="F71" s="384">
        <f ca="1">F43</f>
        <v>0</v>
      </c>
      <c r="O71" s="1893" t="s">
        <v>1050</v>
      </c>
      <c r="P71" s="1933" t="s">
        <v>1586</v>
      </c>
      <c r="Q71" s="1896">
        <f ca="1">C76</f>
        <v>0</v>
      </c>
      <c r="R71" s="1885"/>
    </row>
    <row r="72" spans="1:18" s="1841" customFormat="1" ht="13.5" thickBot="1">
      <c r="B72" s="795"/>
      <c r="C72" s="795"/>
      <c r="O72" s="1893" t="s">
        <v>1044</v>
      </c>
      <c r="P72" s="1884" t="s">
        <v>1564</v>
      </c>
      <c r="Q72" s="1896">
        <f>L52</f>
        <v>0</v>
      </c>
      <c r="R72" s="1885"/>
    </row>
    <row r="73" spans="1:18" ht="16.5" thickBot="1">
      <c r="A73" s="1841"/>
      <c r="B73" s="795"/>
      <c r="C73" s="795"/>
      <c r="D73" s="1841"/>
      <c r="E73" s="1841"/>
      <c r="F73" s="1841"/>
      <c r="O73" s="1893" t="s">
        <v>1045</v>
      </c>
      <c r="P73" s="1884" t="s">
        <v>1567</v>
      </c>
      <c r="Q73" s="1885" t="e">
        <f ca="1">L58</f>
        <v>#DIV/0!</v>
      </c>
      <c r="R73" s="1885" t="s">
        <v>1568</v>
      </c>
    </row>
    <row r="74" spans="1:18" ht="13.5" thickBot="1">
      <c r="A74" s="1841"/>
      <c r="B74" s="316" t="s">
        <v>1587</v>
      </c>
      <c r="C74" s="1935"/>
      <c r="D74" s="1841"/>
      <c r="E74" s="1841"/>
      <c r="F74" s="1841"/>
      <c r="O74" s="1893" t="s">
        <v>1052</v>
      </c>
      <c r="P74" s="1884" t="str">
        <f>K59</f>
        <v>建设期及建筑物耐用年限下的土地年期修正系数Kn</v>
      </c>
      <c r="Q74" s="1885" t="e">
        <f ca="1">L59</f>
        <v>#DIV/0!</v>
      </c>
      <c r="R74" s="1885" t="s">
        <v>1569</v>
      </c>
    </row>
    <row r="75" spans="1:18" ht="13.5" thickBot="1">
      <c r="A75" s="1841"/>
      <c r="B75" s="385" t="s">
        <v>1506</v>
      </c>
      <c r="C75" s="386">
        <f ca="1">ROUND(C13*C76,0)</f>
        <v>0</v>
      </c>
      <c r="D75" s="1841"/>
      <c r="E75" s="1841"/>
      <c r="F75" s="1841"/>
      <c r="K75" s="1867"/>
      <c r="L75" s="1841"/>
      <c r="O75" s="1883" t="s">
        <v>1046</v>
      </c>
      <c r="P75" s="1884" t="s">
        <v>1549</v>
      </c>
      <c r="Q75" s="1885" t="e">
        <f ca="1">Q65+Q66</f>
        <v>#DIV/0!</v>
      </c>
      <c r="R75" s="1885" t="s">
        <v>1047</v>
      </c>
    </row>
    <row r="76" spans="1:18">
      <c r="B76" s="387" t="s">
        <v>1507</v>
      </c>
      <c r="C76" s="388">
        <f ca="1">INDIRECT("'数据-取费表'!j"&amp;$G$1)</f>
        <v>0</v>
      </c>
      <c r="I76" s="1841"/>
      <c r="J76" s="1841"/>
      <c r="K76" s="1867"/>
      <c r="L76" s="1841"/>
    </row>
    <row r="77" spans="1:18">
      <c r="B77" s="389" t="s">
        <v>1508</v>
      </c>
      <c r="C77" s="390"/>
      <c r="I77" s="1841"/>
      <c r="J77" s="1841"/>
      <c r="K77" s="1867"/>
      <c r="L77" s="1841"/>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94" priority="4">
      <formula>$L$48&gt;$J$51</formula>
    </cfRule>
  </conditionalFormatting>
  <conditionalFormatting sqref="I55 I60">
    <cfRule type="expression" dxfId="193" priority="5">
      <formula>$J$51&gt;$L$48</formula>
    </cfRule>
  </conditionalFormatting>
  <conditionalFormatting sqref="C11">
    <cfRule type="expression" dxfId="192" priority="3">
      <formula>$F$10="自定义"</formula>
    </cfRule>
  </conditionalFormatting>
  <conditionalFormatting sqref="J11">
    <cfRule type="expression" dxfId="191" priority="2">
      <formula>$M$10="自定义"</formula>
    </cfRule>
  </conditionalFormatting>
  <conditionalFormatting sqref="C54">
    <cfRule type="expression" dxfId="19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K12" sqref="K12"/>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2532</v>
      </c>
      <c r="B1" s="2669" t="s">
        <v>2690</v>
      </c>
      <c r="C1" s="1619" t="s">
        <v>2534</v>
      </c>
      <c r="D1" s="1620" t="s">
        <v>27</v>
      </c>
      <c r="E1" s="1629"/>
      <c r="F1" s="2584" t="s">
        <v>3071</v>
      </c>
      <c r="G1" s="1630" t="s">
        <v>2647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2331</v>
      </c>
      <c r="B2" s="1417">
        <f>IF(C2="——",ROUND(C50*D3/10000,0),ROUND(C50*D3/10000,0)-D2)</f>
        <v>63119</v>
      </c>
      <c r="C2" s="2586" t="s">
        <v>70</v>
      </c>
      <c r="D2" s="1364" t="e">
        <f ca="1">SUMIF(INDIRECT("'"&amp;F2&amp;"'"&amp;"!A:A"),"承租人权益价值",INDIRECT("'"&amp;F2&amp;"'"&amp;"!c:c"))</f>
        <v>#REF!</v>
      </c>
      <c r="E2" s="2587" t="s">
        <v>2332</v>
      </c>
      <c r="F2" s="2588"/>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2333</v>
      </c>
      <c r="B3" s="608">
        <f>IF(C2="——",C50,ROUND(B2*10000/D3,0))</f>
        <v>42151</v>
      </c>
      <c r="C3" s="399" t="s">
        <v>2648</v>
      </c>
      <c r="D3" s="398">
        <f>IF(D1="",'数据-汇总表'!E3,SUMIF('数据-汇总表'!$C19:$C33,D1,'数据-汇总表'!$E19:$E33))</f>
        <v>14974.55</v>
      </c>
      <c r="E3" s="2663"/>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0" t="s">
        <v>2649</v>
      </c>
      <c r="B4" s="401"/>
      <c r="C4" s="3235" t="s">
        <v>2650</v>
      </c>
      <c r="D4" s="3236"/>
      <c r="E4" s="3237" t="s">
        <v>2651</v>
      </c>
      <c r="F4" s="3238"/>
      <c r="G4" s="3235" t="s">
        <v>2652</v>
      </c>
      <c r="H4" s="3236"/>
      <c r="I4" s="3235" t="s">
        <v>2653</v>
      </c>
      <c r="J4" s="3236"/>
      <c r="K4" s="609" t="s">
        <v>2654</v>
      </c>
      <c r="L4" s="1129"/>
      <c r="M4" s="1130"/>
      <c r="N4" s="1130"/>
      <c r="O4" s="1130"/>
      <c r="P4" s="3239" t="s">
        <v>2655</v>
      </c>
      <c r="Q4" s="3240"/>
      <c r="R4" s="3245" t="s">
        <v>2651</v>
      </c>
      <c r="S4" s="3246"/>
      <c r="T4" s="3245" t="s">
        <v>2652</v>
      </c>
      <c r="U4" s="3246"/>
      <c r="V4" s="3251" t="s">
        <v>2653</v>
      </c>
      <c r="W4" s="3251"/>
      <c r="X4" s="2670"/>
      <c r="Y4" s="3245" t="s">
        <v>2655</v>
      </c>
      <c r="Z4" s="3246"/>
      <c r="AA4" s="3264" t="s">
        <v>2651</v>
      </c>
      <c r="AB4" s="3264" t="s">
        <v>2652</v>
      </c>
      <c r="AC4" s="3232" t="s">
        <v>2653</v>
      </c>
    </row>
    <row r="5" spans="1:29" ht="15">
      <c r="A5" s="403"/>
      <c r="B5" s="404"/>
      <c r="C5" s="3261" t="s">
        <v>2546</v>
      </c>
      <c r="D5" s="3256"/>
      <c r="E5" s="3267" t="s">
        <v>3067</v>
      </c>
      <c r="F5" s="3268"/>
      <c r="G5" s="3255" t="s">
        <v>3068</v>
      </c>
      <c r="H5" s="3256"/>
      <c r="I5" s="3255" t="s">
        <v>3069</v>
      </c>
      <c r="J5" s="3256"/>
      <c r="K5" s="609"/>
      <c r="L5" s="1129"/>
      <c r="M5" s="1130"/>
      <c r="N5" s="1130"/>
      <c r="O5" s="1130"/>
      <c r="P5" s="3241"/>
      <c r="Q5" s="3242"/>
      <c r="R5" s="3247"/>
      <c r="S5" s="3248"/>
      <c r="T5" s="3247"/>
      <c r="U5" s="3248"/>
      <c r="V5" s="3252"/>
      <c r="W5" s="3252"/>
      <c r="X5" s="1812"/>
      <c r="Y5" s="3247"/>
      <c r="Z5" s="3248"/>
      <c r="AA5" s="3265"/>
      <c r="AB5" s="3265"/>
      <c r="AC5" s="3233"/>
    </row>
    <row r="6" spans="1:29" ht="15.75" thickBot="1">
      <c r="A6" s="405"/>
      <c r="B6" s="406"/>
      <c r="C6" s="3253" t="s">
        <v>2550</v>
      </c>
      <c r="D6" s="3254"/>
      <c r="E6" s="3262" t="s">
        <v>2550</v>
      </c>
      <c r="F6" s="3263"/>
      <c r="G6" s="3253" t="s">
        <v>2550</v>
      </c>
      <c r="H6" s="3254"/>
      <c r="I6" s="3253" t="s">
        <v>2550</v>
      </c>
      <c r="J6" s="3254"/>
      <c r="K6" s="609" t="s">
        <v>2551</v>
      </c>
      <c r="L6" s="1129"/>
      <c r="M6" s="1130"/>
      <c r="N6" s="1130"/>
      <c r="O6" s="1130"/>
      <c r="P6" s="3243"/>
      <c r="Q6" s="3244"/>
      <c r="R6" s="3247"/>
      <c r="S6" s="3248"/>
      <c r="T6" s="3249"/>
      <c r="U6" s="3250"/>
      <c r="V6" s="3252"/>
      <c r="W6" s="3252"/>
      <c r="X6" s="1812"/>
      <c r="Y6" s="3249"/>
      <c r="Z6" s="3250"/>
      <c r="AA6" s="3266"/>
      <c r="AB6" s="3266"/>
      <c r="AC6" s="3234"/>
    </row>
    <row r="7" spans="1:29" s="116" customFormat="1" ht="15.75" thickBot="1">
      <c r="A7" s="407" t="s">
        <v>2552</v>
      </c>
      <c r="B7" s="408"/>
      <c r="C7" s="409">
        <f>'数据-取费表'!B2</f>
        <v>43252</v>
      </c>
      <c r="D7" s="410">
        <v>100</v>
      </c>
      <c r="E7" s="411">
        <v>43252</v>
      </c>
      <c r="F7" s="412">
        <f>SUMIF(59:59,YEAR(E7)&amp;"-"&amp;MONTH(E7),60:60)</f>
        <v>100</v>
      </c>
      <c r="G7" s="411">
        <v>43252</v>
      </c>
      <c r="H7" s="410">
        <f>SUMIF(59:59,YEAR(G7)&amp;"-"&amp;MONTH(G7),60:60)</f>
        <v>100</v>
      </c>
      <c r="I7" s="411">
        <v>43252</v>
      </c>
      <c r="J7" s="410">
        <f>SUMIF(59:59,YEAR(I7)&amp;"-"&amp;MONTH(I7),60:60)</f>
        <v>100</v>
      </c>
      <c r="K7" s="610"/>
      <c r="L7" s="1131"/>
      <c r="M7" s="1132"/>
      <c r="N7" s="1132"/>
      <c r="O7" s="1132"/>
      <c r="P7" s="3257" t="s">
        <v>2553</v>
      </c>
      <c r="Q7" s="3260"/>
      <c r="R7" s="769" t="s">
        <v>17</v>
      </c>
      <c r="S7" s="770">
        <f t="shared" ref="S7:S15" si="0">F7</f>
        <v>100</v>
      </c>
      <c r="T7" s="769" t="s">
        <v>17</v>
      </c>
      <c r="U7" s="770">
        <f t="shared" ref="U7:U15" si="1">H7</f>
        <v>100</v>
      </c>
      <c r="V7" s="769" t="s">
        <v>17</v>
      </c>
      <c r="W7" s="770">
        <f t="shared" ref="W7:W15" si="2">J7</f>
        <v>100</v>
      </c>
      <c r="X7" s="771"/>
      <c r="Y7" s="3259" t="s">
        <v>2553</v>
      </c>
      <c r="Z7" s="3258"/>
      <c r="AA7" s="772">
        <f>D7/F7</f>
        <v>1</v>
      </c>
      <c r="AB7" s="772">
        <f>D7/H7</f>
        <v>1</v>
      </c>
      <c r="AC7" s="2671">
        <f>D7/J7</f>
        <v>1</v>
      </c>
    </row>
    <row r="8" spans="1:29" s="116" customFormat="1" ht="15.75" thickBot="1">
      <c r="A8" s="407" t="s">
        <v>2554</v>
      </c>
      <c r="B8" s="408"/>
      <c r="C8" s="413" t="s">
        <v>2656</v>
      </c>
      <c r="D8" s="410">
        <v>100</v>
      </c>
      <c r="E8" s="413" t="s">
        <v>3070</v>
      </c>
      <c r="F8" s="412">
        <f>SUMIF(62:62,E8,63:63)-SUMIF(62:62,C8,63:63)+100</f>
        <v>100</v>
      </c>
      <c r="G8" s="413" t="s">
        <v>3070</v>
      </c>
      <c r="H8" s="410">
        <f>SUMIF(62:62,G8,63:63)-SUMIF(62:62,C8,63:63)+100</f>
        <v>100</v>
      </c>
      <c r="I8" s="413" t="s">
        <v>3070</v>
      </c>
      <c r="J8" s="410">
        <f>SUMIF(62:62,I8,63:63)-SUMIF(62:62,C8,63:63)+100</f>
        <v>100</v>
      </c>
      <c r="K8" s="610"/>
      <c r="L8" s="1131"/>
      <c r="M8" s="1132"/>
      <c r="N8" s="1132"/>
      <c r="O8" s="1132"/>
      <c r="P8" s="3257" t="s">
        <v>2556</v>
      </c>
      <c r="Q8" s="3258"/>
      <c r="R8" s="769" t="s">
        <v>17</v>
      </c>
      <c r="S8" s="770">
        <f t="shared" si="0"/>
        <v>100</v>
      </c>
      <c r="T8" s="769" t="s">
        <v>17</v>
      </c>
      <c r="U8" s="770">
        <f t="shared" si="1"/>
        <v>100</v>
      </c>
      <c r="V8" s="769" t="s">
        <v>17</v>
      </c>
      <c r="W8" s="770">
        <f t="shared" si="2"/>
        <v>100</v>
      </c>
      <c r="X8" s="771"/>
      <c r="Y8" s="3259" t="s">
        <v>2556</v>
      </c>
      <c r="Z8" s="3258"/>
      <c r="AA8" s="772">
        <f t="shared" ref="AA8:AA47" si="3">D8/F8</f>
        <v>1</v>
      </c>
      <c r="AB8" s="772">
        <f t="shared" ref="AB8:AB47" si="4">D8/H8</f>
        <v>1</v>
      </c>
      <c r="AC8" s="2671">
        <f t="shared" ref="AC8:AC47" si="5">D8/J8</f>
        <v>1</v>
      </c>
    </row>
    <row r="9" spans="1:29" s="116" customFormat="1">
      <c r="A9" s="414" t="s">
        <v>2557</v>
      </c>
      <c r="B9" s="71" t="s">
        <v>2558</v>
      </c>
      <c r="C9" s="2986" t="s">
        <v>3290</v>
      </c>
      <c r="D9" s="134">
        <v>100</v>
      </c>
      <c r="E9" s="2986" t="s">
        <v>3290</v>
      </c>
      <c r="F9" s="134">
        <f>SUMIF(64:64,E9,65:65)-SUMIF(64:64,C9,65:65)+100</f>
        <v>100</v>
      </c>
      <c r="G9" s="2986" t="s">
        <v>3290</v>
      </c>
      <c r="H9" s="134">
        <f>SUMIF(64:64,G9,65:65)-SUMIF(64:64,C9,65:65)+100</f>
        <v>100</v>
      </c>
      <c r="I9" s="2986" t="s">
        <v>3290</v>
      </c>
      <c r="J9" s="134">
        <f>SUMIF(64:64,I9,65:65)-SUMIF(64:64,C9,65:65)+100</f>
        <v>100</v>
      </c>
      <c r="K9" s="610"/>
      <c r="L9" s="1131"/>
      <c r="M9" s="1132"/>
      <c r="N9" s="1132"/>
      <c r="O9" s="1132"/>
      <c r="P9" s="3217" t="s">
        <v>2559</v>
      </c>
      <c r="Q9" s="1794" t="str">
        <f t="shared" ref="Q9:Q15" si="6">B9</f>
        <v>用途</v>
      </c>
      <c r="R9" s="769" t="s">
        <v>17</v>
      </c>
      <c r="S9" s="770">
        <f t="shared" si="0"/>
        <v>100</v>
      </c>
      <c r="T9" s="769" t="s">
        <v>17</v>
      </c>
      <c r="U9" s="770">
        <f t="shared" si="1"/>
        <v>100</v>
      </c>
      <c r="V9" s="769" t="s">
        <v>17</v>
      </c>
      <c r="W9" s="770">
        <f t="shared" si="2"/>
        <v>100</v>
      </c>
      <c r="X9" s="771"/>
      <c r="Y9" s="3052" t="s">
        <v>2560</v>
      </c>
      <c r="Z9" s="55" t="str">
        <f t="shared" ref="Z9:Z15" si="7">Q9</f>
        <v>用途</v>
      </c>
      <c r="AA9" s="772">
        <f t="shared" si="3"/>
        <v>1</v>
      </c>
      <c r="AB9" s="772">
        <f t="shared" si="4"/>
        <v>1</v>
      </c>
      <c r="AC9" s="2671">
        <f t="shared" si="5"/>
        <v>1</v>
      </c>
    </row>
    <row r="10" spans="1:29" s="426" customFormat="1" ht="27">
      <c r="A10" s="420"/>
      <c r="B10" s="421" t="s">
        <v>2561</v>
      </c>
      <c r="C10" s="422" t="s">
        <v>3291</v>
      </c>
      <c r="D10" s="135">
        <v>100</v>
      </c>
      <c r="E10" s="422" t="s">
        <v>3291</v>
      </c>
      <c r="F10" s="135">
        <f>SUMIF(66:66,E10,67:67)-SUMIF(66:66,C10,67:67)+100</f>
        <v>100</v>
      </c>
      <c r="G10" s="422" t="s">
        <v>3291</v>
      </c>
      <c r="H10" s="135">
        <f>SUMIF(66:66,G10,67:67)-SUMIF(66:66,C10,67:67)+100</f>
        <v>100</v>
      </c>
      <c r="I10" s="422" t="s">
        <v>3291</v>
      </c>
      <c r="J10" s="135">
        <f>SUMIF(66:66,I10,67:67)-SUMIF(66:66,C10,67:67)+100</f>
        <v>100</v>
      </c>
      <c r="K10" s="611">
        <v>1</v>
      </c>
      <c r="L10" s="1134"/>
      <c r="M10" s="1135"/>
      <c r="N10" s="1135"/>
      <c r="O10" s="1135"/>
      <c r="P10" s="3217"/>
      <c r="Q10" s="1794" t="str">
        <f t="shared" si="6"/>
        <v>土地使用年限（年）</v>
      </c>
      <c r="R10" s="769" t="s">
        <v>17</v>
      </c>
      <c r="S10" s="770">
        <f t="shared" si="0"/>
        <v>100</v>
      </c>
      <c r="T10" s="769" t="s">
        <v>17</v>
      </c>
      <c r="U10" s="770">
        <f t="shared" si="1"/>
        <v>100</v>
      </c>
      <c r="V10" s="769" t="s">
        <v>17</v>
      </c>
      <c r="W10" s="770">
        <f t="shared" si="2"/>
        <v>100</v>
      </c>
      <c r="X10" s="771"/>
      <c r="Y10" s="3052"/>
      <c r="Z10" s="55" t="str">
        <f t="shared" si="7"/>
        <v>土地使用年限（年）</v>
      </c>
      <c r="AA10" s="772">
        <f t="shared" si="3"/>
        <v>1</v>
      </c>
      <c r="AB10" s="772">
        <f t="shared" si="4"/>
        <v>1</v>
      </c>
      <c r="AC10" s="2671">
        <f t="shared" si="5"/>
        <v>1</v>
      </c>
    </row>
    <row r="11" spans="1:29" ht="15">
      <c r="A11" s="427"/>
      <c r="B11" s="421" t="s">
        <v>2562</v>
      </c>
      <c r="C11" s="428"/>
      <c r="D11" s="135">
        <v>100</v>
      </c>
      <c r="E11" s="428"/>
      <c r="F11" s="135">
        <f>LOOKUP(E11,69:69,70:70)-LOOKUP(C11,69:69,70:70)+100</f>
        <v>100</v>
      </c>
      <c r="G11" s="429"/>
      <c r="H11" s="135">
        <f>LOOKUP(G11,69:69,70:70)-LOOKUP(C11,69:69,70:70)+100</f>
        <v>100</v>
      </c>
      <c r="I11" s="428"/>
      <c r="J11" s="135">
        <f>LOOKUP(I11,69:69,70:70)-LOOKUP(C11,69:69,70:70)+100</f>
        <v>100</v>
      </c>
      <c r="K11" s="611"/>
      <c r="L11" s="1137"/>
      <c r="M11" s="1130"/>
      <c r="N11" s="1130"/>
      <c r="O11" s="1130"/>
      <c r="P11" s="3217"/>
      <c r="Q11" s="1794" t="str">
        <f t="shared" si="6"/>
        <v>容积率</v>
      </c>
      <c r="R11" s="769" t="s">
        <v>17</v>
      </c>
      <c r="S11" s="770">
        <f t="shared" si="0"/>
        <v>100</v>
      </c>
      <c r="T11" s="769" t="s">
        <v>17</v>
      </c>
      <c r="U11" s="770">
        <f t="shared" si="1"/>
        <v>100</v>
      </c>
      <c r="V11" s="769" t="s">
        <v>17</v>
      </c>
      <c r="W11" s="770">
        <f t="shared" si="2"/>
        <v>100</v>
      </c>
      <c r="X11" s="771"/>
      <c r="Y11" s="3052"/>
      <c r="Z11" s="55" t="str">
        <f t="shared" si="7"/>
        <v>容积率</v>
      </c>
      <c r="AA11" s="772">
        <f t="shared" si="3"/>
        <v>1</v>
      </c>
      <c r="AB11" s="772">
        <f t="shared" si="4"/>
        <v>1</v>
      </c>
      <c r="AC11" s="2671">
        <f t="shared" si="5"/>
        <v>1</v>
      </c>
    </row>
    <row r="12" spans="1:29" s="116" customFormat="1" ht="15">
      <c r="A12" s="430"/>
      <c r="B12" s="2600">
        <v>111</v>
      </c>
      <c r="C12" s="431"/>
      <c r="D12" s="432">
        <v>100</v>
      </c>
      <c r="E12" s="431"/>
      <c r="F12" s="135">
        <f>SUMIF(71:71,E12,72:72)-SUMIF(71:71,C12,72:72)+100</f>
        <v>100</v>
      </c>
      <c r="G12" s="2672"/>
      <c r="H12" s="135">
        <f>SUMIF(71:71,G12,72:72)-SUMIF(71:71,C12,72:72)+100</f>
        <v>100</v>
      </c>
      <c r="I12" s="431"/>
      <c r="J12" s="135">
        <f>SUMIF(71:71,I12,72:72)-SUMIF(71:71,C12,72:72)+100</f>
        <v>100</v>
      </c>
      <c r="K12" s="612"/>
      <c r="L12" s="1131"/>
      <c r="M12" s="1132"/>
      <c r="N12" s="1132"/>
      <c r="O12" s="1132"/>
      <c r="P12" s="3217"/>
      <c r="Q12" s="1794">
        <f t="shared" si="6"/>
        <v>111</v>
      </c>
      <c r="R12" s="769" t="s">
        <v>17</v>
      </c>
      <c r="S12" s="770">
        <f t="shared" si="0"/>
        <v>100</v>
      </c>
      <c r="T12" s="769" t="s">
        <v>17</v>
      </c>
      <c r="U12" s="770">
        <f t="shared" si="1"/>
        <v>100</v>
      </c>
      <c r="V12" s="769" t="s">
        <v>17</v>
      </c>
      <c r="W12" s="770">
        <f t="shared" si="2"/>
        <v>100</v>
      </c>
      <c r="X12" s="771"/>
      <c r="Y12" s="3052"/>
      <c r="Z12" s="55">
        <f t="shared" si="7"/>
        <v>111</v>
      </c>
      <c r="AA12" s="772">
        <f>D12/F12</f>
        <v>1</v>
      </c>
      <c r="AB12" s="772">
        <f>D12/H12</f>
        <v>1</v>
      </c>
      <c r="AC12" s="2671">
        <f>D12/J12</f>
        <v>1</v>
      </c>
    </row>
    <row r="13" spans="1:29" ht="15">
      <c r="A13" s="427"/>
      <c r="B13" s="2600">
        <v>111</v>
      </c>
      <c r="C13" s="433"/>
      <c r="D13" s="434">
        <v>100</v>
      </c>
      <c r="E13" s="431"/>
      <c r="F13" s="135">
        <f>SUMIF(73:73,E13,74:74)-SUMIF(73:73,C13,74:74)+100</f>
        <v>100</v>
      </c>
      <c r="G13" s="2672"/>
      <c r="H13" s="434">
        <f>SUMIF(73:73,G13,74:74)-SUMIF(73:73,C13,74:74)+100</f>
        <v>100</v>
      </c>
      <c r="I13" s="431"/>
      <c r="J13" s="434">
        <f>SUMIF(73:73,I13,74:74)-SUMIF(73:73,C13,74:74)+100</f>
        <v>100</v>
      </c>
      <c r="K13" s="612"/>
      <c r="L13" s="1139"/>
      <c r="M13" s="1130"/>
      <c r="N13" s="1130"/>
      <c r="O13" s="1130"/>
      <c r="P13" s="3217"/>
      <c r="Q13" s="1794">
        <f t="shared" si="6"/>
        <v>111</v>
      </c>
      <c r="R13" s="769" t="s">
        <v>17</v>
      </c>
      <c r="S13" s="770">
        <f t="shared" si="0"/>
        <v>100</v>
      </c>
      <c r="T13" s="769" t="s">
        <v>17</v>
      </c>
      <c r="U13" s="770">
        <f t="shared" si="1"/>
        <v>100</v>
      </c>
      <c r="V13" s="769" t="s">
        <v>17</v>
      </c>
      <c r="W13" s="770">
        <f t="shared" si="2"/>
        <v>100</v>
      </c>
      <c r="X13" s="771"/>
      <c r="Y13" s="3052"/>
      <c r="Z13" s="55">
        <f t="shared" si="7"/>
        <v>111</v>
      </c>
      <c r="AA13" s="772">
        <f t="shared" si="3"/>
        <v>1</v>
      </c>
      <c r="AB13" s="772">
        <f t="shared" si="4"/>
        <v>1</v>
      </c>
      <c r="AC13" s="2671">
        <f t="shared" si="5"/>
        <v>1</v>
      </c>
    </row>
    <row r="14" spans="1:29" ht="15.75" thickBot="1">
      <c r="A14" s="435"/>
      <c r="B14" s="2602">
        <v>111</v>
      </c>
      <c r="C14" s="436"/>
      <c r="D14" s="437">
        <v>100</v>
      </c>
      <c r="E14" s="627"/>
      <c r="F14" s="437">
        <f>SUMIF(75:75,E14,76:76)-SUMIF(75:75,C14,76:76)+100</f>
        <v>100</v>
      </c>
      <c r="G14" s="2672"/>
      <c r="H14" s="437">
        <f>SUMIF(75:75,G14,76:76)-SUMIF(75:75,C14,76:76)+100</f>
        <v>100</v>
      </c>
      <c r="I14" s="431"/>
      <c r="J14" s="437">
        <f>SUMIF(75:75,I14,76:76)-SUMIF(75:75,C14,76:76)+100</f>
        <v>100</v>
      </c>
      <c r="K14" s="612"/>
      <c r="L14" s="1139"/>
      <c r="M14" s="1130"/>
      <c r="N14" s="1130"/>
      <c r="O14" s="1130"/>
      <c r="P14" s="3217"/>
      <c r="Q14" s="1794">
        <f t="shared" si="6"/>
        <v>111</v>
      </c>
      <c r="R14" s="769" t="s">
        <v>17</v>
      </c>
      <c r="S14" s="770">
        <f t="shared" si="0"/>
        <v>100</v>
      </c>
      <c r="T14" s="769" t="s">
        <v>17</v>
      </c>
      <c r="U14" s="770">
        <f t="shared" si="1"/>
        <v>100</v>
      </c>
      <c r="V14" s="769" t="s">
        <v>17</v>
      </c>
      <c r="W14" s="770">
        <f t="shared" si="2"/>
        <v>100</v>
      </c>
      <c r="X14" s="771"/>
      <c r="Y14" s="3052"/>
      <c r="Z14" s="55">
        <f t="shared" si="7"/>
        <v>111</v>
      </c>
      <c r="AA14" s="772">
        <f t="shared" si="3"/>
        <v>1</v>
      </c>
      <c r="AB14" s="772">
        <f t="shared" si="4"/>
        <v>1</v>
      </c>
      <c r="AC14" s="2671">
        <f t="shared" si="5"/>
        <v>1</v>
      </c>
    </row>
    <row r="15" spans="1:29" ht="71.25">
      <c r="A15" s="439" t="s">
        <v>2563</v>
      </c>
      <c r="B15" s="628" t="s">
        <v>2691</v>
      </c>
      <c r="C15" s="2673"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v>3</v>
      </c>
      <c r="L15" s="1139"/>
      <c r="M15" s="1130"/>
      <c r="N15" s="1130"/>
      <c r="O15" s="1130"/>
      <c r="P15" s="3223" t="s">
        <v>2564</v>
      </c>
      <c r="Q15" s="1809" t="str">
        <f t="shared" si="6"/>
        <v>办公集聚程度</v>
      </c>
      <c r="R15" s="773" t="s">
        <v>17</v>
      </c>
      <c r="S15" s="774">
        <f t="shared" si="0"/>
        <v>100</v>
      </c>
      <c r="T15" s="773" t="s">
        <v>17</v>
      </c>
      <c r="U15" s="774">
        <f t="shared" si="1"/>
        <v>100</v>
      </c>
      <c r="V15" s="773" t="s">
        <v>17</v>
      </c>
      <c r="W15" s="774">
        <f t="shared" si="2"/>
        <v>100</v>
      </c>
      <c r="X15" s="1812"/>
      <c r="Y15" s="3225" t="s">
        <v>2564</v>
      </c>
      <c r="Z15" s="1813" t="str">
        <f t="shared" si="7"/>
        <v>办公集聚程度</v>
      </c>
      <c r="AA15" s="1810">
        <f t="shared" si="3"/>
        <v>1</v>
      </c>
      <c r="AB15" s="1810">
        <f t="shared" si="4"/>
        <v>1</v>
      </c>
      <c r="AC15" s="2674">
        <f t="shared" si="5"/>
        <v>1</v>
      </c>
    </row>
    <row r="16" spans="1:29" ht="15">
      <c r="A16" s="427"/>
      <c r="B16" s="629"/>
      <c r="C16" s="2611" t="s">
        <v>3292</v>
      </c>
      <c r="D16" s="447"/>
      <c r="E16" s="446" t="s">
        <v>3292</v>
      </c>
      <c r="F16" s="447"/>
      <c r="G16" s="446" t="s">
        <v>3292</v>
      </c>
      <c r="H16" s="449"/>
      <c r="I16" s="446" t="s">
        <v>3292</v>
      </c>
      <c r="J16" s="447"/>
      <c r="K16" s="614"/>
      <c r="L16" s="1139"/>
      <c r="M16" s="1130"/>
      <c r="N16" s="1130"/>
      <c r="O16" s="1130"/>
      <c r="P16" s="3224"/>
      <c r="Q16" s="1809"/>
      <c r="R16" s="773"/>
      <c r="S16" s="774"/>
      <c r="T16" s="773"/>
      <c r="U16" s="774"/>
      <c r="V16" s="773"/>
      <c r="W16" s="774"/>
      <c r="X16" s="1812"/>
      <c r="Y16" s="3226"/>
      <c r="Z16" s="1813"/>
      <c r="AA16" s="1810">
        <v>1</v>
      </c>
      <c r="AB16" s="1810">
        <v>1</v>
      </c>
      <c r="AC16" s="2674">
        <v>1</v>
      </c>
    </row>
    <row r="17" spans="1:29" ht="71.25">
      <c r="A17" s="427"/>
      <c r="B17" s="630" t="s">
        <v>2100</v>
      </c>
      <c r="C17" s="2675"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v>3</v>
      </c>
      <c r="L17" s="1139"/>
      <c r="M17" s="1130"/>
      <c r="N17" s="1130"/>
      <c r="O17" s="1130"/>
      <c r="P17" s="3224"/>
      <c r="Q17" s="1809" t="str">
        <f>B17</f>
        <v>交通便捷度</v>
      </c>
      <c r="R17" s="773" t="s">
        <v>17</v>
      </c>
      <c r="S17" s="774">
        <f>F17</f>
        <v>100</v>
      </c>
      <c r="T17" s="773" t="s">
        <v>17</v>
      </c>
      <c r="U17" s="774">
        <f>H17</f>
        <v>100</v>
      </c>
      <c r="V17" s="773" t="s">
        <v>17</v>
      </c>
      <c r="W17" s="774">
        <f>J17</f>
        <v>100</v>
      </c>
      <c r="X17" s="1812"/>
      <c r="Y17" s="3226"/>
      <c r="Z17" s="1813" t="str">
        <f>Q17</f>
        <v>交通便捷度</v>
      </c>
      <c r="AA17" s="1810">
        <f t="shared" si="3"/>
        <v>1</v>
      </c>
      <c r="AB17" s="1810">
        <f t="shared" si="4"/>
        <v>1</v>
      </c>
      <c r="AC17" s="2674">
        <f t="shared" si="5"/>
        <v>1</v>
      </c>
    </row>
    <row r="18" spans="1:29" ht="15">
      <c r="A18" s="427"/>
      <c r="B18" s="631"/>
      <c r="C18" s="2611" t="s">
        <v>3292</v>
      </c>
      <c r="D18" s="449"/>
      <c r="E18" s="446" t="s">
        <v>3292</v>
      </c>
      <c r="F18" s="449"/>
      <c r="G18" s="446" t="s">
        <v>3292</v>
      </c>
      <c r="H18" s="447"/>
      <c r="I18" s="446" t="s">
        <v>3292</v>
      </c>
      <c r="J18" s="447"/>
      <c r="K18" s="614"/>
      <c r="L18" s="1139"/>
      <c r="M18" s="1130"/>
      <c r="N18" s="1130"/>
      <c r="O18" s="1130"/>
      <c r="P18" s="3224"/>
      <c r="Q18" s="1809"/>
      <c r="R18" s="773"/>
      <c r="S18" s="774"/>
      <c r="T18" s="773"/>
      <c r="U18" s="774"/>
      <c r="V18" s="773"/>
      <c r="W18" s="774"/>
      <c r="X18" s="1812"/>
      <c r="Y18" s="3226"/>
      <c r="Z18" s="1813"/>
      <c r="AA18" s="1810">
        <v>1</v>
      </c>
      <c r="AB18" s="1810">
        <v>1</v>
      </c>
      <c r="AC18" s="2674">
        <v>1</v>
      </c>
    </row>
    <row r="19" spans="1:29" ht="42.75">
      <c r="A19" s="427"/>
      <c r="B19" s="630" t="s">
        <v>2692</v>
      </c>
      <c r="C19" s="2675"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24"/>
      <c r="Q19" s="1809" t="str">
        <f>B19</f>
        <v>公共配套设施</v>
      </c>
      <c r="R19" s="773" t="s">
        <v>17</v>
      </c>
      <c r="S19" s="774">
        <f>F19</f>
        <v>100</v>
      </c>
      <c r="T19" s="773" t="s">
        <v>17</v>
      </c>
      <c r="U19" s="774">
        <f>H19</f>
        <v>100</v>
      </c>
      <c r="V19" s="773" t="s">
        <v>17</v>
      </c>
      <c r="W19" s="774">
        <f>J19</f>
        <v>100</v>
      </c>
      <c r="X19" s="1812"/>
      <c r="Y19" s="3226"/>
      <c r="Z19" s="1813" t="str">
        <f>Q19</f>
        <v>公共配套设施</v>
      </c>
      <c r="AA19" s="1810">
        <f t="shared" si="3"/>
        <v>1</v>
      </c>
      <c r="AB19" s="1810">
        <f t="shared" si="4"/>
        <v>1</v>
      </c>
      <c r="AC19" s="2674">
        <f t="shared" si="5"/>
        <v>1</v>
      </c>
    </row>
    <row r="20" spans="1:29" ht="15">
      <c r="A20" s="427"/>
      <c r="B20" s="631"/>
      <c r="C20" s="2611" t="s">
        <v>3292</v>
      </c>
      <c r="D20" s="447"/>
      <c r="E20" s="2611" t="s">
        <v>3292</v>
      </c>
      <c r="F20" s="447"/>
      <c r="G20" s="2611" t="s">
        <v>3292</v>
      </c>
      <c r="H20" s="447"/>
      <c r="I20" s="2611" t="s">
        <v>3292</v>
      </c>
      <c r="J20" s="447"/>
      <c r="K20" s="614"/>
      <c r="L20" s="1139"/>
      <c r="M20" s="1130"/>
      <c r="N20" s="1130"/>
      <c r="O20" s="1130"/>
      <c r="P20" s="3224"/>
      <c r="Q20" s="1809"/>
      <c r="R20" s="773"/>
      <c r="S20" s="774"/>
      <c r="T20" s="773"/>
      <c r="U20" s="774"/>
      <c r="V20" s="773"/>
      <c r="W20" s="774"/>
      <c r="X20" s="1812"/>
      <c r="Y20" s="3226"/>
      <c r="Z20" s="1813"/>
      <c r="AA20" s="1810">
        <v>1</v>
      </c>
      <c r="AB20" s="1810">
        <v>1</v>
      </c>
      <c r="AC20" s="2674">
        <v>1</v>
      </c>
    </row>
    <row r="21" spans="1:29" ht="28.5">
      <c r="A21" s="427"/>
      <c r="B21" s="632" t="s">
        <v>2693</v>
      </c>
      <c r="C21" s="2675"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v>2</v>
      </c>
      <c r="L21" s="1139"/>
      <c r="M21" s="1130"/>
      <c r="N21" s="1130"/>
      <c r="O21" s="1130"/>
      <c r="P21" s="3224"/>
      <c r="Q21" s="1809" t="str">
        <f>B21</f>
        <v>基础设施水平</v>
      </c>
      <c r="R21" s="773" t="s">
        <v>17</v>
      </c>
      <c r="S21" s="774">
        <f>F21</f>
        <v>100</v>
      </c>
      <c r="T21" s="773" t="s">
        <v>17</v>
      </c>
      <c r="U21" s="774">
        <f>H21</f>
        <v>100</v>
      </c>
      <c r="V21" s="773" t="s">
        <v>17</v>
      </c>
      <c r="W21" s="774">
        <f>J21</f>
        <v>100</v>
      </c>
      <c r="X21" s="1812"/>
      <c r="Y21" s="3226"/>
      <c r="Z21" s="1813" t="str">
        <f>Q21</f>
        <v>基础设施水平</v>
      </c>
      <c r="AA21" s="1810">
        <f t="shared" ref="AA21" si="8">D21/F21</f>
        <v>1</v>
      </c>
      <c r="AB21" s="1810">
        <f t="shared" ref="AB21" si="9">D21/H21</f>
        <v>1</v>
      </c>
      <c r="AC21" s="2674">
        <f t="shared" ref="AC21" si="10">D21/J21</f>
        <v>1</v>
      </c>
    </row>
    <row r="22" spans="1:29" ht="15">
      <c r="A22" s="427"/>
      <c r="B22" s="632"/>
      <c r="C22" s="2676" t="s">
        <v>3294</v>
      </c>
      <c r="D22" s="447"/>
      <c r="E22" s="2676" t="s">
        <v>3294</v>
      </c>
      <c r="F22" s="447"/>
      <c r="G22" s="2676" t="s">
        <v>3294</v>
      </c>
      <c r="H22" s="447"/>
      <c r="I22" s="2676" t="s">
        <v>3294</v>
      </c>
      <c r="J22" s="447"/>
      <c r="K22" s="1382"/>
      <c r="L22" s="1139"/>
      <c r="M22" s="1130"/>
      <c r="N22" s="1130"/>
      <c r="O22" s="1130"/>
      <c r="P22" s="3224"/>
      <c r="Q22" s="1809"/>
      <c r="R22" s="773"/>
      <c r="S22" s="774"/>
      <c r="T22" s="773"/>
      <c r="U22" s="774"/>
      <c r="V22" s="773"/>
      <c r="W22" s="774"/>
      <c r="X22" s="1812"/>
      <c r="Y22" s="3226"/>
      <c r="Z22" s="1813"/>
      <c r="AA22" s="1810">
        <v>1</v>
      </c>
      <c r="AB22" s="1810">
        <v>1</v>
      </c>
      <c r="AC22" s="2674">
        <v>1</v>
      </c>
    </row>
    <row r="23" spans="1:29" ht="42.75">
      <c r="A23" s="427"/>
      <c r="B23" s="630" t="s">
        <v>2694</v>
      </c>
      <c r="C23" s="2675"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v>3</v>
      </c>
      <c r="L23" s="1139"/>
      <c r="M23" s="1130"/>
      <c r="N23" s="1130"/>
      <c r="O23" s="1130"/>
      <c r="P23" s="3224"/>
      <c r="Q23" s="1809" t="str">
        <f>B23</f>
        <v>环境质量</v>
      </c>
      <c r="R23" s="773" t="s">
        <v>17</v>
      </c>
      <c r="S23" s="774">
        <f>F23</f>
        <v>100</v>
      </c>
      <c r="T23" s="773" t="s">
        <v>17</v>
      </c>
      <c r="U23" s="774">
        <f>H23</f>
        <v>100</v>
      </c>
      <c r="V23" s="773" t="s">
        <v>17</v>
      </c>
      <c r="W23" s="774">
        <f>J23</f>
        <v>100</v>
      </c>
      <c r="X23" s="1812"/>
      <c r="Y23" s="3226"/>
      <c r="Z23" s="1813" t="str">
        <f>Q23</f>
        <v>环境质量</v>
      </c>
      <c r="AA23" s="1810">
        <f t="shared" si="3"/>
        <v>1</v>
      </c>
      <c r="AB23" s="1810">
        <f t="shared" si="4"/>
        <v>1</v>
      </c>
      <c r="AC23" s="2674">
        <f t="shared" si="5"/>
        <v>1</v>
      </c>
    </row>
    <row r="24" spans="1:29" ht="15">
      <c r="A24" s="427"/>
      <c r="B24" s="632"/>
      <c r="C24" s="2611" t="s">
        <v>3292</v>
      </c>
      <c r="D24" s="447"/>
      <c r="E24" s="2611" t="s">
        <v>3292</v>
      </c>
      <c r="F24" s="447"/>
      <c r="G24" s="2611" t="s">
        <v>3292</v>
      </c>
      <c r="H24" s="447"/>
      <c r="I24" s="2611" t="s">
        <v>3292</v>
      </c>
      <c r="J24" s="447"/>
      <c r="K24" s="614"/>
      <c r="L24" s="1139"/>
      <c r="M24" s="1130"/>
      <c r="N24" s="1130"/>
      <c r="O24" s="1130"/>
      <c r="P24" s="3224"/>
      <c r="Q24" s="1809"/>
      <c r="R24" s="773"/>
      <c r="S24" s="774"/>
      <c r="T24" s="773"/>
      <c r="U24" s="774"/>
      <c r="V24" s="773"/>
      <c r="W24" s="774"/>
      <c r="X24" s="1812"/>
      <c r="Y24" s="3226"/>
      <c r="Z24" s="1813"/>
      <c r="AA24" s="1810">
        <v>1</v>
      </c>
      <c r="AB24" s="1810">
        <v>1</v>
      </c>
      <c r="AC24" s="2674">
        <v>1</v>
      </c>
    </row>
    <row r="25" spans="1:29" ht="28.5">
      <c r="A25" s="403"/>
      <c r="B25" s="630" t="s">
        <v>2695</v>
      </c>
      <c r="C25" s="2615" t="s">
        <v>3296</v>
      </c>
      <c r="D25" s="434">
        <v>100</v>
      </c>
      <c r="E25" s="2615" t="s">
        <v>3322</v>
      </c>
      <c r="F25" s="434">
        <f>SUMIF(87:87,E26,88:88)-SUMIF(87:87,C26,88:88)+100</f>
        <v>100</v>
      </c>
      <c r="G25" s="2615" t="s">
        <v>3321</v>
      </c>
      <c r="H25" s="434">
        <f>SUMIF(87:87,G26,88:88)-SUMIF(87:87,C26,88:88)+100</f>
        <v>100</v>
      </c>
      <c r="I25" s="2615" t="s">
        <v>3320</v>
      </c>
      <c r="J25" s="434">
        <f>SUMIF(87:87,I26,88:88)-SUMIF(87:87,C26,88:88)+100</f>
        <v>100</v>
      </c>
      <c r="K25" s="613">
        <v>2</v>
      </c>
      <c r="L25" s="1139"/>
      <c r="M25" s="1130"/>
      <c r="N25" s="1130"/>
      <c r="O25" s="1130"/>
      <c r="P25" s="3224"/>
      <c r="Q25" s="1809" t="str">
        <f>B25</f>
        <v>毗邻道路的类型与等级</v>
      </c>
      <c r="R25" s="773" t="s">
        <v>17</v>
      </c>
      <c r="S25" s="774">
        <f>F25</f>
        <v>100</v>
      </c>
      <c r="T25" s="773" t="s">
        <v>17</v>
      </c>
      <c r="U25" s="774">
        <f>H25</f>
        <v>100</v>
      </c>
      <c r="V25" s="773" t="s">
        <v>17</v>
      </c>
      <c r="W25" s="774">
        <f>J25</f>
        <v>100</v>
      </c>
      <c r="X25" s="1812"/>
      <c r="Y25" s="3226"/>
      <c r="Z25" s="1813" t="str">
        <f>Q25</f>
        <v>毗邻道路的类型与等级</v>
      </c>
      <c r="AA25" s="1810">
        <f t="shared" si="3"/>
        <v>1</v>
      </c>
      <c r="AB25" s="1810">
        <f t="shared" si="4"/>
        <v>1</v>
      </c>
      <c r="AC25" s="2674">
        <f t="shared" si="5"/>
        <v>1</v>
      </c>
    </row>
    <row r="26" spans="1:29" ht="15">
      <c r="A26" s="403"/>
      <c r="B26" s="631"/>
      <c r="C26" s="633" t="s">
        <v>3300</v>
      </c>
      <c r="D26" s="434"/>
      <c r="E26" s="633" t="s">
        <v>3300</v>
      </c>
      <c r="F26" s="434"/>
      <c r="G26" s="633" t="s">
        <v>3300</v>
      </c>
      <c r="H26" s="434"/>
      <c r="I26" s="633" t="s">
        <v>3300</v>
      </c>
      <c r="J26" s="434"/>
      <c r="K26" s="614"/>
      <c r="L26" s="1139"/>
      <c r="M26" s="1130"/>
      <c r="N26" s="1130"/>
      <c r="O26" s="1130"/>
      <c r="P26" s="3224"/>
      <c r="Q26" s="1809"/>
      <c r="R26" s="773"/>
      <c r="S26" s="774"/>
      <c r="T26" s="773"/>
      <c r="U26" s="774"/>
      <c r="V26" s="773"/>
      <c r="W26" s="774"/>
      <c r="X26" s="1812"/>
      <c r="Y26" s="3226"/>
      <c r="Z26" s="1813"/>
      <c r="AA26" s="1810">
        <v>1</v>
      </c>
      <c r="AB26" s="1810">
        <v>1</v>
      </c>
      <c r="AC26" s="2674">
        <v>1</v>
      </c>
    </row>
    <row r="27" spans="1:29" ht="15">
      <c r="A27" s="427"/>
      <c r="B27" s="631" t="s">
        <v>2663</v>
      </c>
      <c r="C27" s="3356" t="s">
        <v>3550</v>
      </c>
      <c r="D27" s="434">
        <v>100</v>
      </c>
      <c r="E27" s="615" t="s">
        <v>3544</v>
      </c>
      <c r="F27" s="434">
        <f>SUMIF(89:89,E27,90:90)-SUMIF(89:89,C27,90:90)+100</f>
        <v>100</v>
      </c>
      <c r="G27" s="633" t="s">
        <v>3545</v>
      </c>
      <c r="H27" s="434">
        <f>SUMIF(89:89,G27,90:90)-SUMIF(89:89,C27,90:90)+100</f>
        <v>96</v>
      </c>
      <c r="I27" s="615" t="s">
        <v>3544</v>
      </c>
      <c r="J27" s="434">
        <f>SUMIF(89:89,I27,90:90)-SUMIF(89:89,C27,90:90)+100</f>
        <v>100</v>
      </c>
      <c r="K27" s="611">
        <v>2</v>
      </c>
      <c r="L27" s="1139"/>
      <c r="M27" s="1130"/>
      <c r="N27" s="1130"/>
      <c r="O27" s="1130"/>
      <c r="P27" s="3224"/>
      <c r="Q27" s="1809" t="str">
        <f t="shared" ref="Q27:Q47" si="11">B27</f>
        <v>楼层</v>
      </c>
      <c r="R27" s="773" t="s">
        <v>17</v>
      </c>
      <c r="S27" s="774">
        <f>F27</f>
        <v>100</v>
      </c>
      <c r="T27" s="773" t="s">
        <v>17</v>
      </c>
      <c r="U27" s="774">
        <f>H27</f>
        <v>96</v>
      </c>
      <c r="V27" s="773" t="s">
        <v>17</v>
      </c>
      <c r="W27" s="774">
        <f>J27</f>
        <v>100</v>
      </c>
      <c r="X27" s="1812"/>
      <c r="Y27" s="3226"/>
      <c r="Z27" s="1813" t="str">
        <f>Q27</f>
        <v>楼层</v>
      </c>
      <c r="AA27" s="1810">
        <f t="shared" si="3"/>
        <v>1</v>
      </c>
      <c r="AB27" s="1810">
        <f t="shared" si="4"/>
        <v>1.0416666666666667</v>
      </c>
      <c r="AC27" s="2674">
        <f t="shared" si="5"/>
        <v>1</v>
      </c>
    </row>
    <row r="28" spans="1:29" s="116" customFormat="1" ht="15">
      <c r="A28" s="430"/>
      <c r="B28" s="630" t="s">
        <v>2696</v>
      </c>
      <c r="C28" s="2677"/>
      <c r="D28" s="461">
        <v>100</v>
      </c>
      <c r="E28" s="2665"/>
      <c r="F28" s="461">
        <f>SUMIF(91:91,E28,92:92)-SUMIF(91:91,C28,92:92)+100</f>
        <v>100</v>
      </c>
      <c r="G28" s="2677"/>
      <c r="H28" s="461">
        <f>SUMIF(91:91,G28,92:92)-SUMIF(91:91,C28,92:92)+100</f>
        <v>100</v>
      </c>
      <c r="I28" s="2665"/>
      <c r="J28" s="461">
        <f>SUMIF(91:91,I28,92:92)-SUMIF(91:91,C28,92:92)+100</f>
        <v>100</v>
      </c>
      <c r="K28" s="611">
        <v>2</v>
      </c>
      <c r="L28" s="1131"/>
      <c r="M28" s="1132"/>
      <c r="N28" s="1132"/>
      <c r="O28" s="1132"/>
      <c r="P28" s="3224"/>
      <c r="Q28" s="1794" t="str">
        <f t="shared" si="11"/>
        <v>朝向</v>
      </c>
      <c r="R28" s="769" t="s">
        <v>17</v>
      </c>
      <c r="S28" s="770">
        <f>F28</f>
        <v>100</v>
      </c>
      <c r="T28" s="769" t="s">
        <v>17</v>
      </c>
      <c r="U28" s="770">
        <f>H28</f>
        <v>100</v>
      </c>
      <c r="V28" s="769" t="s">
        <v>17</v>
      </c>
      <c r="W28" s="770">
        <f>J28</f>
        <v>100</v>
      </c>
      <c r="X28" s="771"/>
      <c r="Y28" s="3226"/>
      <c r="Z28" s="55" t="str">
        <f>Q28</f>
        <v>朝向</v>
      </c>
      <c r="AA28" s="1810">
        <f>D28/F28</f>
        <v>1</v>
      </c>
      <c r="AB28" s="1810">
        <f>D28/H28</f>
        <v>1</v>
      </c>
      <c r="AC28" s="2674">
        <f>D28/J28</f>
        <v>1</v>
      </c>
    </row>
    <row r="29" spans="1:29" ht="15">
      <c r="A29" s="427"/>
      <c r="B29" s="2678">
        <v>111</v>
      </c>
      <c r="C29" s="2615"/>
      <c r="D29" s="434">
        <v>100</v>
      </c>
      <c r="E29" s="431"/>
      <c r="F29" s="434">
        <f>SUMIF(93:93,E29,94:94)-SUMIF(93:93,C29,94:94)+100</f>
        <v>100</v>
      </c>
      <c r="G29" s="2672"/>
      <c r="H29" s="434">
        <f>SUMIF(93:93,G29,94:94)-SUMIF(93:93,C29,94:94)+100</f>
        <v>100</v>
      </c>
      <c r="I29" s="431"/>
      <c r="J29" s="434">
        <f>SUMIF(93:93,I29,94:94)-SUMIF(93:93,C29,94:94)+100</f>
        <v>100</v>
      </c>
      <c r="K29" s="612"/>
      <c r="L29" s="1139"/>
      <c r="M29" s="1130"/>
      <c r="N29" s="1130"/>
      <c r="O29" s="1130"/>
      <c r="P29" s="3224"/>
      <c r="Q29" s="1809">
        <f t="shared" si="11"/>
        <v>111</v>
      </c>
      <c r="R29" s="773" t="s">
        <v>17</v>
      </c>
      <c r="S29" s="774">
        <f t="shared" ref="S29:S47" si="12">F29</f>
        <v>100</v>
      </c>
      <c r="T29" s="773" t="s">
        <v>17</v>
      </c>
      <c r="U29" s="774">
        <f t="shared" ref="U29:U47" si="13">H29</f>
        <v>100</v>
      </c>
      <c r="V29" s="773" t="s">
        <v>17</v>
      </c>
      <c r="W29" s="774">
        <f t="shared" ref="W29:W47" si="14">J29</f>
        <v>100</v>
      </c>
      <c r="X29" s="1812"/>
      <c r="Y29" s="3226"/>
      <c r="Z29" s="1813">
        <f t="shared" ref="Z29:Z47" si="15">Q29</f>
        <v>111</v>
      </c>
      <c r="AA29" s="1810">
        <f t="shared" si="3"/>
        <v>1</v>
      </c>
      <c r="AB29" s="1810">
        <f t="shared" si="4"/>
        <v>1</v>
      </c>
      <c r="AC29" s="2674">
        <f t="shared" si="5"/>
        <v>1</v>
      </c>
    </row>
    <row r="30" spans="1:29" ht="15">
      <c r="A30" s="427"/>
      <c r="B30" s="2678">
        <v>111</v>
      </c>
      <c r="C30" s="2615"/>
      <c r="D30" s="434">
        <v>100</v>
      </c>
      <c r="E30" s="431"/>
      <c r="F30" s="434">
        <f>SUMIF(95:95,E30,96:96)-SUMIF(95:95,C30,96:96)+100</f>
        <v>100</v>
      </c>
      <c r="G30" s="2672"/>
      <c r="H30" s="434">
        <f>SUMIF(95:95,G30,96:96)-SUMIF(95:95,C30,96:96)+100</f>
        <v>100</v>
      </c>
      <c r="I30" s="431"/>
      <c r="J30" s="434">
        <f>SUMIF(95:95,I30,96:96)-SUMIF(95:95,C30,96:96)+100</f>
        <v>100</v>
      </c>
      <c r="K30" s="612"/>
      <c r="L30" s="1139"/>
      <c r="M30" s="1130"/>
      <c r="N30" s="1130"/>
      <c r="O30" s="1130"/>
      <c r="P30" s="3224"/>
      <c r="Q30" s="1809">
        <f t="shared" si="11"/>
        <v>111</v>
      </c>
      <c r="R30" s="773" t="s">
        <v>17</v>
      </c>
      <c r="S30" s="774">
        <f t="shared" si="12"/>
        <v>100</v>
      </c>
      <c r="T30" s="773" t="s">
        <v>17</v>
      </c>
      <c r="U30" s="774">
        <f t="shared" si="13"/>
        <v>100</v>
      </c>
      <c r="V30" s="773" t="s">
        <v>17</v>
      </c>
      <c r="W30" s="774">
        <f t="shared" si="14"/>
        <v>100</v>
      </c>
      <c r="X30" s="1812"/>
      <c r="Y30" s="3226"/>
      <c r="Z30" s="1813">
        <f t="shared" si="15"/>
        <v>111</v>
      </c>
      <c r="AA30" s="1810">
        <f t="shared" si="3"/>
        <v>1</v>
      </c>
      <c r="AB30" s="1810">
        <f t="shared" si="4"/>
        <v>1</v>
      </c>
      <c r="AC30" s="2674">
        <f t="shared" si="5"/>
        <v>1</v>
      </c>
    </row>
    <row r="31" spans="1:29" ht="15">
      <c r="A31" s="427"/>
      <c r="B31" s="2678">
        <v>111</v>
      </c>
      <c r="C31" s="2615"/>
      <c r="D31" s="434">
        <v>100</v>
      </c>
      <c r="E31" s="431"/>
      <c r="F31" s="434">
        <f>SUMIF(97:97,E31,98:98)-SUMIF(97:97,C31,98:98)+100</f>
        <v>100</v>
      </c>
      <c r="G31" s="2672"/>
      <c r="H31" s="434">
        <f>SUMIF(97:97,G31,98:98)-SUMIF(97:97,C31,98:98)+100</f>
        <v>100</v>
      </c>
      <c r="I31" s="431"/>
      <c r="J31" s="434">
        <f>SUMIF(97:97,I31,98:98)-SUMIF(97:97,C31,98:98)+100</f>
        <v>100</v>
      </c>
      <c r="K31" s="612"/>
      <c r="L31" s="1139"/>
      <c r="M31" s="1130"/>
      <c r="N31" s="1130"/>
      <c r="O31" s="1130"/>
      <c r="P31" s="3224"/>
      <c r="Q31" s="1809">
        <f t="shared" si="11"/>
        <v>111</v>
      </c>
      <c r="R31" s="773" t="s">
        <v>17</v>
      </c>
      <c r="S31" s="774">
        <f t="shared" si="12"/>
        <v>100</v>
      </c>
      <c r="T31" s="773" t="s">
        <v>17</v>
      </c>
      <c r="U31" s="774">
        <f t="shared" si="13"/>
        <v>100</v>
      </c>
      <c r="V31" s="773" t="s">
        <v>17</v>
      </c>
      <c r="W31" s="774">
        <f t="shared" si="14"/>
        <v>100</v>
      </c>
      <c r="X31" s="1812"/>
      <c r="Y31" s="3226"/>
      <c r="Z31" s="1813">
        <f t="shared" si="15"/>
        <v>111</v>
      </c>
      <c r="AA31" s="1810">
        <f t="shared" si="3"/>
        <v>1</v>
      </c>
      <c r="AB31" s="1810">
        <f t="shared" si="4"/>
        <v>1</v>
      </c>
      <c r="AC31" s="2674">
        <f t="shared" si="5"/>
        <v>1</v>
      </c>
    </row>
    <row r="32" spans="1:29" ht="15.75" thickBot="1">
      <c r="A32" s="435"/>
      <c r="B32" s="634">
        <v>111</v>
      </c>
      <c r="C32" s="2616"/>
      <c r="D32" s="437">
        <v>100</v>
      </c>
      <c r="E32" s="627"/>
      <c r="F32" s="437">
        <f>SUMIF(99:99,E32,100:100)-SUMIF(99:99,C32,100:100)+100</f>
        <v>100</v>
      </c>
      <c r="G32" s="2672"/>
      <c r="H32" s="437">
        <f>SUMIF(99:99,G32,100:100)-SUMIF(99:99,C32,100:100)+100</f>
        <v>100</v>
      </c>
      <c r="I32" s="431"/>
      <c r="J32" s="437">
        <f>SUMIF(99:99,I32,100:100)-SUMIF(99:99,C32,100:100)+100</f>
        <v>100</v>
      </c>
      <c r="K32" s="612"/>
      <c r="L32" s="1139"/>
      <c r="M32" s="1130"/>
      <c r="N32" s="1130"/>
      <c r="O32" s="1130"/>
      <c r="P32" s="3224"/>
      <c r="Q32" s="1809">
        <f t="shared" si="11"/>
        <v>111</v>
      </c>
      <c r="R32" s="773" t="s">
        <v>17</v>
      </c>
      <c r="S32" s="774">
        <f t="shared" si="12"/>
        <v>100</v>
      </c>
      <c r="T32" s="773" t="s">
        <v>17</v>
      </c>
      <c r="U32" s="774">
        <f t="shared" si="13"/>
        <v>100</v>
      </c>
      <c r="V32" s="773" t="s">
        <v>17</v>
      </c>
      <c r="W32" s="774">
        <f t="shared" si="14"/>
        <v>100</v>
      </c>
      <c r="X32" s="1812"/>
      <c r="Y32" s="3226"/>
      <c r="Z32" s="1813">
        <f t="shared" si="15"/>
        <v>111</v>
      </c>
      <c r="AA32" s="1810">
        <f t="shared" si="3"/>
        <v>1</v>
      </c>
      <c r="AB32" s="1810">
        <f t="shared" si="4"/>
        <v>1</v>
      </c>
      <c r="AC32" s="2674">
        <f t="shared" si="5"/>
        <v>1</v>
      </c>
    </row>
    <row r="33" spans="1:29" ht="15">
      <c r="A33" s="439" t="s">
        <v>2567</v>
      </c>
      <c r="B33" s="71" t="s">
        <v>2697</v>
      </c>
      <c r="C33" s="2679" t="s">
        <v>3301</v>
      </c>
      <c r="D33" s="466">
        <v>100</v>
      </c>
      <c r="E33" s="2679" t="s">
        <v>3301</v>
      </c>
      <c r="F33" s="460">
        <f>SUMIF(101:101,E33,102:102)-SUMIF(101:101,C33,102:102)+100</f>
        <v>100</v>
      </c>
      <c r="G33" s="2679" t="s">
        <v>3301</v>
      </c>
      <c r="H33" s="434">
        <f>SUMIF(101:101,G33,102:102)-SUMIF(101:101,C33,102:102)+100</f>
        <v>100</v>
      </c>
      <c r="I33" s="2679" t="s">
        <v>3301</v>
      </c>
      <c r="J33" s="466">
        <f>SUMIF(101:101,I33,102:102)-SUMIF(101:101,C33,102:102)+100</f>
        <v>100</v>
      </c>
      <c r="K33" s="611">
        <v>1</v>
      </c>
      <c r="L33" s="1139"/>
      <c r="M33" s="1130"/>
      <c r="N33" s="1130"/>
      <c r="O33" s="1130"/>
      <c r="P33" s="3227" t="s">
        <v>2569</v>
      </c>
      <c r="Q33" s="1809" t="str">
        <f t="shared" si="11"/>
        <v>建筑类型</v>
      </c>
      <c r="R33" s="773" t="s">
        <v>17</v>
      </c>
      <c r="S33" s="774">
        <f t="shared" si="12"/>
        <v>100</v>
      </c>
      <c r="T33" s="773" t="s">
        <v>17</v>
      </c>
      <c r="U33" s="774">
        <f t="shared" si="13"/>
        <v>100</v>
      </c>
      <c r="V33" s="773" t="s">
        <v>17</v>
      </c>
      <c r="W33" s="774">
        <f t="shared" si="14"/>
        <v>100</v>
      </c>
      <c r="X33" s="1812"/>
      <c r="Y33" s="3230" t="s">
        <v>2569</v>
      </c>
      <c r="Z33" s="1813" t="str">
        <f t="shared" si="15"/>
        <v>建筑类型</v>
      </c>
      <c r="AA33" s="1810">
        <f t="shared" si="3"/>
        <v>1</v>
      </c>
      <c r="AB33" s="1810">
        <f t="shared" si="4"/>
        <v>1</v>
      </c>
      <c r="AC33" s="2674">
        <f t="shared" si="5"/>
        <v>1</v>
      </c>
    </row>
    <row r="34" spans="1:29" s="470" customFormat="1" ht="15">
      <c r="A34" s="467"/>
      <c r="B34" s="3002" t="s">
        <v>2570</v>
      </c>
      <c r="C34" s="468">
        <v>521.33000000000004</v>
      </c>
      <c r="D34" s="135">
        <v>100</v>
      </c>
      <c r="E34" s="468">
        <v>220</v>
      </c>
      <c r="F34" s="424">
        <f>LOOKUP(E34,104:104,105:105)-LOOKUP(C34,104:104,105:105)+100</f>
        <v>99</v>
      </c>
      <c r="G34" s="468">
        <v>1300</v>
      </c>
      <c r="H34" s="135">
        <f>LOOKUP(G34,104:104,105:105)-LOOKUP(C34,104:104,105:105)+100</f>
        <v>97</v>
      </c>
      <c r="I34" s="468">
        <v>147</v>
      </c>
      <c r="J34" s="135">
        <f>LOOKUP(I34,104:104,105:105)-LOOKUP(C34,104:104,105:105)+100</f>
        <v>98</v>
      </c>
      <c r="K34" s="612"/>
      <c r="L34" s="1137"/>
      <c r="M34" s="1140"/>
      <c r="N34" s="1140"/>
      <c r="O34" s="1140"/>
      <c r="P34" s="3228"/>
      <c r="Q34" s="775" t="str">
        <f t="shared" si="11"/>
        <v>项目建筑规模</v>
      </c>
      <c r="R34" s="776" t="s">
        <v>17</v>
      </c>
      <c r="S34" s="777">
        <f t="shared" si="12"/>
        <v>99</v>
      </c>
      <c r="T34" s="776" t="s">
        <v>17</v>
      </c>
      <c r="U34" s="777">
        <f t="shared" si="13"/>
        <v>97</v>
      </c>
      <c r="V34" s="776" t="s">
        <v>17</v>
      </c>
      <c r="W34" s="777">
        <f t="shared" si="14"/>
        <v>98</v>
      </c>
      <c r="X34" s="778"/>
      <c r="Y34" s="3230"/>
      <c r="Z34" s="779" t="str">
        <f t="shared" si="15"/>
        <v>项目建筑规模</v>
      </c>
      <c r="AA34" s="1810">
        <f t="shared" si="3"/>
        <v>1.0101010101010102</v>
      </c>
      <c r="AB34" s="1810">
        <f t="shared" si="4"/>
        <v>1.0309278350515463</v>
      </c>
      <c r="AC34" s="2674">
        <f t="shared" si="5"/>
        <v>1.0204081632653061</v>
      </c>
    </row>
    <row r="35" spans="1:29" ht="15">
      <c r="A35" s="471"/>
      <c r="B35" s="421" t="s">
        <v>2571</v>
      </c>
      <c r="C35" s="459" t="s">
        <v>3107</v>
      </c>
      <c r="D35" s="434">
        <v>100</v>
      </c>
      <c r="E35" s="459" t="s">
        <v>3107</v>
      </c>
      <c r="F35" s="460">
        <f>SUMIF(106:106,E35,107:107)-SUMIF(106:106,C35,107:107)+100</f>
        <v>100</v>
      </c>
      <c r="G35" s="459" t="s">
        <v>3107</v>
      </c>
      <c r="H35" s="434">
        <f>SUMIF(106:106,G35,107:107)-SUMIF(106:106,C35,107:107)+100</f>
        <v>100</v>
      </c>
      <c r="I35" s="459" t="s">
        <v>3107</v>
      </c>
      <c r="J35" s="434">
        <f>SUMIF(106:106,I35,107:107)-SUMIF(106:106,C35,107:107)+100</f>
        <v>100</v>
      </c>
      <c r="K35" s="611">
        <v>2</v>
      </c>
      <c r="L35" s="1139"/>
      <c r="M35" s="1130"/>
      <c r="N35" s="1130"/>
      <c r="O35" s="1130"/>
      <c r="P35" s="3228"/>
      <c r="Q35" s="1809" t="str">
        <f t="shared" si="11"/>
        <v>建筑结构</v>
      </c>
      <c r="R35" s="773" t="s">
        <v>17</v>
      </c>
      <c r="S35" s="774">
        <f t="shared" si="12"/>
        <v>100</v>
      </c>
      <c r="T35" s="773" t="s">
        <v>17</v>
      </c>
      <c r="U35" s="774">
        <f t="shared" si="13"/>
        <v>100</v>
      </c>
      <c r="V35" s="773" t="s">
        <v>17</v>
      </c>
      <c r="W35" s="774">
        <f t="shared" si="14"/>
        <v>100</v>
      </c>
      <c r="X35" s="1812"/>
      <c r="Y35" s="3230"/>
      <c r="Z35" s="1813" t="str">
        <f t="shared" si="15"/>
        <v>建筑结构</v>
      </c>
      <c r="AA35" s="1810">
        <f t="shared" si="3"/>
        <v>1</v>
      </c>
      <c r="AB35" s="1810">
        <f t="shared" si="4"/>
        <v>1</v>
      </c>
      <c r="AC35" s="2674">
        <f t="shared" si="5"/>
        <v>1</v>
      </c>
    </row>
    <row r="36" spans="1:29" ht="15">
      <c r="A36" s="471"/>
      <c r="B36" s="421" t="s">
        <v>2665</v>
      </c>
      <c r="C36" s="459" t="s">
        <v>3302</v>
      </c>
      <c r="D36" s="434">
        <v>100</v>
      </c>
      <c r="E36" s="459" t="s">
        <v>3302</v>
      </c>
      <c r="F36" s="460">
        <f>SUMIF(108:108,E36,109:109)-SUMIF(108:108,C36,109:109)+100</f>
        <v>100</v>
      </c>
      <c r="G36" s="459" t="s">
        <v>3302</v>
      </c>
      <c r="H36" s="434">
        <f>SUMIF(108:108,G36,109:109)-SUMIF(108:108,C36,109:109)+100</f>
        <v>100</v>
      </c>
      <c r="I36" s="459" t="s">
        <v>3302</v>
      </c>
      <c r="J36" s="434">
        <f>SUMIF(108:108,I36,109:109)-SUMIF(108:108,C36,109:109)+100</f>
        <v>100</v>
      </c>
      <c r="K36" s="611">
        <v>3</v>
      </c>
      <c r="L36" s="1139"/>
      <c r="M36" s="1130"/>
      <c r="N36" s="1130"/>
      <c r="O36" s="1130"/>
      <c r="P36" s="3228"/>
      <c r="Q36" s="1809" t="str">
        <f t="shared" si="11"/>
        <v>公共部分装修</v>
      </c>
      <c r="R36" s="773" t="s">
        <v>17</v>
      </c>
      <c r="S36" s="774">
        <f t="shared" si="12"/>
        <v>100</v>
      </c>
      <c r="T36" s="773" t="s">
        <v>17</v>
      </c>
      <c r="U36" s="774">
        <f t="shared" si="13"/>
        <v>100</v>
      </c>
      <c r="V36" s="773" t="s">
        <v>17</v>
      </c>
      <c r="W36" s="774">
        <f t="shared" si="14"/>
        <v>100</v>
      </c>
      <c r="X36" s="1812"/>
      <c r="Y36" s="3230"/>
      <c r="Z36" s="1813" t="str">
        <f t="shared" si="15"/>
        <v>公共部分装修</v>
      </c>
      <c r="AA36" s="1810">
        <f t="shared" si="3"/>
        <v>1</v>
      </c>
      <c r="AB36" s="1810">
        <f t="shared" si="4"/>
        <v>1</v>
      </c>
      <c r="AC36" s="2674">
        <f t="shared" si="5"/>
        <v>1</v>
      </c>
    </row>
    <row r="37" spans="1:29" ht="15">
      <c r="A37" s="471"/>
      <c r="B37" s="421" t="s">
        <v>2666</v>
      </c>
      <c r="C37" s="473">
        <v>1</v>
      </c>
      <c r="D37" s="434">
        <v>100</v>
      </c>
      <c r="E37" s="473">
        <v>0.92</v>
      </c>
      <c r="F37" s="460">
        <f>LOOKUP(E37,111:111,112:112)-LOOKUP(C37,111:111,112:112)+100</f>
        <v>100</v>
      </c>
      <c r="G37" s="473">
        <v>0.9</v>
      </c>
      <c r="H37" s="460">
        <f>LOOKUP(G37,111:111,112:112)-LOOKUP(C37,111:111,112:112)+100</f>
        <v>100</v>
      </c>
      <c r="I37" s="473">
        <v>0.9</v>
      </c>
      <c r="J37" s="434">
        <f>LOOKUP(I37,111:111,112:112)-LOOKUP(C37,111:111,112:112)+100</f>
        <v>100</v>
      </c>
      <c r="K37" s="611">
        <v>2</v>
      </c>
      <c r="L37" s="1139"/>
      <c r="M37" s="1130"/>
      <c r="N37" s="1130"/>
      <c r="O37" s="1130"/>
      <c r="P37" s="3228"/>
      <c r="Q37" s="1809" t="str">
        <f t="shared" si="11"/>
        <v>成新度</v>
      </c>
      <c r="R37" s="773" t="s">
        <v>17</v>
      </c>
      <c r="S37" s="774">
        <f t="shared" si="12"/>
        <v>100</v>
      </c>
      <c r="T37" s="773" t="s">
        <v>17</v>
      </c>
      <c r="U37" s="774">
        <f t="shared" si="13"/>
        <v>100</v>
      </c>
      <c r="V37" s="773" t="s">
        <v>17</v>
      </c>
      <c r="W37" s="774">
        <f t="shared" si="14"/>
        <v>100</v>
      </c>
      <c r="X37" s="1812"/>
      <c r="Y37" s="3230"/>
      <c r="Z37" s="1813" t="str">
        <f t="shared" si="15"/>
        <v>成新度</v>
      </c>
      <c r="AA37" s="1810">
        <f t="shared" si="3"/>
        <v>1</v>
      </c>
      <c r="AB37" s="1810">
        <f t="shared" si="4"/>
        <v>1</v>
      </c>
      <c r="AC37" s="2674">
        <f t="shared" si="5"/>
        <v>1</v>
      </c>
    </row>
    <row r="38" spans="1:29" s="116" customFormat="1" ht="15">
      <c r="A38" s="472"/>
      <c r="B38" s="421" t="s">
        <v>2698</v>
      </c>
      <c r="C38" s="459" t="s">
        <v>3303</v>
      </c>
      <c r="D38" s="135">
        <v>100</v>
      </c>
      <c r="E38" s="459" t="s">
        <v>3303</v>
      </c>
      <c r="F38" s="460">
        <f>SUMIF(113:113,E38,114:114)-SUMIF(113:113,C38,114:114)+100</f>
        <v>100</v>
      </c>
      <c r="G38" s="459" t="s">
        <v>3303</v>
      </c>
      <c r="H38" s="434">
        <f>SUMIF(113:113,G38,114:114)-SUMIF(113:113,C38,114:114)+100</f>
        <v>100</v>
      </c>
      <c r="I38" s="459" t="s">
        <v>3303</v>
      </c>
      <c r="J38" s="434">
        <f>SUMIF(113:113,I38,114:114)-SUMIF(113:113,C38,114:114)+100</f>
        <v>100</v>
      </c>
      <c r="K38" s="611">
        <v>3</v>
      </c>
      <c r="L38" s="1131"/>
      <c r="M38" s="1132"/>
      <c r="N38" s="1132"/>
      <c r="O38" s="1132"/>
      <c r="P38" s="3228"/>
      <c r="Q38" s="1794" t="str">
        <f t="shared" si="11"/>
        <v>写字楼等级</v>
      </c>
      <c r="R38" s="769" t="s">
        <v>17</v>
      </c>
      <c r="S38" s="770">
        <f t="shared" si="12"/>
        <v>100</v>
      </c>
      <c r="T38" s="769" t="s">
        <v>17</v>
      </c>
      <c r="U38" s="770">
        <f t="shared" si="13"/>
        <v>100</v>
      </c>
      <c r="V38" s="769" t="s">
        <v>17</v>
      </c>
      <c r="W38" s="770">
        <f t="shared" si="14"/>
        <v>100</v>
      </c>
      <c r="X38" s="771"/>
      <c r="Y38" s="3230"/>
      <c r="Z38" s="55" t="str">
        <f t="shared" si="15"/>
        <v>写字楼等级</v>
      </c>
      <c r="AA38" s="772">
        <f t="shared" si="3"/>
        <v>1</v>
      </c>
      <c r="AB38" s="772">
        <f t="shared" si="4"/>
        <v>1</v>
      </c>
      <c r="AC38" s="2671">
        <f t="shared" si="5"/>
        <v>1</v>
      </c>
    </row>
    <row r="39" spans="1:29" ht="15">
      <c r="A39" s="471"/>
      <c r="B39" s="421" t="s">
        <v>2699</v>
      </c>
      <c r="C39" s="459" t="s">
        <v>3304</v>
      </c>
      <c r="D39" s="434">
        <v>100</v>
      </c>
      <c r="E39" s="459" t="s">
        <v>3304</v>
      </c>
      <c r="F39" s="460">
        <f>SUMIF(115:115,E39,116:116)-SUMIF(115:115,C39,116:116)+100</f>
        <v>100</v>
      </c>
      <c r="G39" s="459" t="s">
        <v>3304</v>
      </c>
      <c r="H39" s="434">
        <f>SUMIF(115:115,G39,116:116)-SUMIF(115:115,C39,116:116)+100</f>
        <v>100</v>
      </c>
      <c r="I39" s="459" t="s">
        <v>3304</v>
      </c>
      <c r="J39" s="434">
        <f>SUMIF(115:115,I39,116:116)-SUMIF(115:115,C39,116:116)+100</f>
        <v>100</v>
      </c>
      <c r="K39" s="611">
        <v>3</v>
      </c>
      <c r="L39" s="1139"/>
      <c r="M39" s="1130"/>
      <c r="N39" s="1130"/>
      <c r="O39" s="1130"/>
      <c r="P39" s="3228" t="s">
        <v>2569</v>
      </c>
      <c r="Q39" s="1809" t="str">
        <f t="shared" si="11"/>
        <v>物业管理</v>
      </c>
      <c r="R39" s="773" t="s">
        <v>17</v>
      </c>
      <c r="S39" s="774">
        <f t="shared" si="12"/>
        <v>100</v>
      </c>
      <c r="T39" s="773" t="s">
        <v>17</v>
      </c>
      <c r="U39" s="774">
        <f t="shared" si="13"/>
        <v>100</v>
      </c>
      <c r="V39" s="773" t="s">
        <v>17</v>
      </c>
      <c r="W39" s="774">
        <f t="shared" si="14"/>
        <v>100</v>
      </c>
      <c r="X39" s="1812"/>
      <c r="Y39" s="3230" t="s">
        <v>2569</v>
      </c>
      <c r="Z39" s="1813" t="str">
        <f t="shared" si="15"/>
        <v>物业管理</v>
      </c>
      <c r="AA39" s="1810">
        <f t="shared" si="3"/>
        <v>1</v>
      </c>
      <c r="AB39" s="1810">
        <f t="shared" si="4"/>
        <v>1</v>
      </c>
      <c r="AC39" s="2674">
        <f t="shared" si="5"/>
        <v>1</v>
      </c>
    </row>
    <row r="40" spans="1:29" ht="15">
      <c r="A40" s="471"/>
      <c r="B40" s="421" t="s">
        <v>2667</v>
      </c>
      <c r="C40" s="459" t="s">
        <v>3294</v>
      </c>
      <c r="D40" s="434">
        <v>100</v>
      </c>
      <c r="E40" s="459" t="s">
        <v>3309</v>
      </c>
      <c r="F40" s="460">
        <f>SUMIF(117:117,E40,118:118)-SUMIF(117:117,C40,118:118)+100</f>
        <v>99</v>
      </c>
      <c r="G40" s="459" t="s">
        <v>3309</v>
      </c>
      <c r="H40" s="434">
        <f>SUMIF(117:117,G40,118:118)-SUMIF(117:117,C40,118:118)+100</f>
        <v>99</v>
      </c>
      <c r="I40" s="459" t="s">
        <v>3309</v>
      </c>
      <c r="J40" s="434">
        <f>SUMIF(117:117,I40,118:118)-SUMIF(117:117,C40,118:118)+100</f>
        <v>99</v>
      </c>
      <c r="K40" s="611">
        <v>1</v>
      </c>
      <c r="L40" s="1139"/>
      <c r="M40" s="1130"/>
      <c r="N40" s="1130"/>
      <c r="O40" s="1130"/>
      <c r="P40" s="3228"/>
      <c r="Q40" s="1809" t="str">
        <f t="shared" si="11"/>
        <v>市政基础设施</v>
      </c>
      <c r="R40" s="773" t="s">
        <v>17</v>
      </c>
      <c r="S40" s="774">
        <f t="shared" si="12"/>
        <v>99</v>
      </c>
      <c r="T40" s="773" t="s">
        <v>17</v>
      </c>
      <c r="U40" s="774">
        <f t="shared" si="13"/>
        <v>99</v>
      </c>
      <c r="V40" s="773" t="s">
        <v>17</v>
      </c>
      <c r="W40" s="774">
        <f t="shared" si="14"/>
        <v>99</v>
      </c>
      <c r="X40" s="1812"/>
      <c r="Y40" s="3230"/>
      <c r="Z40" s="1813" t="str">
        <f t="shared" si="15"/>
        <v>市政基础设施</v>
      </c>
      <c r="AA40" s="1810">
        <f t="shared" si="3"/>
        <v>1.0101010101010102</v>
      </c>
      <c r="AB40" s="1810">
        <f t="shared" si="4"/>
        <v>1.0101010101010102</v>
      </c>
      <c r="AC40" s="2674">
        <f t="shared" si="5"/>
        <v>1.0101010101010102</v>
      </c>
    </row>
    <row r="41" spans="1:29" ht="15">
      <c r="A41" s="471"/>
      <c r="B41" s="421" t="s">
        <v>2669</v>
      </c>
      <c r="C41" s="615" t="s">
        <v>3305</v>
      </c>
      <c r="D41" s="434">
        <v>100</v>
      </c>
      <c r="E41" s="615" t="s">
        <v>3305</v>
      </c>
      <c r="F41" s="460">
        <f>SUMIF(119:119,E41,120:120)-SUMIF(119:119,C41,120:120)+100</f>
        <v>100</v>
      </c>
      <c r="G41" s="615" t="s">
        <v>3305</v>
      </c>
      <c r="H41" s="434">
        <f>SUMIF(119:119,G41,120:120)-SUMIF(119:119,C41,120:120)+100</f>
        <v>100</v>
      </c>
      <c r="I41" s="615" t="s">
        <v>3305</v>
      </c>
      <c r="J41" s="434">
        <f>SUMIF(119:119,I41,120:120)-SUMIF(119:119,C41,120:120)+100</f>
        <v>100</v>
      </c>
      <c r="K41" s="611">
        <v>2</v>
      </c>
      <c r="L41" s="1139"/>
      <c r="M41" s="1130"/>
      <c r="N41" s="1130"/>
      <c r="O41" s="1130"/>
      <c r="P41" s="3228"/>
      <c r="Q41" s="1809" t="str">
        <f t="shared" si="11"/>
        <v>层高</v>
      </c>
      <c r="R41" s="773" t="s">
        <v>17</v>
      </c>
      <c r="S41" s="774">
        <f t="shared" si="12"/>
        <v>100</v>
      </c>
      <c r="T41" s="773" t="s">
        <v>17</v>
      </c>
      <c r="U41" s="774">
        <f t="shared" si="13"/>
        <v>100</v>
      </c>
      <c r="V41" s="773" t="s">
        <v>17</v>
      </c>
      <c r="W41" s="774">
        <f t="shared" si="14"/>
        <v>100</v>
      </c>
      <c r="X41" s="1812"/>
      <c r="Y41" s="3230"/>
      <c r="Z41" s="1813" t="str">
        <f t="shared" si="15"/>
        <v>层高</v>
      </c>
      <c r="AA41" s="1810">
        <f t="shared" si="3"/>
        <v>1</v>
      </c>
      <c r="AB41" s="1810">
        <f t="shared" si="4"/>
        <v>1</v>
      </c>
      <c r="AC41" s="2674">
        <f t="shared" si="5"/>
        <v>1</v>
      </c>
    </row>
    <row r="42" spans="1:29" s="470" customFormat="1" ht="15">
      <c r="A42" s="467"/>
      <c r="B42" s="1811" t="s">
        <v>2700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28"/>
      <c r="Q42" s="775" t="str">
        <f t="shared" si="11"/>
        <v>单套建筑面积</v>
      </c>
      <c r="R42" s="776" t="s">
        <v>17</v>
      </c>
      <c r="S42" s="777">
        <f t="shared" si="12"/>
        <v>100</v>
      </c>
      <c r="T42" s="776" t="s">
        <v>17</v>
      </c>
      <c r="U42" s="777">
        <f t="shared" si="13"/>
        <v>100</v>
      </c>
      <c r="V42" s="776" t="s">
        <v>17</v>
      </c>
      <c r="W42" s="777">
        <f t="shared" si="14"/>
        <v>100</v>
      </c>
      <c r="X42" s="778"/>
      <c r="Y42" s="3230"/>
      <c r="Z42" s="779" t="str">
        <f t="shared" si="15"/>
        <v>单套建筑面积</v>
      </c>
      <c r="AA42" s="1810">
        <f t="shared" si="3"/>
        <v>1</v>
      </c>
      <c r="AB42" s="1810">
        <f t="shared" si="4"/>
        <v>1</v>
      </c>
      <c r="AC42" s="2674">
        <f t="shared" si="5"/>
        <v>1</v>
      </c>
    </row>
    <row r="43" spans="1:29" ht="15">
      <c r="A43" s="471"/>
      <c r="B43" s="421" t="s">
        <v>2672</v>
      </c>
      <c r="C43" s="459" t="s">
        <v>3306</v>
      </c>
      <c r="D43" s="434">
        <v>100</v>
      </c>
      <c r="E43" s="459" t="s">
        <v>3310</v>
      </c>
      <c r="F43" s="460">
        <f>SUMIF(123:123,E43,124:124)-SUMIF(123:123,C43,124:124)+100</f>
        <v>101</v>
      </c>
      <c r="G43" s="459" t="s">
        <v>3310</v>
      </c>
      <c r="H43" s="434">
        <f>SUMIF(123:123,G43,124:124)-SUMIF(123:123,C43,124:124)+100</f>
        <v>101</v>
      </c>
      <c r="I43" s="459" t="s">
        <v>3310</v>
      </c>
      <c r="J43" s="434">
        <f>SUMIF(123:123,I43,124:124)-SUMIF(123:123,C43,124:124)+100</f>
        <v>101</v>
      </c>
      <c r="K43" s="611">
        <v>1</v>
      </c>
      <c r="L43" s="1139"/>
      <c r="M43" s="1130"/>
      <c r="N43" s="1130"/>
      <c r="O43" s="1130"/>
      <c r="P43" s="3228"/>
      <c r="Q43" s="1809" t="str">
        <f t="shared" si="11"/>
        <v>内部装修</v>
      </c>
      <c r="R43" s="773" t="s">
        <v>17</v>
      </c>
      <c r="S43" s="774">
        <f t="shared" si="12"/>
        <v>101</v>
      </c>
      <c r="T43" s="773" t="s">
        <v>17</v>
      </c>
      <c r="U43" s="774">
        <f t="shared" si="13"/>
        <v>101</v>
      </c>
      <c r="V43" s="773" t="s">
        <v>17</v>
      </c>
      <c r="W43" s="774">
        <f t="shared" si="14"/>
        <v>101</v>
      </c>
      <c r="X43" s="1812"/>
      <c r="Y43" s="3230"/>
      <c r="Z43" s="1813" t="str">
        <f t="shared" si="15"/>
        <v>内部装修</v>
      </c>
      <c r="AA43" s="1810">
        <f t="shared" si="3"/>
        <v>0.99009900990099009</v>
      </c>
      <c r="AB43" s="1810">
        <f t="shared" si="4"/>
        <v>0.99009900990099009</v>
      </c>
      <c r="AC43" s="2674">
        <f t="shared" si="5"/>
        <v>0.99009900990099009</v>
      </c>
    </row>
    <row r="44" spans="1:29" ht="15">
      <c r="A44" s="471"/>
      <c r="B44" s="421" t="s">
        <v>2580</v>
      </c>
      <c r="C44" s="459" t="s">
        <v>3293</v>
      </c>
      <c r="D44" s="434">
        <v>100</v>
      </c>
      <c r="E44" s="459" t="s">
        <v>3293</v>
      </c>
      <c r="F44" s="460">
        <f>SUMIF(125:125,E44,126:126)-SUMIF(125:125,C44,126:126)+100</f>
        <v>100</v>
      </c>
      <c r="G44" s="459" t="s">
        <v>3293</v>
      </c>
      <c r="H44" s="434">
        <f>SUMIF(125:125,G44,126:126)-SUMIF(125:125,C44,126:126)+100</f>
        <v>100</v>
      </c>
      <c r="I44" s="459" t="s">
        <v>3293</v>
      </c>
      <c r="J44" s="434">
        <f>SUMIF(125:125,I44,126:126)-SUMIF(125:125,C44,126:126)+100</f>
        <v>100</v>
      </c>
      <c r="K44" s="611">
        <v>2</v>
      </c>
      <c r="L44" s="1139"/>
      <c r="M44" s="1130"/>
      <c r="N44" s="1130"/>
      <c r="O44" s="1130"/>
      <c r="P44" s="3228"/>
      <c r="Q44" s="1809" t="str">
        <f t="shared" si="11"/>
        <v>内部装修维护情况</v>
      </c>
      <c r="R44" s="773" t="s">
        <v>17</v>
      </c>
      <c r="S44" s="774">
        <f t="shared" si="12"/>
        <v>100</v>
      </c>
      <c r="T44" s="773" t="s">
        <v>17</v>
      </c>
      <c r="U44" s="774">
        <f t="shared" si="13"/>
        <v>100</v>
      </c>
      <c r="V44" s="773" t="s">
        <v>17</v>
      </c>
      <c r="W44" s="774">
        <f t="shared" si="14"/>
        <v>100</v>
      </c>
      <c r="X44" s="1812"/>
      <c r="Y44" s="3230"/>
      <c r="Z44" s="1813" t="str">
        <f t="shared" si="15"/>
        <v>内部装修维护情况</v>
      </c>
      <c r="AA44" s="1810">
        <f t="shared" si="3"/>
        <v>1</v>
      </c>
      <c r="AB44" s="1810">
        <f t="shared" si="4"/>
        <v>1</v>
      </c>
      <c r="AC44" s="2674">
        <f t="shared" si="5"/>
        <v>1</v>
      </c>
    </row>
    <row r="45" spans="1:29" s="116" customFormat="1" ht="15">
      <c r="A45" s="472"/>
      <c r="B45" s="2987" t="s">
        <v>3308</v>
      </c>
      <c r="C45" s="468" t="s">
        <v>3307</v>
      </c>
      <c r="D45" s="135">
        <v>100</v>
      </c>
      <c r="E45" s="2991" t="s">
        <v>3323</v>
      </c>
      <c r="F45" s="424">
        <f>SUMIF(127:127,E45,128:128)-SUMIF(127:127,C45,128:128)+100</f>
        <v>97</v>
      </c>
      <c r="G45" s="2991" t="s">
        <v>3312</v>
      </c>
      <c r="H45" s="135">
        <f>SUMIF(127:127,G45,128:128)-SUMIF(127:127,C45,128:128)+100</f>
        <v>97</v>
      </c>
      <c r="I45" s="2991" t="s">
        <v>3312</v>
      </c>
      <c r="J45" s="135">
        <f>SUMIF(127:127,I45,128:128)-SUMIF(127:127,C45,128:128)+100</f>
        <v>97</v>
      </c>
      <c r="K45" s="612"/>
      <c r="L45" s="1131"/>
      <c r="M45" s="1132"/>
      <c r="N45" s="1132"/>
      <c r="O45" s="1132"/>
      <c r="P45" s="3228"/>
      <c r="Q45" s="1794" t="str">
        <f t="shared" si="11"/>
        <v>智能环保系统</v>
      </c>
      <c r="R45" s="769" t="s">
        <v>17</v>
      </c>
      <c r="S45" s="770">
        <f t="shared" si="12"/>
        <v>97</v>
      </c>
      <c r="T45" s="769" t="s">
        <v>17</v>
      </c>
      <c r="U45" s="770">
        <f t="shared" si="13"/>
        <v>97</v>
      </c>
      <c r="V45" s="769" t="s">
        <v>17</v>
      </c>
      <c r="W45" s="770">
        <f t="shared" si="14"/>
        <v>97</v>
      </c>
      <c r="X45" s="771"/>
      <c r="Y45" s="3230"/>
      <c r="Z45" s="55" t="str">
        <f t="shared" si="15"/>
        <v>智能环保系统</v>
      </c>
      <c r="AA45" s="772">
        <f t="shared" si="3"/>
        <v>1.0309278350515463</v>
      </c>
      <c r="AB45" s="772">
        <f t="shared" si="4"/>
        <v>1.0309278350515463</v>
      </c>
      <c r="AC45" s="2671">
        <f t="shared" si="5"/>
        <v>1.0309278350515463</v>
      </c>
    </row>
    <row r="46" spans="1:29" ht="15">
      <c r="A46" s="471"/>
      <c r="B46" s="2987" t="s">
        <v>3314</v>
      </c>
      <c r="C46" s="2989" t="s">
        <v>3315</v>
      </c>
      <c r="D46" s="434">
        <v>100</v>
      </c>
      <c r="E46" s="2989" t="s">
        <v>3317</v>
      </c>
      <c r="F46" s="460">
        <f>SUMIF(129:129,E46,130:130)-SUMIF(129:129,C46,130:130)+100</f>
        <v>97</v>
      </c>
      <c r="G46" s="2989" t="s">
        <v>3317</v>
      </c>
      <c r="H46" s="434">
        <f>SUMIF(129:129,G46,130:130)-SUMIF(129:129,C46,130:130)+100</f>
        <v>97</v>
      </c>
      <c r="I46" s="2989" t="s">
        <v>3317</v>
      </c>
      <c r="J46" s="434">
        <f>SUMIF(129:129,I46,130:130)-SUMIF(129:129,C46,130:130)+100</f>
        <v>97</v>
      </c>
      <c r="K46" s="612"/>
      <c r="L46" s="1139"/>
      <c r="M46" s="1130"/>
      <c r="N46" s="1130"/>
      <c r="O46" s="1130"/>
      <c r="P46" s="3228"/>
      <c r="Q46" s="1809" t="str">
        <f t="shared" si="11"/>
        <v>建筑品质</v>
      </c>
      <c r="R46" s="773" t="s">
        <v>17</v>
      </c>
      <c r="S46" s="774">
        <f t="shared" si="12"/>
        <v>97</v>
      </c>
      <c r="T46" s="773" t="s">
        <v>17</v>
      </c>
      <c r="U46" s="774">
        <f t="shared" si="13"/>
        <v>97</v>
      </c>
      <c r="V46" s="773" t="s">
        <v>17</v>
      </c>
      <c r="W46" s="774">
        <f t="shared" si="14"/>
        <v>97</v>
      </c>
      <c r="X46" s="1812"/>
      <c r="Y46" s="3230"/>
      <c r="Z46" s="1813" t="str">
        <f t="shared" si="15"/>
        <v>建筑品质</v>
      </c>
      <c r="AA46" s="1810">
        <f t="shared" si="3"/>
        <v>1.0309278350515463</v>
      </c>
      <c r="AB46" s="1810">
        <f t="shared" si="4"/>
        <v>1.0309278350515463</v>
      </c>
      <c r="AC46" s="2674">
        <f t="shared" si="5"/>
        <v>1.0309278350515463</v>
      </c>
    </row>
    <row r="47" spans="1:29" ht="15.75" thickBot="1">
      <c r="A47" s="477"/>
      <c r="B47" s="2602">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29"/>
      <c r="Q47" s="1809">
        <f t="shared" si="11"/>
        <v>111</v>
      </c>
      <c r="R47" s="773" t="s">
        <v>17</v>
      </c>
      <c r="S47" s="774">
        <f t="shared" si="12"/>
        <v>100</v>
      </c>
      <c r="T47" s="773" t="s">
        <v>17</v>
      </c>
      <c r="U47" s="774">
        <f t="shared" si="13"/>
        <v>100</v>
      </c>
      <c r="V47" s="773" t="s">
        <v>17</v>
      </c>
      <c r="W47" s="774">
        <f t="shared" si="14"/>
        <v>100</v>
      </c>
      <c r="X47" s="1812"/>
      <c r="Y47" s="3231"/>
      <c r="Z47" s="1813">
        <f t="shared" si="15"/>
        <v>111</v>
      </c>
      <c r="AA47" s="1810">
        <f t="shared" si="3"/>
        <v>1</v>
      </c>
      <c r="AB47" s="1810">
        <f t="shared" si="4"/>
        <v>1</v>
      </c>
      <c r="AC47" s="2674">
        <f t="shared" si="5"/>
        <v>1</v>
      </c>
    </row>
    <row r="48" spans="1:29" ht="15">
      <c r="A48" s="478" t="s">
        <v>2581</v>
      </c>
      <c r="B48" s="479"/>
      <c r="C48" s="1406" t="s">
        <v>1</v>
      </c>
      <c r="D48" s="1407"/>
      <c r="E48" s="1408">
        <v>40000</v>
      </c>
      <c r="F48" s="1409"/>
      <c r="G48" s="1410">
        <v>38000</v>
      </c>
      <c r="H48" s="1411"/>
      <c r="I48" s="1408">
        <v>37000</v>
      </c>
      <c r="J48" s="484"/>
      <c r="K48" s="782"/>
      <c r="L48" s="1142"/>
      <c r="M48" s="1130"/>
      <c r="N48" s="1130"/>
      <c r="O48" s="1130"/>
      <c r="P48" s="3217" t="str">
        <f>A48</f>
        <v>成交单价（元/平方米）</v>
      </c>
      <c r="Q48" s="3218"/>
      <c r="R48" s="3219">
        <f>E48</f>
        <v>40000</v>
      </c>
      <c r="S48" s="3219"/>
      <c r="T48" s="3219">
        <f>G48</f>
        <v>38000</v>
      </c>
      <c r="U48" s="3219"/>
      <c r="V48" s="3219">
        <f>I48</f>
        <v>37000</v>
      </c>
      <c r="W48" s="3219"/>
      <c r="X48" s="445"/>
      <c r="Y48" s="780"/>
      <c r="Z48" s="445"/>
      <c r="AA48" s="445"/>
      <c r="AB48" s="445"/>
      <c r="AC48" s="629"/>
    </row>
    <row r="49" spans="1:29" ht="15.75" thickBot="1">
      <c r="A49" s="485" t="s">
        <v>2673</v>
      </c>
      <c r="B49" s="486"/>
      <c r="C49" s="1412">
        <f>R50</f>
        <v>42151</v>
      </c>
      <c r="D49" s="1413"/>
      <c r="E49" s="1414">
        <f>R49</f>
        <v>42946</v>
      </c>
      <c r="F49" s="1414"/>
      <c r="G49" s="1412">
        <f>T49</f>
        <v>43375</v>
      </c>
      <c r="H49" s="1413"/>
      <c r="I49" s="1414">
        <f>V49</f>
        <v>40131</v>
      </c>
      <c r="J49" s="488"/>
      <c r="K49" s="783"/>
      <c r="L49" s="1142"/>
      <c r="M49" s="1130"/>
      <c r="N49" s="1130"/>
      <c r="O49" s="1130"/>
      <c r="P49" s="3217" t="str">
        <f>A49</f>
        <v>比较价值（元/平方米）</v>
      </c>
      <c r="Q49" s="3218"/>
      <c r="R49" s="3219">
        <f>IF(F1="售价",ROUND(PRODUCT(R48,AA7:AA47),0),ROUND(PRODUCT(R48,AA7:AA47),1))</f>
        <v>42946</v>
      </c>
      <c r="S49" s="3219"/>
      <c r="T49" s="3219">
        <f>IF(F1="售价",ROUND(PRODUCT(T48,AB7:AB47),0),ROUND(PRODUCT(T48,AB7:AB47),1))</f>
        <v>43375</v>
      </c>
      <c r="U49" s="3219"/>
      <c r="V49" s="3219">
        <f>IF(F1="售价",ROUND(PRODUCT(V48,AC7:AC47),0),ROUND(PRODUCT(V48,AC7:AC47),1))</f>
        <v>40131</v>
      </c>
      <c r="W49" s="3219"/>
      <c r="X49" s="445"/>
      <c r="Y49" s="445"/>
      <c r="Z49" s="445"/>
      <c r="AA49" s="445"/>
      <c r="AB49" s="445"/>
      <c r="AC49" s="629"/>
    </row>
    <row r="50" spans="1:29" ht="15.75" thickBot="1">
      <c r="A50" s="491" t="s">
        <v>2674</v>
      </c>
      <c r="B50" s="492"/>
      <c r="C50" s="1416">
        <f>R50</f>
        <v>42151</v>
      </c>
      <c r="D50" s="1416"/>
      <c r="E50" s="1416"/>
      <c r="F50" s="1416"/>
      <c r="G50" s="1416"/>
      <c r="H50" s="1416"/>
      <c r="I50" s="1416"/>
      <c r="J50" s="493"/>
      <c r="K50" s="784"/>
      <c r="L50" s="1142"/>
      <c r="M50" s="1130"/>
      <c r="N50" s="1130"/>
      <c r="O50" s="1130"/>
      <c r="P50" s="3220" t="str">
        <f>A50</f>
        <v>估价对象XX用房的比较价值（楼面单价，元/平方米）</v>
      </c>
      <c r="Q50" s="3221"/>
      <c r="R50" s="3222">
        <f>IF(F1="售价",ROUND(AVERAGE(R49:V49),0),ROUND(AVERAGE(R49:V49),1))</f>
        <v>42151</v>
      </c>
      <c r="S50" s="3222"/>
      <c r="T50" s="3222"/>
      <c r="U50" s="3222"/>
      <c r="V50" s="3222"/>
      <c r="W50" s="3222"/>
      <c r="X50" s="2654"/>
      <c r="Y50" s="2654"/>
      <c r="Z50" s="2654"/>
      <c r="AA50" s="2654"/>
      <c r="AB50" s="2654"/>
      <c r="AC50" s="2655"/>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2675</v>
      </c>
      <c r="D53" s="497"/>
      <c r="E53" s="498">
        <f>IF(E48&lt;E49,E49/E48-1,E48/E49-1)</f>
        <v>7.3649999999999993E-2</v>
      </c>
      <c r="F53" s="499" t="str">
        <f>IF(OR(E53&gt;=0.3,E53&lt;=-0.3),"超过30%","")</f>
        <v/>
      </c>
      <c r="G53" s="498">
        <f>IF(G48&lt;G49,G49/G48-1,G48/G49-1)</f>
        <v>0.14144736842105265</v>
      </c>
      <c r="H53" s="499" t="str">
        <f>IF(OR(G53&gt;=0.3,G53&lt;=-0.3),"超过30%","")</f>
        <v/>
      </c>
      <c r="I53" s="498">
        <f>IF(I48&lt;I49,I49/I48-1,I48/I49-1)</f>
        <v>8.4621621621621568E-2</v>
      </c>
      <c r="J53" s="499" t="str">
        <f>IF(OR(I53&gt;=0.3,I53&lt;=-0.3),"超过30%","")</f>
        <v/>
      </c>
      <c r="K53" s="1104"/>
      <c r="L53" s="1105"/>
      <c r="M53" s="1143"/>
      <c r="N53" s="1143"/>
      <c r="O53" s="1143"/>
    </row>
    <row r="54" spans="1:29" ht="13.5" customHeight="1">
      <c r="A54" s="1143"/>
      <c r="B54" s="1143"/>
      <c r="C54" s="496" t="s">
        <v>2676</v>
      </c>
      <c r="D54" s="500"/>
      <c r="E54" s="498">
        <f>IF(E49&lt;G49,G49/E49-1,E49/G49-1)</f>
        <v>9.989288874400426E-3</v>
      </c>
      <c r="F54" s="499" t="str">
        <f>IF(OR(E54&gt;=0.2,E54&lt;=-0.2),"超过20%","")</f>
        <v/>
      </c>
      <c r="G54" s="498">
        <f>IF(G49&lt;I49,I49/G49-1,G49/I49-1)</f>
        <v>8.0835264508733795E-2</v>
      </c>
      <c r="H54" s="499" t="str">
        <f>IF(OR(G54&gt;=0.2,G54&lt;=-0.2),"超过20%","")</f>
        <v/>
      </c>
      <c r="I54" s="498">
        <f>IF(I49&lt;E49,E49/I49-1,I49/E49-1)</f>
        <v>7.0145274226906862E-2</v>
      </c>
      <c r="J54" s="499" t="str">
        <f>IF(OR(I54&gt;=0.2,I54&lt;=-0.2),"超过20%","")</f>
        <v/>
      </c>
      <c r="K54" s="1104"/>
      <c r="L54" s="1105"/>
      <c r="M54" s="1143"/>
      <c r="N54" s="1143"/>
      <c r="O54" s="1143"/>
    </row>
    <row r="55" spans="1:29" s="501" customFormat="1" ht="13.5" customHeight="1">
      <c r="A55" s="1144"/>
      <c r="B55" s="1144"/>
      <c r="C55" s="496" t="s">
        <v>2677</v>
      </c>
      <c r="D55" s="500"/>
      <c r="E55" s="498">
        <f>IF(E48&lt;G48,G48/E48-1,E48/G48-1)</f>
        <v>5.2631578947368363E-2</v>
      </c>
      <c r="F55" s="499" t="str">
        <f>IF(OR(E55&gt;=0.3,E55&lt;=-0.3),"超过30%","")</f>
        <v/>
      </c>
      <c r="G55" s="498">
        <f>IF(G48&lt;I48,I48/G48-1,G48/I48-1)</f>
        <v>2.7027027027026973E-2</v>
      </c>
      <c r="H55" s="499" t="str">
        <f>IF(OR(G55&gt;=0.3,G55&lt;=-0.3),"超过30%","")</f>
        <v/>
      </c>
      <c r="I55" s="498">
        <f>IF(I48&lt;E48,E48/I48-1,I48/E48-1)</f>
        <v>8.1081081081081141E-2</v>
      </c>
      <c r="J55" s="499" t="str">
        <f>IF(OR(I55&gt;=0.3,I55&lt;=-0.3),"超过30%","")</f>
        <v/>
      </c>
      <c r="K55" s="1147"/>
      <c r="L55" s="1148"/>
      <c r="M55" s="1144"/>
      <c r="N55" s="1144"/>
      <c r="O55" s="1144"/>
      <c r="P55" s="2680"/>
    </row>
    <row r="56" spans="1:29" s="501" customFormat="1">
      <c r="A56" s="1144"/>
      <c r="B56" s="1145"/>
      <c r="C56" s="1149"/>
      <c r="D56" s="1144"/>
      <c r="E56" s="1144"/>
      <c r="F56" s="1144"/>
      <c r="G56" s="1144"/>
      <c r="H56" s="1144"/>
      <c r="I56" s="1144"/>
      <c r="J56" s="1144"/>
      <c r="K56" s="1147"/>
      <c r="L56" s="1148"/>
      <c r="M56" s="1144"/>
      <c r="N56" s="1144"/>
      <c r="O56" s="1144"/>
      <c r="P56" s="2680"/>
    </row>
    <row r="57" spans="1:29">
      <c r="A57" s="1143"/>
      <c r="B57" s="1145"/>
      <c r="C57" s="1149"/>
      <c r="D57" s="1143"/>
      <c r="E57" s="1143"/>
      <c r="F57" s="1143"/>
      <c r="G57" s="1143"/>
      <c r="H57" s="1143"/>
      <c r="I57" s="1143"/>
      <c r="J57" s="1143"/>
      <c r="K57" s="1104"/>
      <c r="L57" s="1105"/>
      <c r="M57" s="1143"/>
      <c r="N57" s="1143"/>
      <c r="O57" s="1143"/>
    </row>
    <row r="58" spans="1:29" ht="21.75" thickBot="1">
      <c r="A58" s="762" t="s">
        <v>2678</v>
      </c>
      <c r="B58" s="758"/>
      <c r="C58" s="763"/>
      <c r="D58" s="763"/>
      <c r="E58" s="763"/>
      <c r="F58" s="764"/>
      <c r="G58" s="764"/>
      <c r="H58" s="763"/>
      <c r="I58" s="763"/>
      <c r="J58" s="763"/>
      <c r="K58" s="765"/>
      <c r="L58" s="1160"/>
      <c r="M58" s="1158"/>
      <c r="N58" s="1158"/>
      <c r="O58" s="1158"/>
      <c r="P58" s="2681"/>
      <c r="Q58" s="503"/>
    </row>
    <row r="59" spans="1:29" s="507" customFormat="1" ht="15">
      <c r="A59" s="504" t="s">
        <v>2552</v>
      </c>
      <c r="B59" s="505"/>
      <c r="C59" s="1573" t="str">
        <f>YEAR(C7)&amp;"-"&amp;MONTH(C7)</f>
        <v>2018-6</v>
      </c>
      <c r="D59" s="1574">
        <f>EDATE(C59,-1)</f>
        <v>43221</v>
      </c>
      <c r="E59" s="1574">
        <f>EDATE(D59,-1)</f>
        <v>43191</v>
      </c>
      <c r="F59" s="1574">
        <f t="shared" ref="F59:O59" si="16">EDATE(E59,-1)</f>
        <v>43160</v>
      </c>
      <c r="G59" s="1574">
        <f t="shared" si="16"/>
        <v>43132</v>
      </c>
      <c r="H59" s="1574">
        <f t="shared" si="16"/>
        <v>43101</v>
      </c>
      <c r="I59" s="1574">
        <f t="shared" si="16"/>
        <v>43070</v>
      </c>
      <c r="J59" s="1574">
        <f t="shared" si="16"/>
        <v>43040</v>
      </c>
      <c r="K59" s="1574">
        <f t="shared" si="16"/>
        <v>43009</v>
      </c>
      <c r="L59" s="1574">
        <f t="shared" si="16"/>
        <v>42979</v>
      </c>
      <c r="M59" s="1574">
        <f t="shared" si="16"/>
        <v>42948</v>
      </c>
      <c r="N59" s="1574">
        <f t="shared" si="16"/>
        <v>42917</v>
      </c>
      <c r="O59" s="1574">
        <f t="shared" si="16"/>
        <v>42887</v>
      </c>
      <c r="P59" s="1570"/>
    </row>
    <row r="60" spans="1:29" s="116" customFormat="1" ht="15">
      <c r="A60" s="508"/>
      <c r="B60" s="509"/>
      <c r="C60" s="1572">
        <v>100</v>
      </c>
      <c r="D60" s="511"/>
      <c r="E60" s="511"/>
      <c r="F60" s="511"/>
      <c r="G60" s="511"/>
      <c r="H60" s="511"/>
      <c r="I60" s="511"/>
      <c r="J60" s="511"/>
      <c r="K60" s="511"/>
      <c r="L60" s="511"/>
      <c r="M60" s="512"/>
      <c r="N60" s="511"/>
      <c r="O60" s="512"/>
      <c r="P60" s="2682"/>
    </row>
    <row r="61" spans="1:29" s="116" customFormat="1" ht="15.75" thickBot="1">
      <c r="A61" s="514" t="s">
        <v>2589</v>
      </c>
      <c r="B61" s="515"/>
      <c r="C61" s="516"/>
      <c r="D61" s="517"/>
      <c r="E61" s="517"/>
      <c r="F61" s="517"/>
      <c r="G61" s="517"/>
      <c r="H61" s="517"/>
      <c r="I61" s="517"/>
      <c r="J61" s="517"/>
      <c r="K61" s="517"/>
      <c r="L61" s="517"/>
      <c r="M61" s="518"/>
      <c r="N61" s="517"/>
      <c r="O61" s="518"/>
      <c r="P61" s="2682"/>
      <c r="Q61" s="503"/>
    </row>
    <row r="62" spans="1:29" s="116" customFormat="1" ht="15">
      <c r="A62" s="520" t="s">
        <v>2554</v>
      </c>
      <c r="B62" s="509"/>
      <c r="C62" s="521" t="s">
        <v>2656</v>
      </c>
      <c r="D62" s="522"/>
      <c r="E62" s="522"/>
      <c r="F62" s="522"/>
      <c r="G62" s="522"/>
      <c r="H62" s="522"/>
      <c r="I62" s="522"/>
      <c r="J62" s="522"/>
      <c r="K62" s="522"/>
      <c r="L62" s="523"/>
      <c r="M62" s="524"/>
      <c r="N62" s="1150"/>
      <c r="O62" s="1150"/>
      <c r="P62" s="2683"/>
      <c r="Q62" s="503"/>
    </row>
    <row r="63" spans="1:29" s="116" customFormat="1" ht="15.75" thickBot="1">
      <c r="A63" s="520"/>
      <c r="B63" s="509"/>
      <c r="C63" s="510">
        <v>100</v>
      </c>
      <c r="D63" s="511"/>
      <c r="E63" s="511"/>
      <c r="F63" s="511"/>
      <c r="G63" s="511"/>
      <c r="H63" s="511"/>
      <c r="I63" s="511"/>
      <c r="J63" s="511"/>
      <c r="K63" s="511"/>
      <c r="L63" s="511"/>
      <c r="M63" s="513"/>
      <c r="N63" s="1150"/>
      <c r="O63" s="1150"/>
      <c r="P63" s="2682"/>
      <c r="Q63" s="503"/>
    </row>
    <row r="64" spans="1:29">
      <c r="A64" s="526" t="s">
        <v>2592</v>
      </c>
      <c r="B64" s="527" t="s">
        <v>2558</v>
      </c>
      <c r="C64" s="528" t="str">
        <f>C9</f>
        <v>办公</v>
      </c>
      <c r="D64" s="529"/>
      <c r="E64" s="529"/>
      <c r="F64" s="529"/>
      <c r="G64" s="529"/>
      <c r="H64" s="529"/>
      <c r="I64" s="529"/>
      <c r="J64" s="529"/>
      <c r="K64" s="530"/>
      <c r="L64" s="531"/>
      <c r="M64" s="532"/>
      <c r="N64" s="1151"/>
      <c r="O64" s="1151"/>
      <c r="P64" s="2684"/>
      <c r="Q64" s="503"/>
    </row>
    <row r="65" spans="1:17" ht="15.75" thickBot="1">
      <c r="A65" s="533"/>
      <c r="B65" s="534"/>
      <c r="C65" s="535">
        <v>100</v>
      </c>
      <c r="D65" s="535"/>
      <c r="E65" s="535"/>
      <c r="F65" s="535"/>
      <c r="G65" s="535"/>
      <c r="H65" s="535"/>
      <c r="I65" s="535"/>
      <c r="J65" s="535"/>
      <c r="K65" s="535"/>
      <c r="L65" s="535"/>
      <c r="M65" s="536"/>
      <c r="N65" s="1152"/>
      <c r="O65" s="1152"/>
      <c r="P65" s="2684"/>
      <c r="Q65" s="503"/>
    </row>
    <row r="66" spans="1:17" ht="27.75" thickTop="1">
      <c r="A66" s="533"/>
      <c r="B66" s="537" t="s">
        <v>2561</v>
      </c>
      <c r="C66" s="538" t="s">
        <v>2593</v>
      </c>
      <c r="D66" s="538" t="s">
        <v>2594</v>
      </c>
      <c r="E66" s="538" t="s">
        <v>2595</v>
      </c>
      <c r="F66" s="538" t="s">
        <v>2596</v>
      </c>
      <c r="G66" s="538" t="s">
        <v>2597</v>
      </c>
      <c r="H66" s="538" t="s">
        <v>2598</v>
      </c>
      <c r="I66" s="538" t="s">
        <v>2599</v>
      </c>
      <c r="J66" s="538"/>
      <c r="K66" s="539"/>
      <c r="L66" s="540"/>
      <c r="M66" s="541"/>
      <c r="N66" s="1151"/>
      <c r="O66" s="1151"/>
      <c r="P66" s="2684"/>
      <c r="Q66" s="503"/>
    </row>
    <row r="67" spans="1:17" ht="15.75" thickBot="1">
      <c r="A67" s="533"/>
      <c r="B67" s="542"/>
      <c r="C67" s="543" t="s">
        <v>24</v>
      </c>
      <c r="D67" s="543" t="s">
        <v>25</v>
      </c>
      <c r="E67" s="543">
        <v>100</v>
      </c>
      <c r="F67" s="543">
        <f>E67-$K10</f>
        <v>99</v>
      </c>
      <c r="G67" s="543">
        <f>F67-$K10</f>
        <v>98</v>
      </c>
      <c r="H67" s="543">
        <f>G67-$K10</f>
        <v>97</v>
      </c>
      <c r="I67" s="543">
        <f>H67-$K10</f>
        <v>96</v>
      </c>
      <c r="J67" s="543"/>
      <c r="K67" s="543"/>
      <c r="L67" s="543"/>
      <c r="M67" s="544"/>
      <c r="N67" s="1152"/>
      <c r="O67" s="1152"/>
      <c r="P67" s="2684"/>
      <c r="Q67" s="503"/>
    </row>
    <row r="68" spans="1:17" ht="15.75" thickTop="1">
      <c r="A68" s="533"/>
      <c r="B68" s="545" t="s">
        <v>2562</v>
      </c>
      <c r="C68" s="546" t="str">
        <f>C69&amp;"（含）"&amp;"-"&amp;D69</f>
        <v>0（含）-1</v>
      </c>
      <c r="D68" s="546" t="str">
        <f t="shared" ref="D68:L68" si="17">D69&amp;"（含）"&amp;"-"&amp;E69</f>
        <v>1（含）-2</v>
      </c>
      <c r="E68" s="546" t="str">
        <f t="shared" si="17"/>
        <v>2（含）-3</v>
      </c>
      <c r="F68" s="546" t="str">
        <f t="shared" si="17"/>
        <v>3（含）-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84"/>
      <c r="Q68" s="503"/>
    </row>
    <row r="69" spans="1:17" ht="15">
      <c r="A69" s="533"/>
      <c r="B69" s="547"/>
      <c r="C69" s="548">
        <v>0</v>
      </c>
      <c r="D69" s="548">
        <v>1</v>
      </c>
      <c r="E69" s="548">
        <v>2</v>
      </c>
      <c r="F69" s="548">
        <v>3</v>
      </c>
      <c r="G69" s="548"/>
      <c r="H69" s="548"/>
      <c r="I69" s="548"/>
      <c r="J69" s="548"/>
      <c r="K69" s="549"/>
      <c r="L69" s="550"/>
      <c r="M69" s="551"/>
      <c r="N69" s="1151"/>
      <c r="O69" s="1151"/>
      <c r="P69" s="2684"/>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84"/>
      <c r="Q70" s="503"/>
    </row>
    <row r="71" spans="1:17" s="470" customFormat="1" ht="15.75" thickTop="1">
      <c r="A71" s="552"/>
      <c r="B71" s="537">
        <f>B12</f>
        <v>111</v>
      </c>
      <c r="C71" s="553"/>
      <c r="D71" s="553"/>
      <c r="E71" s="553"/>
      <c r="F71" s="553"/>
      <c r="G71" s="553"/>
      <c r="H71" s="554"/>
      <c r="I71" s="554"/>
      <c r="J71" s="554"/>
      <c r="K71" s="554"/>
      <c r="L71" s="555"/>
      <c r="M71" s="556"/>
      <c r="N71" s="1153"/>
      <c r="O71" s="1153"/>
      <c r="P71" s="2685"/>
      <c r="Q71" s="558"/>
    </row>
    <row r="72" spans="1:17" s="470" customFormat="1" ht="15.75" thickBot="1">
      <c r="A72" s="552"/>
      <c r="B72" s="542"/>
      <c r="C72" s="559"/>
      <c r="D72" s="535"/>
      <c r="E72" s="535"/>
      <c r="F72" s="535"/>
      <c r="G72" s="535"/>
      <c r="H72" s="535"/>
      <c r="I72" s="535"/>
      <c r="J72" s="535"/>
      <c r="K72" s="535"/>
      <c r="L72" s="535"/>
      <c r="M72" s="536"/>
      <c r="N72" s="1152"/>
      <c r="O72" s="1152"/>
      <c r="P72" s="2685"/>
      <c r="Q72" s="558"/>
    </row>
    <row r="73" spans="1:17" s="470" customFormat="1" ht="15.75" thickTop="1">
      <c r="A73" s="552"/>
      <c r="B73" s="537">
        <f>B13</f>
        <v>111</v>
      </c>
      <c r="C73" s="553"/>
      <c r="D73" s="553"/>
      <c r="E73" s="553"/>
      <c r="F73" s="553"/>
      <c r="G73" s="553"/>
      <c r="H73" s="554"/>
      <c r="I73" s="554"/>
      <c r="J73" s="554"/>
      <c r="K73" s="554"/>
      <c r="L73" s="555"/>
      <c r="M73" s="556"/>
      <c r="N73" s="1153"/>
      <c r="O73" s="1153"/>
      <c r="P73" s="2686"/>
      <c r="Q73" s="560"/>
    </row>
    <row r="74" spans="1:17" s="470" customFormat="1" ht="15.75" thickBot="1">
      <c r="A74" s="552"/>
      <c r="B74" s="542"/>
      <c r="C74" s="559"/>
      <c r="D74" s="559"/>
      <c r="E74" s="559"/>
      <c r="F74" s="559"/>
      <c r="G74" s="559"/>
      <c r="H74" s="561"/>
      <c r="I74" s="561"/>
      <c r="J74" s="561"/>
      <c r="K74" s="561"/>
      <c r="L74" s="561"/>
      <c r="M74" s="562"/>
      <c r="N74" s="1153"/>
      <c r="O74" s="1153"/>
      <c r="P74" s="2685"/>
      <c r="Q74" s="558"/>
    </row>
    <row r="75" spans="1:17" s="470" customFormat="1" ht="15.75" thickTop="1">
      <c r="A75" s="552"/>
      <c r="B75" s="545">
        <f>B14</f>
        <v>111</v>
      </c>
      <c r="C75" s="522"/>
      <c r="D75" s="522"/>
      <c r="E75" s="522"/>
      <c r="F75" s="522"/>
      <c r="G75" s="522"/>
      <c r="H75" s="563"/>
      <c r="I75" s="563"/>
      <c r="J75" s="563"/>
      <c r="K75" s="563"/>
      <c r="L75" s="564"/>
      <c r="M75" s="565"/>
      <c r="N75" s="1153"/>
      <c r="O75" s="1153"/>
      <c r="P75" s="2687"/>
      <c r="Q75" s="558"/>
    </row>
    <row r="76" spans="1:17" s="470" customFormat="1" ht="15.75" thickBot="1">
      <c r="A76" s="567"/>
      <c r="B76" s="568"/>
      <c r="C76" s="569"/>
      <c r="D76" s="569"/>
      <c r="E76" s="569"/>
      <c r="F76" s="569"/>
      <c r="G76" s="569"/>
      <c r="H76" s="570"/>
      <c r="I76" s="570"/>
      <c r="J76" s="570"/>
      <c r="K76" s="570"/>
      <c r="L76" s="570"/>
      <c r="M76" s="571"/>
      <c r="N76" s="1153"/>
      <c r="O76" s="1153"/>
      <c r="P76" s="2685"/>
      <c r="Q76" s="558"/>
    </row>
    <row r="77" spans="1:17">
      <c r="A77" s="526" t="s">
        <v>2563</v>
      </c>
      <c r="B77" s="527" t="s">
        <v>2701</v>
      </c>
      <c r="C77" s="572" t="s">
        <v>2601</v>
      </c>
      <c r="D77" s="572" t="s">
        <v>2602</v>
      </c>
      <c r="E77" s="572" t="s">
        <v>2603</v>
      </c>
      <c r="F77" s="572" t="s">
        <v>2604</v>
      </c>
      <c r="G77" s="572" t="s">
        <v>2605</v>
      </c>
      <c r="H77" s="528"/>
      <c r="I77" s="528"/>
      <c r="J77" s="528"/>
      <c r="K77" s="573"/>
      <c r="L77" s="574"/>
      <c r="M77" s="575"/>
      <c r="N77" s="1151"/>
      <c r="O77" s="1151"/>
      <c r="P77" s="2688"/>
      <c r="Q77" s="503"/>
    </row>
    <row r="78" spans="1:17" ht="15.75" thickBot="1">
      <c r="A78" s="533"/>
      <c r="B78" s="542"/>
      <c r="C78" s="543">
        <v>100</v>
      </c>
      <c r="D78" s="543">
        <f>C78-$K15</f>
        <v>97</v>
      </c>
      <c r="E78" s="543">
        <f>D78-$K15</f>
        <v>94</v>
      </c>
      <c r="F78" s="543">
        <f>E78-$K15</f>
        <v>91</v>
      </c>
      <c r="G78" s="543">
        <f>F78-$K15</f>
        <v>88</v>
      </c>
      <c r="H78" s="543"/>
      <c r="I78" s="543"/>
      <c r="J78" s="543"/>
      <c r="K78" s="543"/>
      <c r="L78" s="543"/>
      <c r="M78" s="544"/>
      <c r="N78" s="1152"/>
      <c r="O78" s="1152"/>
      <c r="P78" s="2684"/>
      <c r="Q78" s="503"/>
    </row>
    <row r="79" spans="1:17" ht="15.75" thickTop="1">
      <c r="A79" s="533"/>
      <c r="B79" s="537" t="s">
        <v>2606</v>
      </c>
      <c r="C79" s="577" t="s">
        <v>2601</v>
      </c>
      <c r="D79" s="577" t="s">
        <v>2602</v>
      </c>
      <c r="E79" s="577" t="s">
        <v>2603</v>
      </c>
      <c r="F79" s="577" t="s">
        <v>2604</v>
      </c>
      <c r="G79" s="577" t="s">
        <v>2605</v>
      </c>
      <c r="H79" s="538"/>
      <c r="I79" s="538"/>
      <c r="J79" s="538"/>
      <c r="K79" s="539"/>
      <c r="L79" s="540"/>
      <c r="M79" s="541"/>
      <c r="N79" s="1151"/>
      <c r="O79" s="1151"/>
      <c r="P79" s="2684"/>
      <c r="Q79" s="503"/>
    </row>
    <row r="80" spans="1:17" ht="15.75" thickBot="1">
      <c r="A80" s="533"/>
      <c r="B80" s="542"/>
      <c r="C80" s="543">
        <v>100</v>
      </c>
      <c r="D80" s="543">
        <f>C80-$K17</f>
        <v>97</v>
      </c>
      <c r="E80" s="543">
        <f>D80-$K17</f>
        <v>94</v>
      </c>
      <c r="F80" s="543">
        <f>E80-$K17</f>
        <v>91</v>
      </c>
      <c r="G80" s="543">
        <f>F80-$K17</f>
        <v>88</v>
      </c>
      <c r="H80" s="543"/>
      <c r="I80" s="543"/>
      <c r="J80" s="543"/>
      <c r="K80" s="543"/>
      <c r="L80" s="543"/>
      <c r="M80" s="544"/>
      <c r="N80" s="1152"/>
      <c r="O80" s="1152"/>
      <c r="P80" s="2684"/>
      <c r="Q80" s="503"/>
    </row>
    <row r="81" spans="1:17" ht="15.75" thickTop="1">
      <c r="A81" s="533"/>
      <c r="B81" s="537" t="s">
        <v>2607</v>
      </c>
      <c r="C81" s="577" t="s">
        <v>2601</v>
      </c>
      <c r="D81" s="577" t="s">
        <v>2602</v>
      </c>
      <c r="E81" s="577" t="s">
        <v>2603</v>
      </c>
      <c r="F81" s="577" t="s">
        <v>2604</v>
      </c>
      <c r="G81" s="577" t="s">
        <v>2605</v>
      </c>
      <c r="H81" s="538"/>
      <c r="I81" s="538"/>
      <c r="J81" s="538"/>
      <c r="K81" s="539"/>
      <c r="L81" s="540"/>
      <c r="M81" s="541"/>
      <c r="N81" s="1151"/>
      <c r="O81" s="1151"/>
      <c r="P81" s="2684"/>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84"/>
      <c r="Q82" s="503"/>
    </row>
    <row r="83" spans="1:17" ht="15.75" thickTop="1">
      <c r="A83" s="533"/>
      <c r="B83" s="545" t="s">
        <v>2693</v>
      </c>
      <c r="C83" s="659" t="s">
        <v>2679</v>
      </c>
      <c r="D83" s="659" t="s">
        <v>2680</v>
      </c>
      <c r="E83" s="659" t="s">
        <v>2681</v>
      </c>
      <c r="F83" s="659" t="s">
        <v>2682</v>
      </c>
      <c r="G83" s="659" t="s">
        <v>2683</v>
      </c>
      <c r="H83" s="538"/>
      <c r="I83" s="538"/>
      <c r="J83" s="538"/>
      <c r="K83" s="538"/>
      <c r="L83" s="538"/>
      <c r="M83" s="1381"/>
      <c r="N83" s="1152"/>
      <c r="O83" s="1152"/>
      <c r="P83" s="2684"/>
      <c r="Q83" s="503"/>
    </row>
    <row r="84" spans="1:17" ht="15.75" thickBot="1">
      <c r="A84" s="533"/>
      <c r="B84" s="545"/>
      <c r="C84" s="543">
        <v>100</v>
      </c>
      <c r="D84" s="543">
        <f>C84-$K21</f>
        <v>98</v>
      </c>
      <c r="E84" s="543">
        <f>D84-$K21</f>
        <v>96</v>
      </c>
      <c r="F84" s="543">
        <f>E84-$K21</f>
        <v>94</v>
      </c>
      <c r="G84" s="543">
        <f>F84-$K21</f>
        <v>92</v>
      </c>
      <c r="H84" s="659"/>
      <c r="I84" s="659"/>
      <c r="J84" s="659"/>
      <c r="K84" s="659"/>
      <c r="L84" s="659"/>
      <c r="M84" s="449"/>
      <c r="N84" s="1152"/>
      <c r="O84" s="1152"/>
      <c r="P84" s="2684"/>
      <c r="Q84" s="503"/>
    </row>
    <row r="85" spans="1:17" ht="15.75" thickTop="1">
      <c r="A85" s="533"/>
      <c r="B85" s="537" t="s">
        <v>2702</v>
      </c>
      <c r="C85" s="577" t="s">
        <v>2601</v>
      </c>
      <c r="D85" s="577" t="s">
        <v>2602</v>
      </c>
      <c r="E85" s="577" t="s">
        <v>2603</v>
      </c>
      <c r="F85" s="577" t="s">
        <v>2604</v>
      </c>
      <c r="G85" s="577" t="s">
        <v>2605</v>
      </c>
      <c r="H85" s="538"/>
      <c r="I85" s="538"/>
      <c r="J85" s="538"/>
      <c r="K85" s="539"/>
      <c r="L85" s="540"/>
      <c r="M85" s="541"/>
      <c r="N85" s="1151"/>
      <c r="O85" s="1151"/>
      <c r="P85" s="2684"/>
      <c r="Q85" s="503"/>
    </row>
    <row r="86" spans="1:17" ht="15.75" thickBot="1">
      <c r="A86" s="533"/>
      <c r="B86" s="542"/>
      <c r="C86" s="543">
        <v>100</v>
      </c>
      <c r="D86" s="543">
        <f>C86-$K23</f>
        <v>97</v>
      </c>
      <c r="E86" s="543">
        <f>D86-$K23</f>
        <v>94</v>
      </c>
      <c r="F86" s="543">
        <f>E86-$K23</f>
        <v>91</v>
      </c>
      <c r="G86" s="543">
        <f>F86-$K23</f>
        <v>88</v>
      </c>
      <c r="H86" s="543"/>
      <c r="I86" s="543"/>
      <c r="J86" s="543"/>
      <c r="K86" s="543"/>
      <c r="L86" s="543"/>
      <c r="M86" s="544"/>
      <c r="N86" s="1152"/>
      <c r="O86" s="1152"/>
      <c r="P86" s="2684"/>
      <c r="Q86" s="503"/>
    </row>
    <row r="87" spans="1:17" s="116" customFormat="1" ht="27.75" thickTop="1">
      <c r="A87" s="578"/>
      <c r="B87" s="537" t="s">
        <v>2703</v>
      </c>
      <c r="C87" s="2972" t="s">
        <v>3072</v>
      </c>
      <c r="D87" s="2972" t="s">
        <v>3073</v>
      </c>
      <c r="E87" s="2972" t="s">
        <v>3074</v>
      </c>
      <c r="F87" s="2972" t="s">
        <v>3075</v>
      </c>
      <c r="G87" s="2972" t="s">
        <v>3076</v>
      </c>
      <c r="H87" s="553"/>
      <c r="I87" s="553"/>
      <c r="J87" s="553"/>
      <c r="K87" s="553"/>
      <c r="L87" s="579"/>
      <c r="M87" s="580"/>
      <c r="N87" s="1150"/>
      <c r="O87" s="1150"/>
      <c r="P87" s="2684"/>
      <c r="Q87" s="503"/>
    </row>
    <row r="88" spans="1:17" s="116" customFormat="1" ht="15.75" thickBot="1">
      <c r="A88" s="578"/>
      <c r="B88" s="542"/>
      <c r="C88" s="581">
        <v>100</v>
      </c>
      <c r="D88" s="543">
        <f t="shared" ref="D88:M88" si="19">C88-$K25</f>
        <v>98</v>
      </c>
      <c r="E88" s="543">
        <f t="shared" si="19"/>
        <v>96</v>
      </c>
      <c r="F88" s="543">
        <f t="shared" si="19"/>
        <v>94</v>
      </c>
      <c r="G88" s="543">
        <f t="shared" si="19"/>
        <v>92</v>
      </c>
      <c r="H88" s="543">
        <f t="shared" si="19"/>
        <v>90</v>
      </c>
      <c r="I88" s="543">
        <f t="shared" si="19"/>
        <v>88</v>
      </c>
      <c r="J88" s="543">
        <f t="shared" si="19"/>
        <v>86</v>
      </c>
      <c r="K88" s="543">
        <f t="shared" si="19"/>
        <v>84</v>
      </c>
      <c r="L88" s="543">
        <f t="shared" si="19"/>
        <v>82</v>
      </c>
      <c r="M88" s="543">
        <f t="shared" si="19"/>
        <v>80</v>
      </c>
      <c r="N88" s="1152"/>
      <c r="O88" s="1152"/>
      <c r="P88" s="2684"/>
      <c r="Q88" s="503"/>
    </row>
    <row r="89" spans="1:17" s="116" customFormat="1" ht="15.75" thickTop="1">
      <c r="A89" s="578"/>
      <c r="B89" s="537" t="str">
        <f>B27</f>
        <v>楼层</v>
      </c>
      <c r="C89" s="2972" t="s">
        <v>3077</v>
      </c>
      <c r="D89" s="2972" t="s">
        <v>3078</v>
      </c>
      <c r="E89" s="2972" t="s">
        <v>3079</v>
      </c>
      <c r="F89" s="2972"/>
      <c r="G89" s="553"/>
      <c r="H89" s="553"/>
      <c r="I89" s="553"/>
      <c r="J89" s="553"/>
      <c r="K89" s="553"/>
      <c r="L89" s="553"/>
      <c r="M89" s="580"/>
      <c r="N89" s="1150"/>
      <c r="O89" s="1150"/>
      <c r="P89" s="2684"/>
      <c r="Q89" s="503"/>
    </row>
    <row r="90" spans="1:17" s="116" customFormat="1" ht="15.75" thickBot="1">
      <c r="A90" s="578"/>
      <c r="B90" s="542"/>
      <c r="C90" s="581">
        <v>100</v>
      </c>
      <c r="D90" s="543">
        <f>C90-$K27</f>
        <v>98</v>
      </c>
      <c r="E90" s="543">
        <f t="shared" ref="E90:M90" si="20">D90-$K27</f>
        <v>96</v>
      </c>
      <c r="F90" s="543">
        <f t="shared" si="20"/>
        <v>94</v>
      </c>
      <c r="G90" s="543">
        <f t="shared" si="20"/>
        <v>92</v>
      </c>
      <c r="H90" s="543">
        <f t="shared" si="20"/>
        <v>90</v>
      </c>
      <c r="I90" s="543">
        <f t="shared" si="20"/>
        <v>88</v>
      </c>
      <c r="J90" s="543">
        <f t="shared" si="20"/>
        <v>86</v>
      </c>
      <c r="K90" s="543">
        <f t="shared" si="20"/>
        <v>84</v>
      </c>
      <c r="L90" s="543">
        <f t="shared" si="20"/>
        <v>82</v>
      </c>
      <c r="M90" s="543">
        <f t="shared" si="20"/>
        <v>80</v>
      </c>
      <c r="N90" s="1152"/>
      <c r="O90" s="1152"/>
      <c r="P90" s="2684"/>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85"/>
      <c r="Q91" s="558"/>
    </row>
    <row r="92" spans="1:17" s="470" customFormat="1" ht="15.75" thickBot="1">
      <c r="A92" s="552"/>
      <c r="B92" s="542"/>
      <c r="C92" s="581">
        <v>100</v>
      </c>
      <c r="D92" s="543">
        <f t="shared" ref="D92:M92" si="21">C92-$K28</f>
        <v>98</v>
      </c>
      <c r="E92" s="543">
        <f t="shared" si="21"/>
        <v>96</v>
      </c>
      <c r="F92" s="543">
        <f t="shared" si="21"/>
        <v>94</v>
      </c>
      <c r="G92" s="543">
        <f t="shared" si="21"/>
        <v>92</v>
      </c>
      <c r="H92" s="543">
        <f t="shared" si="21"/>
        <v>90</v>
      </c>
      <c r="I92" s="543">
        <f t="shared" si="21"/>
        <v>88</v>
      </c>
      <c r="J92" s="543">
        <f t="shared" si="21"/>
        <v>86</v>
      </c>
      <c r="K92" s="543">
        <f t="shared" si="21"/>
        <v>84</v>
      </c>
      <c r="L92" s="543">
        <f t="shared" si="21"/>
        <v>82</v>
      </c>
      <c r="M92" s="543">
        <f t="shared" si="21"/>
        <v>80</v>
      </c>
      <c r="N92" s="1153"/>
      <c r="O92" s="1153"/>
      <c r="P92" s="2685"/>
      <c r="Q92" s="558"/>
    </row>
    <row r="93" spans="1:17" ht="15.75" thickTop="1">
      <c r="A93" s="533"/>
      <c r="B93" s="537">
        <f>B29</f>
        <v>111</v>
      </c>
      <c r="C93" s="553"/>
      <c r="D93" s="553"/>
      <c r="E93" s="553"/>
      <c r="F93" s="553"/>
      <c r="G93" s="553"/>
      <c r="H93" s="553"/>
      <c r="I93" s="553"/>
      <c r="J93" s="553"/>
      <c r="K93" s="553"/>
      <c r="L93" s="579"/>
      <c r="M93" s="580"/>
      <c r="N93" s="1151"/>
      <c r="O93" s="1151"/>
      <c r="P93" s="2684"/>
      <c r="Q93" s="503"/>
    </row>
    <row r="94" spans="1:17" ht="15.75" thickBot="1">
      <c r="A94" s="533"/>
      <c r="B94" s="542"/>
      <c r="C94" s="559"/>
      <c r="D94" s="535"/>
      <c r="E94" s="535"/>
      <c r="F94" s="535"/>
      <c r="G94" s="535"/>
      <c r="H94" s="535"/>
      <c r="I94" s="535"/>
      <c r="J94" s="535"/>
      <c r="K94" s="535"/>
      <c r="L94" s="535"/>
      <c r="M94" s="536"/>
      <c r="N94" s="1152"/>
      <c r="O94" s="1152"/>
      <c r="P94" s="2684"/>
      <c r="Q94" s="503"/>
    </row>
    <row r="95" spans="1:17" ht="15.75" thickTop="1">
      <c r="A95" s="533"/>
      <c r="B95" s="537">
        <f>B30</f>
        <v>111</v>
      </c>
      <c r="C95" s="553"/>
      <c r="D95" s="553"/>
      <c r="E95" s="553"/>
      <c r="F95" s="553"/>
      <c r="G95" s="582"/>
      <c r="H95" s="582"/>
      <c r="I95" s="582"/>
      <c r="J95" s="582"/>
      <c r="K95" s="583"/>
      <c r="L95" s="584"/>
      <c r="M95" s="585"/>
      <c r="N95" s="1151"/>
      <c r="O95" s="1151"/>
      <c r="P95" s="2684"/>
      <c r="Q95" s="503"/>
    </row>
    <row r="96" spans="1:17" ht="15.75" thickBot="1">
      <c r="A96" s="533"/>
      <c r="B96" s="542"/>
      <c r="C96" s="559"/>
      <c r="D96" s="559"/>
      <c r="E96" s="559"/>
      <c r="F96" s="559"/>
      <c r="G96" s="535"/>
      <c r="H96" s="535"/>
      <c r="I96" s="535"/>
      <c r="J96" s="535"/>
      <c r="K96" s="535"/>
      <c r="L96" s="535"/>
      <c r="M96" s="536"/>
      <c r="N96" s="1152"/>
      <c r="O96" s="1152"/>
      <c r="P96" s="2684"/>
      <c r="Q96" s="503"/>
    </row>
    <row r="97" spans="1:17" ht="15.75" thickTop="1">
      <c r="A97" s="533"/>
      <c r="B97" s="537">
        <f>B31</f>
        <v>111</v>
      </c>
      <c r="C97" s="553"/>
      <c r="D97" s="553"/>
      <c r="E97" s="553"/>
      <c r="F97" s="553"/>
      <c r="G97" s="582"/>
      <c r="H97" s="582"/>
      <c r="I97" s="582"/>
      <c r="J97" s="582"/>
      <c r="K97" s="583"/>
      <c r="L97" s="584"/>
      <c r="M97" s="585"/>
      <c r="N97" s="1151"/>
      <c r="O97" s="1151"/>
      <c r="P97" s="2684"/>
      <c r="Q97" s="503"/>
    </row>
    <row r="98" spans="1:17" ht="15.75" thickBot="1">
      <c r="A98" s="533"/>
      <c r="B98" s="542"/>
      <c r="C98" s="559"/>
      <c r="D98" s="535"/>
      <c r="E98" s="535"/>
      <c r="F98" s="535"/>
      <c r="G98" s="535"/>
      <c r="H98" s="535"/>
      <c r="I98" s="535"/>
      <c r="J98" s="535"/>
      <c r="K98" s="535"/>
      <c r="L98" s="535"/>
      <c r="M98" s="536"/>
      <c r="N98" s="1152"/>
      <c r="O98" s="1152"/>
      <c r="P98" s="2684"/>
      <c r="Q98" s="503"/>
    </row>
    <row r="99" spans="1:17" ht="15.75" thickTop="1">
      <c r="A99" s="533"/>
      <c r="B99" s="545">
        <f>B32</f>
        <v>111</v>
      </c>
      <c r="C99" s="522"/>
      <c r="D99" s="522"/>
      <c r="E99" s="522"/>
      <c r="F99" s="522"/>
      <c r="G99" s="586"/>
      <c r="H99" s="586"/>
      <c r="I99" s="586"/>
      <c r="J99" s="586"/>
      <c r="K99" s="587"/>
      <c r="L99" s="588"/>
      <c r="M99" s="589"/>
      <c r="N99" s="1151"/>
      <c r="O99" s="1151"/>
      <c r="P99" s="2684"/>
      <c r="Q99" s="503"/>
    </row>
    <row r="100" spans="1:17" ht="15.75" thickBot="1">
      <c r="A100" s="2636"/>
      <c r="B100" s="568"/>
      <c r="C100" s="569"/>
      <c r="D100" s="569"/>
      <c r="E100" s="569"/>
      <c r="F100" s="569"/>
      <c r="G100" s="590"/>
      <c r="H100" s="590"/>
      <c r="I100" s="590"/>
      <c r="J100" s="590"/>
      <c r="K100" s="590"/>
      <c r="L100" s="590"/>
      <c r="M100" s="591"/>
      <c r="N100" s="1152"/>
      <c r="O100" s="1152"/>
      <c r="P100" s="2684"/>
      <c r="Q100" s="503"/>
    </row>
    <row r="101" spans="1:17">
      <c r="A101" s="526" t="s">
        <v>2567</v>
      </c>
      <c r="B101" s="527" t="s">
        <v>2616</v>
      </c>
      <c r="C101" s="2973" t="s">
        <v>3080</v>
      </c>
      <c r="D101" s="2973" t="s">
        <v>3081</v>
      </c>
      <c r="E101" s="529"/>
      <c r="F101" s="529"/>
      <c r="G101" s="529"/>
      <c r="H101" s="529"/>
      <c r="I101" s="529"/>
      <c r="J101" s="529"/>
      <c r="K101" s="530"/>
      <c r="L101" s="531"/>
      <c r="M101" s="532"/>
      <c r="N101" s="1151"/>
      <c r="O101" s="1151"/>
      <c r="P101" s="2684"/>
      <c r="Q101" s="503"/>
    </row>
    <row r="102" spans="1:17" ht="15.75" thickBot="1">
      <c r="A102" s="533"/>
      <c r="B102" s="542"/>
      <c r="C102" s="543">
        <v>100</v>
      </c>
      <c r="D102" s="543">
        <f t="shared" ref="D102:M102" si="22">C102-$K33</f>
        <v>99</v>
      </c>
      <c r="E102" s="543">
        <f t="shared" si="22"/>
        <v>98</v>
      </c>
      <c r="F102" s="543">
        <f t="shared" si="22"/>
        <v>97</v>
      </c>
      <c r="G102" s="543">
        <f t="shared" si="22"/>
        <v>96</v>
      </c>
      <c r="H102" s="543">
        <f t="shared" si="22"/>
        <v>95</v>
      </c>
      <c r="I102" s="543">
        <f t="shared" si="22"/>
        <v>94</v>
      </c>
      <c r="J102" s="543">
        <f t="shared" si="22"/>
        <v>93</v>
      </c>
      <c r="K102" s="543">
        <f t="shared" si="22"/>
        <v>92</v>
      </c>
      <c r="L102" s="543">
        <f t="shared" si="22"/>
        <v>91</v>
      </c>
      <c r="M102" s="544">
        <f t="shared" si="22"/>
        <v>90</v>
      </c>
      <c r="N102" s="1152"/>
      <c r="O102" s="1152"/>
      <c r="P102" s="2684"/>
      <c r="Q102" s="503"/>
    </row>
    <row r="103" spans="1:17" ht="29.25" thickTop="1">
      <c r="A103" s="533"/>
      <c r="B103" s="537" t="s">
        <v>2617</v>
      </c>
      <c r="C103" s="577" t="str">
        <f>C104&amp;"(含)"&amp;"-"&amp;D104</f>
        <v>0(含)-200</v>
      </c>
      <c r="D103" s="577" t="str">
        <f t="shared" ref="D103:L103" si="23">D104&amp;"(含)"&amp;"-"&amp;E104</f>
        <v>200(含)-400</v>
      </c>
      <c r="E103" s="577" t="str">
        <f t="shared" si="23"/>
        <v>400(含)-600</v>
      </c>
      <c r="F103" s="577" t="str">
        <f t="shared" si="23"/>
        <v>600(含)-800</v>
      </c>
      <c r="G103" s="577" t="str">
        <f t="shared" si="23"/>
        <v>800(含)-1000</v>
      </c>
      <c r="H103" s="577" t="str">
        <f t="shared" si="23"/>
        <v>1000(含)-2000</v>
      </c>
      <c r="I103" s="577" t="str">
        <f t="shared" si="23"/>
        <v>2000(含)-5000</v>
      </c>
      <c r="J103" s="577" t="str">
        <f t="shared" si="23"/>
        <v>5000(含)-10000</v>
      </c>
      <c r="K103" s="577" t="str">
        <f t="shared" si="23"/>
        <v>10000(含)-20000</v>
      </c>
      <c r="L103" s="577" t="str">
        <f t="shared" si="23"/>
        <v>20000(含)-</v>
      </c>
      <c r="M103" s="621" t="str">
        <f>M104&amp;"(含)"&amp;"-"&amp;P104</f>
        <v>(含)-</v>
      </c>
      <c r="N103" s="1150"/>
      <c r="O103" s="1150"/>
      <c r="P103" s="2684"/>
      <c r="Q103" s="503"/>
    </row>
    <row r="104" spans="1:17" s="470" customFormat="1">
      <c r="A104" s="592"/>
      <c r="B104" s="593"/>
      <c r="C104" s="594">
        <v>0</v>
      </c>
      <c r="D104" s="594">
        <v>200</v>
      </c>
      <c r="E104" s="594">
        <v>400</v>
      </c>
      <c r="F104" s="594">
        <v>600</v>
      </c>
      <c r="G104" s="594">
        <v>800</v>
      </c>
      <c r="H104" s="594">
        <v>1000</v>
      </c>
      <c r="I104" s="594">
        <v>2000</v>
      </c>
      <c r="J104" s="595">
        <v>5000</v>
      </c>
      <c r="K104" s="595">
        <v>10000</v>
      </c>
      <c r="L104" s="596">
        <v>20000</v>
      </c>
      <c r="M104" s="597"/>
      <c r="N104" s="1153"/>
      <c r="O104" s="1153"/>
      <c r="P104" s="2685"/>
      <c r="Q104" s="558"/>
    </row>
    <row r="105" spans="1:17" s="470" customFormat="1" ht="15.75" thickBot="1">
      <c r="A105" s="552"/>
      <c r="B105" s="542"/>
      <c r="C105" s="559">
        <v>98</v>
      </c>
      <c r="D105" s="535">
        <v>99</v>
      </c>
      <c r="E105" s="535">
        <v>100</v>
      </c>
      <c r="F105" s="535">
        <v>99</v>
      </c>
      <c r="G105" s="535">
        <v>98</v>
      </c>
      <c r="H105" s="535">
        <v>97</v>
      </c>
      <c r="I105" s="535">
        <v>96</v>
      </c>
      <c r="J105" s="535">
        <v>95</v>
      </c>
      <c r="K105" s="535">
        <v>94</v>
      </c>
      <c r="L105" s="535">
        <v>93</v>
      </c>
      <c r="M105" s="536"/>
      <c r="N105" s="1152"/>
      <c r="O105" s="1152"/>
      <c r="P105" s="2685"/>
      <c r="Q105" s="558"/>
    </row>
    <row r="106" spans="1:17" ht="15" thickTop="1">
      <c r="A106" s="598"/>
      <c r="B106" s="537" t="s">
        <v>2618</v>
      </c>
      <c r="C106" s="2972" t="s">
        <v>3082</v>
      </c>
      <c r="D106" s="2972" t="s">
        <v>3083</v>
      </c>
      <c r="E106" s="2974" t="s">
        <v>3084</v>
      </c>
      <c r="F106" s="582"/>
      <c r="G106" s="582"/>
      <c r="H106" s="582"/>
      <c r="I106" s="582"/>
      <c r="J106" s="582"/>
      <c r="K106" s="583"/>
      <c r="L106" s="584"/>
      <c r="M106" s="585"/>
      <c r="N106" s="1151"/>
      <c r="O106" s="1151"/>
      <c r="P106" s="2684"/>
      <c r="Q106" s="503"/>
    </row>
    <row r="107" spans="1:17" ht="15.75" thickBot="1">
      <c r="A107" s="533"/>
      <c r="B107" s="542"/>
      <c r="C107" s="543">
        <v>100</v>
      </c>
      <c r="D107" s="543">
        <f t="shared" ref="D107:M107" si="24">C107-$K35</f>
        <v>98</v>
      </c>
      <c r="E107" s="543">
        <f t="shared" si="24"/>
        <v>96</v>
      </c>
      <c r="F107" s="543">
        <f t="shared" si="24"/>
        <v>94</v>
      </c>
      <c r="G107" s="543">
        <f t="shared" si="24"/>
        <v>92</v>
      </c>
      <c r="H107" s="543">
        <f t="shared" si="24"/>
        <v>90</v>
      </c>
      <c r="I107" s="543">
        <f t="shared" si="24"/>
        <v>88</v>
      </c>
      <c r="J107" s="543">
        <f t="shared" si="24"/>
        <v>86</v>
      </c>
      <c r="K107" s="543">
        <f t="shared" si="24"/>
        <v>84</v>
      </c>
      <c r="L107" s="543">
        <f t="shared" si="24"/>
        <v>82</v>
      </c>
      <c r="M107" s="544">
        <f t="shared" si="24"/>
        <v>80</v>
      </c>
      <c r="N107" s="1152"/>
      <c r="O107" s="1152"/>
      <c r="P107" s="2684"/>
      <c r="Q107" s="503"/>
    </row>
    <row r="108" spans="1:17" ht="15" thickTop="1">
      <c r="A108" s="598"/>
      <c r="B108" s="537" t="s">
        <v>2620</v>
      </c>
      <c r="C108" s="2972" t="s">
        <v>3085</v>
      </c>
      <c r="D108" s="2972" t="s">
        <v>3086</v>
      </c>
      <c r="E108" s="2972" t="s">
        <v>3087</v>
      </c>
      <c r="F108" s="2974" t="s">
        <v>3088</v>
      </c>
      <c r="G108" s="582"/>
      <c r="H108" s="582"/>
      <c r="I108" s="582"/>
      <c r="J108" s="582"/>
      <c r="K108" s="583"/>
      <c r="L108" s="584"/>
      <c r="M108" s="585"/>
      <c r="N108" s="1151"/>
      <c r="O108" s="1151"/>
      <c r="P108" s="2684"/>
      <c r="Q108" s="503"/>
    </row>
    <row r="109" spans="1:17" ht="15.75" thickBot="1">
      <c r="A109" s="533"/>
      <c r="B109" s="542"/>
      <c r="C109" s="543">
        <v>100</v>
      </c>
      <c r="D109" s="543">
        <f t="shared" ref="D109:M109" si="25">C109-$K36</f>
        <v>97</v>
      </c>
      <c r="E109" s="543">
        <f t="shared" si="25"/>
        <v>94</v>
      </c>
      <c r="F109" s="543">
        <f t="shared" si="25"/>
        <v>91</v>
      </c>
      <c r="G109" s="543">
        <f t="shared" si="25"/>
        <v>88</v>
      </c>
      <c r="H109" s="543">
        <f t="shared" si="25"/>
        <v>85</v>
      </c>
      <c r="I109" s="543">
        <f t="shared" si="25"/>
        <v>82</v>
      </c>
      <c r="J109" s="543">
        <f t="shared" si="25"/>
        <v>79</v>
      </c>
      <c r="K109" s="543">
        <f t="shared" si="25"/>
        <v>76</v>
      </c>
      <c r="L109" s="543">
        <f t="shared" si="25"/>
        <v>73</v>
      </c>
      <c r="M109" s="544">
        <f t="shared" si="25"/>
        <v>70</v>
      </c>
      <c r="N109" s="1152"/>
      <c r="O109" s="1152"/>
      <c r="P109" s="2684"/>
      <c r="Q109" s="503"/>
    </row>
    <row r="110" spans="1:17" ht="15" thickTop="1">
      <c r="A110" s="598"/>
      <c r="B110" s="537" t="s">
        <v>1998</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84"/>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84"/>
      <c r="Q111" s="503"/>
    </row>
    <row r="112" spans="1:17" ht="15.75" thickBot="1">
      <c r="A112" s="533"/>
      <c r="B112" s="542"/>
      <c r="C112" s="581">
        <v>100</v>
      </c>
      <c r="D112" s="543">
        <f>C112+$K37</f>
        <v>102</v>
      </c>
      <c r="E112" s="543">
        <f t="shared" ref="E112:M112" si="26">D112+$K37</f>
        <v>104</v>
      </c>
      <c r="F112" s="543">
        <f t="shared" si="26"/>
        <v>106</v>
      </c>
      <c r="G112" s="543">
        <f t="shared" si="26"/>
        <v>108</v>
      </c>
      <c r="H112" s="543">
        <f t="shared" si="26"/>
        <v>110</v>
      </c>
      <c r="I112" s="543">
        <f t="shared" si="26"/>
        <v>112</v>
      </c>
      <c r="J112" s="543">
        <f t="shared" si="26"/>
        <v>114</v>
      </c>
      <c r="K112" s="543">
        <f t="shared" si="26"/>
        <v>116</v>
      </c>
      <c r="L112" s="543">
        <f t="shared" si="26"/>
        <v>118</v>
      </c>
      <c r="M112" s="543">
        <f t="shared" si="26"/>
        <v>120</v>
      </c>
      <c r="N112" s="1152"/>
      <c r="O112" s="1152"/>
      <c r="P112" s="2684"/>
      <c r="Q112" s="503"/>
    </row>
    <row r="113" spans="1:17" s="470" customFormat="1" ht="15" thickTop="1">
      <c r="A113" s="592"/>
      <c r="B113" s="537" t="s">
        <v>2704</v>
      </c>
      <c r="C113" s="2972" t="s">
        <v>3089</v>
      </c>
      <c r="D113" s="2972" t="s">
        <v>3090</v>
      </c>
      <c r="E113" s="2972" t="s">
        <v>3091</v>
      </c>
      <c r="F113" s="553"/>
      <c r="G113" s="553"/>
      <c r="H113" s="582"/>
      <c r="I113" s="582"/>
      <c r="J113" s="582"/>
      <c r="K113" s="583"/>
      <c r="L113" s="584"/>
      <c r="M113" s="585"/>
      <c r="N113" s="1153"/>
      <c r="O113" s="1153"/>
      <c r="P113" s="2685"/>
      <c r="Q113" s="558"/>
    </row>
    <row r="114" spans="1:17" s="470" customFormat="1" ht="15.75" thickBot="1">
      <c r="A114" s="552"/>
      <c r="B114" s="542"/>
      <c r="C114" s="543">
        <v>100</v>
      </c>
      <c r="D114" s="543">
        <f>C114-$K38</f>
        <v>97</v>
      </c>
      <c r="E114" s="543">
        <f t="shared" ref="E114:M114" si="27">D114-$K38</f>
        <v>94</v>
      </c>
      <c r="F114" s="543">
        <f t="shared" si="27"/>
        <v>91</v>
      </c>
      <c r="G114" s="543">
        <f t="shared" si="27"/>
        <v>88</v>
      </c>
      <c r="H114" s="543">
        <f t="shared" si="27"/>
        <v>85</v>
      </c>
      <c r="I114" s="543">
        <f t="shared" si="27"/>
        <v>82</v>
      </c>
      <c r="J114" s="543">
        <f t="shared" si="27"/>
        <v>79</v>
      </c>
      <c r="K114" s="543">
        <f t="shared" si="27"/>
        <v>76</v>
      </c>
      <c r="L114" s="543">
        <f t="shared" si="27"/>
        <v>73</v>
      </c>
      <c r="M114" s="543">
        <f t="shared" si="27"/>
        <v>70</v>
      </c>
      <c r="N114" s="1153"/>
      <c r="O114" s="1153"/>
      <c r="P114" s="2685"/>
      <c r="Q114" s="558"/>
    </row>
    <row r="115" spans="1:17" ht="15" thickTop="1">
      <c r="A115" s="598"/>
      <c r="B115" s="537" t="s">
        <v>2621</v>
      </c>
      <c r="C115" s="2972" t="s">
        <v>3092</v>
      </c>
      <c r="D115" s="2972" t="s">
        <v>3093</v>
      </c>
      <c r="E115" s="582"/>
      <c r="F115" s="582"/>
      <c r="G115" s="582"/>
      <c r="H115" s="582"/>
      <c r="I115" s="582"/>
      <c r="J115" s="582"/>
      <c r="K115" s="583"/>
      <c r="L115" s="584"/>
      <c r="M115" s="585"/>
      <c r="N115" s="1151"/>
      <c r="O115" s="1151"/>
      <c r="P115" s="2684"/>
      <c r="Q115" s="503"/>
    </row>
    <row r="116" spans="1:17" ht="15.75" thickBot="1">
      <c r="A116" s="533"/>
      <c r="B116" s="542"/>
      <c r="C116" s="543">
        <v>100</v>
      </c>
      <c r="D116" s="543">
        <f t="shared" ref="D116:M116" si="28">C116-$K39</f>
        <v>97</v>
      </c>
      <c r="E116" s="543">
        <f t="shared" si="28"/>
        <v>94</v>
      </c>
      <c r="F116" s="543">
        <f t="shared" si="28"/>
        <v>91</v>
      </c>
      <c r="G116" s="543">
        <f t="shared" si="28"/>
        <v>88</v>
      </c>
      <c r="H116" s="543">
        <f t="shared" si="28"/>
        <v>85</v>
      </c>
      <c r="I116" s="543">
        <f t="shared" si="28"/>
        <v>82</v>
      </c>
      <c r="J116" s="543">
        <f t="shared" si="28"/>
        <v>79</v>
      </c>
      <c r="K116" s="543">
        <f t="shared" si="28"/>
        <v>76</v>
      </c>
      <c r="L116" s="543">
        <f t="shared" si="28"/>
        <v>73</v>
      </c>
      <c r="M116" s="544">
        <f t="shared" si="28"/>
        <v>70</v>
      </c>
      <c r="N116" s="1152"/>
      <c r="O116" s="1152"/>
      <c r="P116" s="2684"/>
      <c r="Q116" s="503"/>
    </row>
    <row r="117" spans="1:17" ht="15" thickTop="1">
      <c r="A117" s="598"/>
      <c r="B117" s="537" t="s">
        <v>2622</v>
      </c>
      <c r="C117" s="2972" t="s">
        <v>3094</v>
      </c>
      <c r="D117" s="2972" t="s">
        <v>3095</v>
      </c>
      <c r="E117" s="2972" t="s">
        <v>3096</v>
      </c>
      <c r="F117" s="2972" t="s">
        <v>3097</v>
      </c>
      <c r="G117" s="2972" t="s">
        <v>3098</v>
      </c>
      <c r="H117" s="582"/>
      <c r="I117" s="582"/>
      <c r="J117" s="582"/>
      <c r="K117" s="583"/>
      <c r="L117" s="584"/>
      <c r="M117" s="585"/>
      <c r="N117" s="1151"/>
      <c r="O117" s="1151"/>
      <c r="P117" s="2684"/>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52"/>
      <c r="O118" s="1152"/>
      <c r="P118" s="2684"/>
      <c r="Q118" s="503"/>
    </row>
    <row r="119" spans="1:17" ht="15" thickTop="1">
      <c r="A119" s="598"/>
      <c r="B119" s="635" t="s">
        <v>2705</v>
      </c>
      <c r="C119" s="2974" t="s">
        <v>3099</v>
      </c>
      <c r="D119" s="2974" t="s">
        <v>3100</v>
      </c>
      <c r="E119" s="582"/>
      <c r="F119" s="582"/>
      <c r="G119" s="582"/>
      <c r="H119" s="582"/>
      <c r="I119" s="582"/>
      <c r="J119" s="582"/>
      <c r="K119" s="582"/>
      <c r="L119" s="2689"/>
      <c r="M119" s="2690"/>
      <c r="N119" s="1152"/>
      <c r="O119" s="1152"/>
      <c r="P119" s="2691"/>
      <c r="Q119" s="637"/>
    </row>
    <row r="120" spans="1:17" ht="15.75" thickBot="1">
      <c r="A120" s="533"/>
      <c r="B120" s="542"/>
      <c r="C120" s="581">
        <v>100</v>
      </c>
      <c r="D120" s="543">
        <f>C120-$K41</f>
        <v>98</v>
      </c>
      <c r="E120" s="543">
        <f t="shared" ref="E120:M120" si="29">D120-$K41</f>
        <v>96</v>
      </c>
      <c r="F120" s="543">
        <f t="shared" si="29"/>
        <v>94</v>
      </c>
      <c r="G120" s="543">
        <f t="shared" si="29"/>
        <v>92</v>
      </c>
      <c r="H120" s="543">
        <f t="shared" si="29"/>
        <v>90</v>
      </c>
      <c r="I120" s="543">
        <f t="shared" si="29"/>
        <v>88</v>
      </c>
      <c r="J120" s="543">
        <f t="shared" si="29"/>
        <v>86</v>
      </c>
      <c r="K120" s="543">
        <f t="shared" si="29"/>
        <v>84</v>
      </c>
      <c r="L120" s="543">
        <f t="shared" si="29"/>
        <v>82</v>
      </c>
      <c r="M120" s="543">
        <f t="shared" si="29"/>
        <v>80</v>
      </c>
      <c r="N120" s="1152"/>
      <c r="O120" s="1152"/>
      <c r="P120" s="2684"/>
      <c r="Q120" s="503"/>
    </row>
    <row r="121" spans="1:17" s="470" customFormat="1" ht="15" thickTop="1">
      <c r="A121" s="592"/>
      <c r="B121" s="537" t="s">
        <v>2688</v>
      </c>
      <c r="C121" s="553"/>
      <c r="D121" s="553"/>
      <c r="E121" s="553"/>
      <c r="F121" s="582"/>
      <c r="G121" s="554"/>
      <c r="H121" s="554"/>
      <c r="I121" s="554"/>
      <c r="J121" s="554"/>
      <c r="K121" s="554"/>
      <c r="L121" s="555"/>
      <c r="M121" s="556"/>
      <c r="N121" s="1153"/>
      <c r="O121" s="1153"/>
      <c r="P121" s="2685"/>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85"/>
      <c r="Q122" s="558"/>
    </row>
    <row r="123" spans="1:17" ht="15" thickTop="1">
      <c r="A123" s="598"/>
      <c r="B123" s="537" t="s">
        <v>2624</v>
      </c>
      <c r="C123" s="2972" t="s">
        <v>3085</v>
      </c>
      <c r="D123" s="2972" t="s">
        <v>3086</v>
      </c>
      <c r="E123" s="2972" t="s">
        <v>3087</v>
      </c>
      <c r="F123" s="2974" t="s">
        <v>3088</v>
      </c>
      <c r="G123" s="582"/>
      <c r="H123" s="582"/>
      <c r="I123" s="582"/>
      <c r="J123" s="582"/>
      <c r="K123" s="583"/>
      <c r="L123" s="584"/>
      <c r="M123" s="585"/>
      <c r="N123" s="1151"/>
      <c r="O123" s="1151"/>
      <c r="P123" s="2684"/>
      <c r="Q123" s="503"/>
    </row>
    <row r="124" spans="1:17" ht="15.75" thickBot="1">
      <c r="A124" s="533"/>
      <c r="B124" s="542"/>
      <c r="C124" s="543">
        <v>100</v>
      </c>
      <c r="D124" s="543">
        <f t="shared" ref="D124:M124" si="30">C124-$K43</f>
        <v>99</v>
      </c>
      <c r="E124" s="543">
        <f t="shared" si="30"/>
        <v>98</v>
      </c>
      <c r="F124" s="543">
        <f t="shared" si="30"/>
        <v>97</v>
      </c>
      <c r="G124" s="543">
        <f t="shared" si="30"/>
        <v>96</v>
      </c>
      <c r="H124" s="543">
        <f t="shared" si="30"/>
        <v>95</v>
      </c>
      <c r="I124" s="543">
        <f t="shared" si="30"/>
        <v>94</v>
      </c>
      <c r="J124" s="543">
        <f t="shared" si="30"/>
        <v>93</v>
      </c>
      <c r="K124" s="543">
        <f t="shared" si="30"/>
        <v>92</v>
      </c>
      <c r="L124" s="543">
        <f t="shared" si="30"/>
        <v>91</v>
      </c>
      <c r="M124" s="544">
        <f t="shared" si="30"/>
        <v>90</v>
      </c>
      <c r="N124" s="1152"/>
      <c r="O124" s="1152"/>
      <c r="P124" s="2684"/>
      <c r="Q124" s="503"/>
    </row>
    <row r="125" spans="1:17" ht="15" thickTop="1">
      <c r="A125" s="598"/>
      <c r="B125" s="537" t="s">
        <v>2625</v>
      </c>
      <c r="C125" s="577" t="s">
        <v>2601</v>
      </c>
      <c r="D125" s="577" t="s">
        <v>2602</v>
      </c>
      <c r="E125" s="577" t="s">
        <v>2603</v>
      </c>
      <c r="F125" s="577" t="s">
        <v>2604</v>
      </c>
      <c r="G125" s="577" t="s">
        <v>2605</v>
      </c>
      <c r="H125" s="538"/>
      <c r="I125" s="538"/>
      <c r="J125" s="538"/>
      <c r="K125" s="539"/>
      <c r="L125" s="540"/>
      <c r="M125" s="541"/>
      <c r="N125" s="1151"/>
      <c r="O125" s="1151"/>
      <c r="P125" s="2685"/>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52"/>
      <c r="O126" s="1152"/>
      <c r="P126" s="2684"/>
      <c r="Q126" s="503"/>
    </row>
    <row r="127" spans="1:17" s="470" customFormat="1" ht="15" thickTop="1">
      <c r="A127" s="592"/>
      <c r="B127" s="537" t="str">
        <f>B45</f>
        <v>智能环保系统</v>
      </c>
      <c r="C127" s="2988" t="s">
        <v>3313</v>
      </c>
      <c r="D127" s="2988" t="s">
        <v>3311</v>
      </c>
      <c r="E127" s="553"/>
      <c r="F127" s="553"/>
      <c r="G127" s="553"/>
      <c r="H127" s="554"/>
      <c r="I127" s="554"/>
      <c r="J127" s="554"/>
      <c r="K127" s="554"/>
      <c r="L127" s="555"/>
      <c r="M127" s="556"/>
      <c r="N127" s="1153"/>
      <c r="O127" s="1153"/>
      <c r="P127" s="2685"/>
      <c r="Q127" s="558"/>
    </row>
    <row r="128" spans="1:17" s="470" customFormat="1" ht="15.75" thickBot="1">
      <c r="A128" s="552"/>
      <c r="B128" s="542"/>
      <c r="C128" s="559">
        <v>100</v>
      </c>
      <c r="D128" s="535">
        <v>97</v>
      </c>
      <c r="E128" s="535"/>
      <c r="F128" s="535"/>
      <c r="G128" s="559"/>
      <c r="H128" s="561"/>
      <c r="I128" s="561"/>
      <c r="J128" s="561"/>
      <c r="K128" s="561"/>
      <c r="L128" s="561"/>
      <c r="M128" s="562"/>
      <c r="N128" s="1153"/>
      <c r="O128" s="1153"/>
      <c r="P128" s="2685"/>
      <c r="Q128" s="558"/>
    </row>
    <row r="129" spans="1:17" ht="15" thickTop="1">
      <c r="A129" s="598"/>
      <c r="B129" s="537" t="str">
        <f>B46</f>
        <v>建筑品质</v>
      </c>
      <c r="C129" s="2988" t="s">
        <v>3315</v>
      </c>
      <c r="D129" s="2988" t="s">
        <v>3316</v>
      </c>
      <c r="E129" s="553"/>
      <c r="F129" s="553"/>
      <c r="G129" s="582"/>
      <c r="H129" s="582"/>
      <c r="I129" s="582"/>
      <c r="J129" s="582"/>
      <c r="K129" s="583"/>
      <c r="L129" s="584"/>
      <c r="M129" s="585"/>
      <c r="N129" s="1151"/>
      <c r="O129" s="1151"/>
      <c r="P129" s="2684"/>
      <c r="Q129" s="503"/>
    </row>
    <row r="130" spans="1:17" ht="15.75" thickBot="1">
      <c r="A130" s="533"/>
      <c r="B130" s="542"/>
      <c r="C130" s="559">
        <v>100</v>
      </c>
      <c r="D130" s="559">
        <v>97</v>
      </c>
      <c r="E130" s="559"/>
      <c r="F130" s="559"/>
      <c r="G130" s="535"/>
      <c r="H130" s="535"/>
      <c r="I130" s="535"/>
      <c r="J130" s="535"/>
      <c r="K130" s="535"/>
      <c r="L130" s="535"/>
      <c r="M130" s="536"/>
      <c r="N130" s="1152"/>
      <c r="O130" s="1152"/>
      <c r="P130" s="2684"/>
      <c r="Q130" s="503"/>
    </row>
    <row r="131" spans="1:17" ht="15" thickTop="1">
      <c r="A131" s="598"/>
      <c r="B131" s="545">
        <f>B47</f>
        <v>111</v>
      </c>
      <c r="C131" s="522"/>
      <c r="D131" s="522"/>
      <c r="E131" s="522"/>
      <c r="F131" s="522"/>
      <c r="G131" s="586"/>
      <c r="H131" s="586"/>
      <c r="I131" s="586"/>
      <c r="J131" s="586"/>
      <c r="K131" s="522"/>
      <c r="L131" s="523"/>
      <c r="M131" s="589"/>
      <c r="N131" s="1151"/>
      <c r="O131" s="1151"/>
      <c r="P131" s="2684"/>
      <c r="Q131" s="503"/>
    </row>
    <row r="132" spans="1:17" ht="15.75" thickBot="1">
      <c r="A132" s="2636"/>
      <c r="B132" s="568"/>
      <c r="C132" s="569"/>
      <c r="D132" s="569"/>
      <c r="E132" s="569"/>
      <c r="F132" s="569"/>
      <c r="G132" s="590"/>
      <c r="H132" s="590"/>
      <c r="I132" s="590"/>
      <c r="J132" s="590"/>
      <c r="K132" s="590"/>
      <c r="L132" s="590"/>
      <c r="M132" s="591"/>
      <c r="N132" s="1152"/>
      <c r="O132" s="1152"/>
      <c r="P132" s="2684"/>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89" priority="16" stopIfTrue="1" operator="containsText" text="超过">
      <formula>NOT(ISERROR(SEARCH("超过",F53)))</formula>
    </cfRule>
  </conditionalFormatting>
  <conditionalFormatting sqref="H55">
    <cfRule type="containsText" dxfId="188" priority="15" stopIfTrue="1" operator="containsText" text="超过">
      <formula>NOT(ISERROR(SEARCH("超过",H55)))</formula>
    </cfRule>
  </conditionalFormatting>
  <conditionalFormatting sqref="F55">
    <cfRule type="containsText" dxfId="187" priority="14" stopIfTrue="1" operator="containsText" text="超过">
      <formula>NOT(ISERROR(SEARCH("超过",F55)))</formula>
    </cfRule>
  </conditionalFormatting>
  <conditionalFormatting sqref="F54 H54">
    <cfRule type="containsText" dxfId="186" priority="13" stopIfTrue="1" operator="containsText" text="超过">
      <formula>NOT(ISERROR(SEARCH("超过",F54)))</formula>
    </cfRule>
  </conditionalFormatting>
  <conditionalFormatting sqref="E53">
    <cfRule type="expression" dxfId="185" priority="12" stopIfTrue="1">
      <formula>$F$53="超过30%"</formula>
    </cfRule>
  </conditionalFormatting>
  <conditionalFormatting sqref="E54">
    <cfRule type="expression" dxfId="184" priority="11" stopIfTrue="1">
      <formula>$F$54="超过20%"</formula>
    </cfRule>
  </conditionalFormatting>
  <conditionalFormatting sqref="E55">
    <cfRule type="expression" dxfId="183" priority="10" stopIfTrue="1">
      <formula>$F$55="超过30%"</formula>
    </cfRule>
  </conditionalFormatting>
  <conditionalFormatting sqref="G55">
    <cfRule type="expression" dxfId="182" priority="9" stopIfTrue="1">
      <formula>$H$55="超过30%"</formula>
    </cfRule>
  </conditionalFormatting>
  <conditionalFormatting sqref="G53">
    <cfRule type="expression" dxfId="181" priority="8" stopIfTrue="1">
      <formula>$H$53="超过30%"</formula>
    </cfRule>
  </conditionalFormatting>
  <conditionalFormatting sqref="G54">
    <cfRule type="expression" dxfId="180" priority="7" stopIfTrue="1">
      <formula>$H$54="超过20%"</formula>
    </cfRule>
  </conditionalFormatting>
  <conditionalFormatting sqref="J53">
    <cfRule type="containsText" dxfId="179" priority="6" stopIfTrue="1" operator="containsText" text="超过">
      <formula>NOT(ISERROR(SEARCH("超过",J53)))</formula>
    </cfRule>
  </conditionalFormatting>
  <conditionalFormatting sqref="J55">
    <cfRule type="containsText" dxfId="178" priority="5" stopIfTrue="1" operator="containsText" text="超过">
      <formula>NOT(ISERROR(SEARCH("超过",J55)))</formula>
    </cfRule>
  </conditionalFormatting>
  <conditionalFormatting sqref="J54">
    <cfRule type="containsText" dxfId="177" priority="4" stopIfTrue="1" operator="containsText" text="超过">
      <formula>NOT(ISERROR(SEARCH("超过",J54)))</formula>
    </cfRule>
  </conditionalFormatting>
  <conditionalFormatting sqref="I53">
    <cfRule type="expression" dxfId="176" priority="3" stopIfTrue="1">
      <formula>$J$53="超过30%"</formula>
    </cfRule>
  </conditionalFormatting>
  <conditionalFormatting sqref="I54">
    <cfRule type="expression" dxfId="175" priority="2" stopIfTrue="1">
      <formula>$J$53+$J$54="超过20%"</formula>
    </cfRule>
  </conditionalFormatting>
  <conditionalFormatting sqref="I55">
    <cfRule type="expression" dxfId="17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90" zoomScaleNormal="90" zoomScaleSheetLayoutView="90" workbookViewId="0">
      <selection activeCell="J56" sqref="J56"/>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4"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1589</v>
      </c>
      <c r="B1" s="781"/>
      <c r="C1" s="1836" t="s">
        <v>27</v>
      </c>
      <c r="D1" s="1819" t="s">
        <v>70</v>
      </c>
      <c r="E1" s="1820" t="s">
        <v>1387</v>
      </c>
      <c r="F1" s="1282">
        <f ca="1">J53</f>
        <v>41.08</v>
      </c>
      <c r="G1" s="1835">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1515</v>
      </c>
      <c r="B2" s="1843">
        <f ca="1">C40+J29+L46</f>
        <v>51102</v>
      </c>
      <c r="C2" s="1844" t="s">
        <v>1516</v>
      </c>
      <c r="D2" s="1844"/>
      <c r="E2" s="1845"/>
      <c r="F2" s="1846"/>
      <c r="G2" s="1847"/>
      <c r="H2" s="1839"/>
      <c r="I2" s="1839"/>
      <c r="J2" s="1839"/>
      <c r="K2" s="1840"/>
      <c r="L2" s="1839"/>
      <c r="M2" s="1839"/>
    </row>
    <row r="3" spans="1:37" ht="18" customHeight="1" thickBot="1">
      <c r="A3" s="1848" t="s">
        <v>1517</v>
      </c>
      <c r="B3" s="1849">
        <f ca="1">IF(ISERROR(B2*10000/F43),0,ROUND(B2*10000/F43,0))</f>
        <v>34126</v>
      </c>
      <c r="C3" s="1844" t="s">
        <v>1518</v>
      </c>
      <c r="D3" s="1844"/>
      <c r="E3" s="1845"/>
      <c r="F3" s="1846"/>
      <c r="G3" s="1847"/>
      <c r="H3" s="743" t="s">
        <v>1588</v>
      </c>
      <c r="I3" s="1839"/>
      <c r="J3" s="1839"/>
      <c r="K3" s="1840"/>
      <c r="L3" s="1839"/>
      <c r="M3" s="1839"/>
    </row>
    <row r="4" spans="1:37" ht="18" customHeight="1">
      <c r="A4" s="339" t="s">
        <v>1396</v>
      </c>
      <c r="B4" s="340" t="s">
        <v>1397</v>
      </c>
      <c r="C4" s="340" t="s">
        <v>1398</v>
      </c>
      <c r="D4" s="340" t="s">
        <v>1399</v>
      </c>
      <c r="E4" s="341" t="s">
        <v>1400</v>
      </c>
      <c r="F4" s="342"/>
      <c r="G4" s="1850"/>
      <c r="H4" s="339" t="s">
        <v>1396</v>
      </c>
      <c r="I4" s="340" t="s">
        <v>1397</v>
      </c>
      <c r="J4" s="340" t="s">
        <v>1398</v>
      </c>
      <c r="K4" s="340" t="s">
        <v>1399</v>
      </c>
      <c r="L4" s="341" t="s">
        <v>1400</v>
      </c>
      <c r="M4" s="342"/>
    </row>
    <row r="5" spans="1:37" ht="18" customHeight="1">
      <c r="A5" s="343">
        <v>1</v>
      </c>
      <c r="B5" s="344" t="s">
        <v>1401</v>
      </c>
      <c r="C5" s="1291">
        <f ca="1">C6+C10+C12</f>
        <v>2709</v>
      </c>
      <c r="D5" s="1821" t="s">
        <v>1402</v>
      </c>
      <c r="E5" s="1292"/>
      <c r="F5" s="1293"/>
      <c r="G5" s="1850"/>
      <c r="H5" s="343">
        <v>1</v>
      </c>
      <c r="I5" s="344" t="s">
        <v>1401</v>
      </c>
      <c r="J5" s="1291">
        <f ca="1">J6+J10+J12</f>
        <v>0</v>
      </c>
      <c r="K5" s="1821" t="s">
        <v>1402</v>
      </c>
      <c r="L5" s="1292"/>
      <c r="M5" s="1293"/>
    </row>
    <row r="6" spans="1:37" ht="18" customHeight="1">
      <c r="A6" s="1290" t="s">
        <v>1035</v>
      </c>
      <c r="B6" s="3212" t="s">
        <v>1403</v>
      </c>
      <c r="C6" s="1295">
        <f ca="1">ROUND(F6*F8*F7*(1-F9)/10000,0)</f>
        <v>2706</v>
      </c>
      <c r="D6" s="163" t="s">
        <v>3036</v>
      </c>
      <c r="E6" s="346" t="s">
        <v>1405</v>
      </c>
      <c r="F6" s="347">
        <f ca="1">INDIRECT("'数据-取费表'!u"&amp;$G$1)</f>
        <v>5.5</v>
      </c>
      <c r="G6" s="1850"/>
      <c r="H6" s="1290" t="s">
        <v>1035</v>
      </c>
      <c r="I6" s="3212" t="s">
        <v>1403</v>
      </c>
      <c r="J6" s="345">
        <f ca="1">ROUND(M6*M8*M7*(1-M9)/10000,0)</f>
        <v>0</v>
      </c>
      <c r="K6" s="163" t="s">
        <v>3035</v>
      </c>
      <c r="L6" s="346" t="s">
        <v>1405</v>
      </c>
      <c r="M6" s="347">
        <f ca="1">INDIRECT("'数据-取费表'!z"&amp;$G$1)</f>
        <v>0</v>
      </c>
    </row>
    <row r="7" spans="1:37" ht="18" customHeight="1">
      <c r="A7" s="1294"/>
      <c r="B7" s="3213"/>
      <c r="C7" s="1296"/>
      <c r="D7" s="351"/>
      <c r="E7" s="1297" t="s">
        <v>1406</v>
      </c>
      <c r="F7" s="347">
        <f ca="1">IF(INDIRECT("'数据-取费表'!ah"&amp;$G$1)="",INDIRECT("'数据-取费表'!k"&amp;$G$1),INDIRECT("'数据-取费表'!ah"&amp;$G$1))</f>
        <v>14974.55</v>
      </c>
      <c r="G7" s="1850"/>
      <c r="H7" s="348"/>
      <c r="I7" s="3213"/>
      <c r="J7" s="350"/>
      <c r="K7" s="351"/>
      <c r="L7" s="346" t="s">
        <v>1406</v>
      </c>
      <c r="M7" s="347">
        <f ca="1">F7</f>
        <v>14974.55</v>
      </c>
    </row>
    <row r="8" spans="1:37" ht="18" customHeight="1">
      <c r="A8" s="348"/>
      <c r="B8" s="3213"/>
      <c r="C8" s="350"/>
      <c r="D8" s="351"/>
      <c r="E8" s="346" t="s">
        <v>1407</v>
      </c>
      <c r="F8" s="347">
        <f ca="1">INDIRECT("'数据-取费表'!ai"&amp;$G$1)</f>
        <v>365</v>
      </c>
      <c r="G8" s="1850"/>
      <c r="H8" s="348"/>
      <c r="I8" s="3213"/>
      <c r="J8" s="350"/>
      <c r="K8" s="351"/>
      <c r="L8" s="346" t="s">
        <v>1407</v>
      </c>
      <c r="M8" s="347">
        <f ca="1">INDIRECT("'数据-取费表'!ai"&amp;$G$1)</f>
        <v>365</v>
      </c>
    </row>
    <row r="9" spans="1:37" ht="18" customHeight="1">
      <c r="A9" s="348"/>
      <c r="B9" s="3214"/>
      <c r="C9" s="350"/>
      <c r="D9" s="351"/>
      <c r="E9" s="346" t="s">
        <v>1408</v>
      </c>
      <c r="F9" s="356">
        <f ca="1">INDIRECT("'数据-取费表'!w"&amp;$G$1)</f>
        <v>0.1</v>
      </c>
      <c r="G9" s="1850"/>
      <c r="H9" s="348"/>
      <c r="I9" s="3214"/>
      <c r="J9" s="350"/>
      <c r="K9" s="351"/>
      <c r="L9" s="357" t="s">
        <v>1408</v>
      </c>
      <c r="M9" s="358">
        <f ca="1">INDIRECT("'数据-取费表'!ab"&amp;$G$1)</f>
        <v>0</v>
      </c>
    </row>
    <row r="10" spans="1:37" ht="18" customHeight="1">
      <c r="A10" s="1290" t="s">
        <v>1039</v>
      </c>
      <c r="B10" s="1822" t="s">
        <v>1409</v>
      </c>
      <c r="C10" s="360">
        <f ca="1">ROUND(IF(F10="押一",C6/12*F11,IF(F10="押二",C6/12*2*F11,IF(F10="押三",C6/12*3*F11,C11*F11))),0)</f>
        <v>3</v>
      </c>
      <c r="D10" s="1823" t="s">
        <v>3045</v>
      </c>
      <c r="E10" s="357" t="s">
        <v>1410</v>
      </c>
      <c r="F10" s="1365" t="s">
        <v>3106</v>
      </c>
      <c r="G10" s="1850"/>
      <c r="H10" s="1290" t="s">
        <v>1039</v>
      </c>
      <c r="I10" s="1822" t="s">
        <v>1409</v>
      </c>
      <c r="J10" s="345">
        <f ca="1">ROUND(IF(M10="押一",J6/12*M11,IF(M10="押二",J6/12*2*M11,IF(M10="押三",J6/12*3*M11,J11*M11))),0)</f>
        <v>0</v>
      </c>
      <c r="K10" s="1823" t="s">
        <v>3044</v>
      </c>
      <c r="L10" s="357" t="s">
        <v>1410</v>
      </c>
      <c r="M10" s="1365" t="s">
        <v>1411</v>
      </c>
    </row>
    <row r="11" spans="1:37" ht="18" customHeight="1">
      <c r="A11" s="352"/>
      <c r="B11" s="1824" t="s">
        <v>1388</v>
      </c>
      <c r="C11" s="1177"/>
      <c r="D11" s="1825"/>
      <c r="E11" s="357" t="s">
        <v>1412</v>
      </c>
      <c r="F11" s="358">
        <f ca="1">'数据-取费表'!B39</f>
        <v>1.4999999999999999E-2</v>
      </c>
      <c r="G11" s="1850"/>
      <c r="H11" s="1298"/>
      <c r="I11" s="1824" t="s">
        <v>1388</v>
      </c>
      <c r="J11" s="1177"/>
      <c r="K11" s="747"/>
      <c r="L11" s="357" t="s">
        <v>1412</v>
      </c>
      <c r="M11" s="1055">
        <f ca="1">'数据-取费表'!B39</f>
        <v>1.4999999999999999E-2</v>
      </c>
    </row>
    <row r="12" spans="1:37" ht="18" customHeight="1" thickBot="1">
      <c r="A12" s="1332" t="s">
        <v>1075</v>
      </c>
      <c r="B12" s="1826" t="s">
        <v>1413</v>
      </c>
      <c r="C12" s="1333"/>
      <c r="D12" s="1334"/>
      <c r="E12" s="1339"/>
      <c r="F12" s="1335"/>
      <c r="G12" s="1850"/>
      <c r="H12" s="1332" t="s">
        <v>1075</v>
      </c>
      <c r="I12" s="1826" t="s">
        <v>1413</v>
      </c>
      <c r="J12" s="1333"/>
      <c r="K12" s="1347"/>
      <c r="L12" s="1339"/>
      <c r="M12" s="1348"/>
    </row>
    <row r="13" spans="1:37" ht="18" customHeight="1" thickTop="1">
      <c r="A13" s="1328">
        <v>2</v>
      </c>
      <c r="B13" s="1329" t="s">
        <v>1414</v>
      </c>
      <c r="C13" s="354">
        <f ca="1">ROUND(C29*F13,0)</f>
        <v>8153</v>
      </c>
      <c r="D13" s="1330" t="s">
        <v>1415</v>
      </c>
      <c r="E13" s="1330" t="s">
        <v>1416</v>
      </c>
      <c r="F13" s="1331">
        <f ca="1">INDIRECT("'数据-取费表'!y"&amp;$G$1)</f>
        <v>1</v>
      </c>
      <c r="G13" s="1850"/>
      <c r="H13" s="1328">
        <v>2</v>
      </c>
      <c r="I13" s="1329" t="s">
        <v>1414</v>
      </c>
      <c r="J13" s="1289">
        <f ca="1">ROUND(J14*J15,0)</f>
        <v>0</v>
      </c>
      <c r="K13" s="1336" t="s">
        <v>1415</v>
      </c>
      <c r="L13" s="1851"/>
      <c r="M13" s="1852"/>
    </row>
    <row r="14" spans="1:37" ht="18" customHeight="1">
      <c r="A14" s="1200" t="s">
        <v>1034</v>
      </c>
      <c r="B14" s="346" t="s">
        <v>1417</v>
      </c>
      <c r="C14" s="362">
        <f ca="1">INDIRECT("'数据-取费表'!m"&amp;$G$1)+INDIRECT("'数据-取费表'!t"&amp;$G$1)</f>
        <v>5241</v>
      </c>
      <c r="D14" s="1799" t="s">
        <v>1418</v>
      </c>
      <c r="E14" s="1793"/>
      <c r="F14" s="363"/>
      <c r="G14" s="1850"/>
      <c r="H14" s="1200" t="s">
        <v>1035</v>
      </c>
      <c r="I14" s="346" t="s">
        <v>1419</v>
      </c>
      <c r="J14" s="24">
        <f ca="1">C29</f>
        <v>8153</v>
      </c>
      <c r="K14" s="15"/>
      <c r="L14" s="978"/>
      <c r="M14" s="979"/>
    </row>
    <row r="15" spans="1:37" s="1857" customFormat="1" ht="18" customHeight="1" thickBot="1">
      <c r="A15" s="1200" t="s">
        <v>1036</v>
      </c>
      <c r="B15" s="346" t="s">
        <v>1420</v>
      </c>
      <c r="C15" s="24">
        <f ca="1">ROUND(C14*F15,0)</f>
        <v>157</v>
      </c>
      <c r="D15" s="364" t="s">
        <v>1421</v>
      </c>
      <c r="E15" s="364" t="s">
        <v>1422</v>
      </c>
      <c r="F15" s="365">
        <f>'数据-取费表'!B33</f>
        <v>0.03</v>
      </c>
      <c r="G15" s="1853"/>
      <c r="H15" s="1338" t="s">
        <v>1039</v>
      </c>
      <c r="I15" s="1339" t="s">
        <v>1416</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6" t="s">
        <v>1423</v>
      </c>
      <c r="C16" s="24">
        <f ca="1">ROUND(INDIRECT("'数据-取费表'!m"&amp;$G$1)*F16,0)</f>
        <v>0</v>
      </c>
      <c r="D16" s="346" t="s">
        <v>1421</v>
      </c>
      <c r="E16" s="346" t="s">
        <v>1422</v>
      </c>
      <c r="F16" s="366">
        <f ca="1">IF(INDIRECT("'数据-取费表'!c"&amp;$G$1)="住宅",'数据-取费表'!B34,0)</f>
        <v>0</v>
      </c>
      <c r="G16" s="1850"/>
      <c r="H16" s="1328" t="s">
        <v>1030</v>
      </c>
      <c r="I16" s="1329" t="s">
        <v>1424</v>
      </c>
      <c r="J16" s="354">
        <f ca="1">ROUND(J17+J22+J23+J24,0)</f>
        <v>191</v>
      </c>
      <c r="K16" s="1336" t="s">
        <v>1425</v>
      </c>
      <c r="L16" s="1337"/>
      <c r="M16" s="1293"/>
    </row>
    <row r="17" spans="1:37" s="1857" customFormat="1" ht="18" customHeight="1">
      <c r="A17" s="1200" t="s">
        <v>1390</v>
      </c>
      <c r="B17" s="346" t="s">
        <v>1426</v>
      </c>
      <c r="C17" s="24">
        <f ca="1">ROUND(F17*(F43+INDIRECT("'数据-取费表'!S"&amp;$G$1))/10000,0)</f>
        <v>299</v>
      </c>
      <c r="D17" s="346" t="s">
        <v>1427</v>
      </c>
      <c r="E17" s="346" t="s">
        <v>1428</v>
      </c>
      <c r="F17" s="26">
        <f>'数据-取费表'!B35</f>
        <v>200</v>
      </c>
      <c r="G17" s="1853"/>
      <c r="H17" s="1200" t="s">
        <v>1035</v>
      </c>
      <c r="I17" s="346" t="s">
        <v>1429</v>
      </c>
      <c r="J17" s="24">
        <f ca="1">ROUND(IF(项目基本情况!B11="自然人",J5*M17,J18+J19+J20),1)</f>
        <v>69</v>
      </c>
      <c r="K17" s="1799" t="s">
        <v>1430</v>
      </c>
      <c r="L17" s="1797" t="s">
        <v>1431</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6" t="s">
        <v>1432</v>
      </c>
      <c r="C18" s="24">
        <f ca="1">ROUND(C14*F18,0)</f>
        <v>79</v>
      </c>
      <c r="D18" s="346" t="s">
        <v>1421</v>
      </c>
      <c r="E18" s="346" t="s">
        <v>1422</v>
      </c>
      <c r="F18" s="366">
        <f>'数据-取费表'!B36</f>
        <v>1.4999999999999999E-2</v>
      </c>
      <c r="G18" s="1853"/>
      <c r="H18" s="1200" t="s">
        <v>1034</v>
      </c>
      <c r="I18" s="346" t="s">
        <v>1433</v>
      </c>
      <c r="J18" s="24">
        <f ca="1">ROUND(J5*M18/(1+'数据-取费表'!C42),2)</f>
        <v>0</v>
      </c>
      <c r="K18" s="1797" t="s">
        <v>1434</v>
      </c>
      <c r="L18" s="346" t="s">
        <v>1422</v>
      </c>
      <c r="M18" s="366">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6" t="s">
        <v>1435</v>
      </c>
      <c r="C19" s="24">
        <f ca="1">SUM(C14:C18)</f>
        <v>5776</v>
      </c>
      <c r="D19" s="139" t="s">
        <v>1436</v>
      </c>
      <c r="E19" s="1817"/>
      <c r="F19" s="26"/>
      <c r="G19" s="1850"/>
      <c r="H19" s="1200" t="s">
        <v>1036</v>
      </c>
      <c r="I19" s="346" t="s">
        <v>1437</v>
      </c>
      <c r="J19" s="24">
        <f ca="1">IF(K19="按租金收入计税",ROUND(J5*M19,2),ROUND(C29*M19*0.7,2))</f>
        <v>68.489999999999995</v>
      </c>
      <c r="K19" s="1827" t="s">
        <v>1438</v>
      </c>
      <c r="L19" s="346" t="s">
        <v>1422</v>
      </c>
      <c r="M19" s="366">
        <f>IF(K19="按租金收入计税",'数据-取费表'!B51,'数据-取费表'!B50)</f>
        <v>1.2E-2</v>
      </c>
    </row>
    <row r="20" spans="1:37" s="1857" customFormat="1" ht="18" customHeight="1">
      <c r="A20" s="1200" t="s">
        <v>1039</v>
      </c>
      <c r="B20" s="346" t="s">
        <v>1439</v>
      </c>
      <c r="C20" s="24">
        <f ca="1">ROUND(C19*F20,0)</f>
        <v>173</v>
      </c>
      <c r="D20" s="368" t="s">
        <v>1440</v>
      </c>
      <c r="E20" s="346" t="s">
        <v>1422</v>
      </c>
      <c r="F20" s="366">
        <f>'数据-取费表'!B37</f>
        <v>0.03</v>
      </c>
      <c r="G20" s="1853"/>
      <c r="H20" s="1200" t="s">
        <v>1389</v>
      </c>
      <c r="I20" s="163" t="s">
        <v>1441</v>
      </c>
      <c r="J20" s="25">
        <f ca="1">ROUND(M20*M21/10000,2)</f>
        <v>0.49</v>
      </c>
      <c r="K20" s="369" t="s">
        <v>1442</v>
      </c>
      <c r="L20" s="346" t="s">
        <v>1443</v>
      </c>
      <c r="M20" s="370">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6" t="s">
        <v>1444</v>
      </c>
      <c r="C21" s="24" t="s">
        <v>18</v>
      </c>
      <c r="D21" s="368" t="s">
        <v>1445</v>
      </c>
      <c r="E21" s="346" t="s">
        <v>1446</v>
      </c>
      <c r="F21" s="366">
        <f>'数据-取费表'!B38</f>
        <v>0.03</v>
      </c>
      <c r="G21" s="1853"/>
      <c r="H21" s="371"/>
      <c r="I21" s="355"/>
      <c r="J21" s="29"/>
      <c r="K21" s="372"/>
      <c r="L21" s="346" t="s">
        <v>1447</v>
      </c>
      <c r="M21" s="347">
        <f ca="1">INDIRECT("'数据-取费表'!r"&amp;$G$1)</f>
        <v>3260.64</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6" t="s">
        <v>1448</v>
      </c>
      <c r="C22" s="24"/>
      <c r="D22" s="139" t="str">
        <f>IF(F23&lt;=1,"单利计息。","复利计息。")&amp;"建造成本、管理费用、销售费用产生的利息。"</f>
        <v>复利计息。建造成本、管理费用、销售费用产生的利息。</v>
      </c>
      <c r="E22" s="1817"/>
      <c r="F22" s="26"/>
      <c r="G22" s="1850"/>
      <c r="H22" s="1200" t="s">
        <v>1039</v>
      </c>
      <c r="I22" s="346" t="s">
        <v>1449</v>
      </c>
      <c r="J22" s="24">
        <f ca="1">ROUND(J14*M22,1)</f>
        <v>122.3</v>
      </c>
      <c r="K22" s="1797" t="s">
        <v>1450</v>
      </c>
      <c r="L22" s="346" t="s">
        <v>1422</v>
      </c>
      <c r="M22" s="373">
        <f ca="1">INDIRECT("'数据-取费表'!Ak"&amp;$G$1)</f>
        <v>1.4999999999999999E-2</v>
      </c>
    </row>
    <row r="23" spans="1:37" s="1857" customFormat="1" ht="18" customHeight="1">
      <c r="A23" s="1200" t="s">
        <v>1034</v>
      </c>
      <c r="B23" s="346" t="s">
        <v>1451</v>
      </c>
      <c r="C23" s="24">
        <f ca="1">IF('数据-取费表'!B22&lt;=1,ROUND(C19*F24*F23/2,0)+ROUND(C20*F24*F23/2,0),ROUND(C19*(POWER((1+F24),F23/2)-1),0)+ROUND(C20*(POWER((1+F24),F23/2)-1),0))</f>
        <v>282</v>
      </c>
      <c r="D23" s="374" t="str">
        <f>IF(F23&lt;=1,"(建造成本+管理费用)×利率×(建设周期÷2)","(建造成本+管理费用)×((1+利率)^(建设周期÷2)-1)")</f>
        <v>(建造成本+管理费用)×((1+利率)^(建设周期÷2)-1)</v>
      </c>
      <c r="E23" s="346" t="s">
        <v>1452</v>
      </c>
      <c r="F23" s="370">
        <f>'数据-取费表'!B20</f>
        <v>2</v>
      </c>
      <c r="G23" s="1853"/>
      <c r="H23" s="1200" t="s">
        <v>1075</v>
      </c>
      <c r="I23" s="346" t="s">
        <v>1453</v>
      </c>
      <c r="J23" s="24">
        <f ca="1">ROUND(J13*M23,1)</f>
        <v>0</v>
      </c>
      <c r="K23" s="1797" t="s">
        <v>1454</v>
      </c>
      <c r="L23" s="346" t="s">
        <v>1455</v>
      </c>
      <c r="M23" s="375">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1456</v>
      </c>
      <c r="B24" s="346" t="s">
        <v>1457</v>
      </c>
      <c r="C24" s="24">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3"/>
      <c r="H24" s="1338" t="s">
        <v>1393</v>
      </c>
      <c r="I24" s="1339" t="s">
        <v>1439</v>
      </c>
      <c r="J24" s="1340">
        <f ca="1">ROUND(J5*M24,1)</f>
        <v>0</v>
      </c>
      <c r="K24" s="1341" t="s">
        <v>1459</v>
      </c>
      <c r="L24" s="1339" t="s">
        <v>1455</v>
      </c>
      <c r="M24" s="1335">
        <f ca="1">INDIRECT("'数据-取费表'!Am"&amp;$G$1)</f>
        <v>2.5000000000000001E-2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1460</v>
      </c>
      <c r="B25" s="346" t="s">
        <v>1461</v>
      </c>
      <c r="C25" s="24"/>
      <c r="D25" s="139" t="s">
        <v>1462</v>
      </c>
      <c r="E25" s="1817"/>
      <c r="F25" s="26"/>
      <c r="G25" s="1850"/>
      <c r="H25" s="1328" t="s">
        <v>1031</v>
      </c>
      <c r="I25" s="1343" t="s">
        <v>1463</v>
      </c>
      <c r="J25" s="354">
        <f ca="1">J5-J16</f>
        <v>-191</v>
      </c>
      <c r="K25" s="1344" t="s">
        <v>1464</v>
      </c>
      <c r="L25" s="1345"/>
      <c r="M25" s="1346"/>
    </row>
    <row r="26" spans="1:37">
      <c r="A26" s="1200" t="s">
        <v>1034</v>
      </c>
      <c r="B26" s="346" t="s">
        <v>1465</v>
      </c>
      <c r="C26" s="24">
        <f ca="1">ROUND((C19+C20)*F26,0)</f>
        <v>1190</v>
      </c>
      <c r="D26" s="368" t="s">
        <v>1466</v>
      </c>
      <c r="E26" s="357" t="s">
        <v>1467</v>
      </c>
      <c r="F26" s="356">
        <f ca="1">INDIRECT("'数据-取费表'!q"&amp;$G$1)</f>
        <v>0.2</v>
      </c>
      <c r="G26" s="1850"/>
      <c r="H26" s="343" t="s">
        <v>1032</v>
      </c>
      <c r="I26" s="344" t="s">
        <v>1468</v>
      </c>
      <c r="J26" s="345">
        <f ca="1">IF(J5&lt;&gt;0,ROUND(J25*(1-((1+M28)/(1+M26))^M27)/(M26-M28),0),0)</f>
        <v>0</v>
      </c>
      <c r="K26" s="369" t="s">
        <v>1469</v>
      </c>
      <c r="L26" s="346" t="s">
        <v>1470</v>
      </c>
      <c r="M26" s="356">
        <f ca="1">INDIRECT("'数据-取费表'!I"&amp;$G$1)</f>
        <v>5.5E-2</v>
      </c>
    </row>
    <row r="27" spans="1:37" ht="18" customHeight="1">
      <c r="A27" s="1200" t="s">
        <v>1036</v>
      </c>
      <c r="B27" s="346" t="s">
        <v>1471</v>
      </c>
      <c r="C27" s="24">
        <f ca="1">ROUND(F21*F26,4)</f>
        <v>6.0000000000000001E-3</v>
      </c>
      <c r="D27" s="368" t="s">
        <v>1472</v>
      </c>
      <c r="E27" s="364"/>
      <c r="F27" s="365"/>
      <c r="G27" s="1850"/>
      <c r="H27" s="348"/>
      <c r="I27" s="349"/>
      <c r="J27" s="350"/>
      <c r="K27" s="377" t="s">
        <v>1473</v>
      </c>
      <c r="L27" s="346" t="s">
        <v>1474</v>
      </c>
      <c r="M27" s="378">
        <f ca="1">INDIRECT("'数据-取费表'!ag"&amp;$G$1)</f>
        <v>0</v>
      </c>
    </row>
    <row r="28" spans="1:37" s="1857" customFormat="1" ht="18" customHeight="1">
      <c r="A28" s="1200" t="s">
        <v>1037</v>
      </c>
      <c r="B28" s="346" t="s">
        <v>1475</v>
      </c>
      <c r="C28" s="24">
        <f>ROUND(F28/(1+'数据-取费表'!C42),4)</f>
        <v>5.2400000000000002E-2</v>
      </c>
      <c r="D28" s="368" t="s">
        <v>1476</v>
      </c>
      <c r="E28" s="346" t="s">
        <v>1422</v>
      </c>
      <c r="F28" s="366">
        <f>'数据-取费表'!B41</f>
        <v>5.5000000000000007E-2</v>
      </c>
      <c r="G28" s="1853"/>
      <c r="H28" s="352"/>
      <c r="I28" s="353"/>
      <c r="J28" s="354"/>
      <c r="K28" s="372"/>
      <c r="L28" s="346" t="s">
        <v>1477</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1478</v>
      </c>
      <c r="C29" s="1340">
        <f ca="1">ROUND((C19+C20+C23+C26)/(1-F21-C24-C27-C28),0)</f>
        <v>8153</v>
      </c>
      <c r="D29" s="1341"/>
      <c r="E29" s="1339"/>
      <c r="F29" s="1342"/>
      <c r="G29" s="1853"/>
      <c r="H29" s="379" t="s">
        <v>1033</v>
      </c>
      <c r="I29" s="380" t="s">
        <v>1479</v>
      </c>
      <c r="J29" s="381">
        <f ca="1">ROUND(J26/(1+F40)^F41,0)</f>
        <v>0</v>
      </c>
      <c r="K29" s="382" t="s">
        <v>1480</v>
      </c>
      <c r="L29" s="383"/>
      <c r="M29" s="384">
        <f ca="1">INDIRECT("'数据-取费表'!k"&amp;$G$1)</f>
        <v>14974.55</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1424</v>
      </c>
      <c r="C30" s="354">
        <f ca="1">ROUND(C31+C36+C37+C38,0)</f>
        <v>674</v>
      </c>
      <c r="D30" s="1336" t="s">
        <v>1425</v>
      </c>
      <c r="E30" s="1337"/>
      <c r="F30" s="1293"/>
      <c r="G30" s="1850"/>
      <c r="H30" s="744"/>
      <c r="I30" s="745"/>
      <c r="J30" s="746"/>
      <c r="K30" s="747"/>
      <c r="L30" s="748"/>
      <c r="M30" s="749"/>
    </row>
    <row r="31" spans="1:37" ht="18" customHeight="1">
      <c r="A31" s="1200" t="s">
        <v>1035</v>
      </c>
      <c r="B31" s="346" t="s">
        <v>1429</v>
      </c>
      <c r="C31" s="24">
        <f ca="1">ROUND(IF(项目基本情况!B11="自然人",C5*F31,C32+C33+C34),1)</f>
        <v>467.5</v>
      </c>
      <c r="D31" s="1799" t="s">
        <v>1430</v>
      </c>
      <c r="E31" s="1797" t="s">
        <v>1481</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1034</v>
      </c>
      <c r="B32" s="346" t="s">
        <v>1433</v>
      </c>
      <c r="C32" s="24">
        <f ca="1">IF(项目基本情况!B11="自然人","——",ROUND(C5*F32/(1+'数据-取费表'!C42),2))</f>
        <v>141.9</v>
      </c>
      <c r="D32" s="1797" t="s">
        <v>1434</v>
      </c>
      <c r="E32" s="346" t="s">
        <v>1422</v>
      </c>
      <c r="F32" s="376">
        <f>'数据-取费表'!B41</f>
        <v>5.5000000000000007E-2</v>
      </c>
      <c r="G32" s="1850"/>
      <c r="H32" s="744"/>
      <c r="I32" s="745"/>
      <c r="J32" s="746"/>
      <c r="K32" s="747"/>
      <c r="L32" s="748"/>
      <c r="M32" s="749"/>
    </row>
    <row r="33" spans="1:18" ht="18" customHeight="1">
      <c r="A33" s="1200" t="s">
        <v>1036</v>
      </c>
      <c r="B33" s="346" t="s">
        <v>1437</v>
      </c>
      <c r="C33" s="24">
        <f ca="1">IF(项目基本情况!B11="自然人","——",IF(D33="按租金收入计税",ROUND(C5*F33,2),IF(D33="按房产原值计税",ROUND(C29*F33*0.7,2),INDIRECT("'数据-取费表'!Aj"&amp;$G$1))))</f>
        <v>325.08</v>
      </c>
      <c r="D33" s="1827" t="s">
        <v>3109</v>
      </c>
      <c r="E33" s="346" t="s">
        <v>1422</v>
      </c>
      <c r="F33" s="366">
        <f>IF(D33="按票据","——",IF(D33="按租金收入计税",'数据-取费表'!B51,'数据-取费表'!B50))</f>
        <v>0.12</v>
      </c>
      <c r="G33" s="1850"/>
      <c r="H33" s="1858"/>
      <c r="I33" s="1859"/>
      <c r="J33" s="1860"/>
      <c r="K33" s="1861"/>
      <c r="L33" s="1858"/>
      <c r="M33" s="1858"/>
    </row>
    <row r="34" spans="1:18" ht="18" customHeight="1">
      <c r="A34" s="1290" t="s">
        <v>1389</v>
      </c>
      <c r="B34" s="163" t="s">
        <v>1441</v>
      </c>
      <c r="C34" s="25">
        <f ca="1">IF(项目基本情况!B11="自然人","——",ROUND(F34*F35/10000,2))</f>
        <v>0.49</v>
      </c>
      <c r="D34" s="369" t="s">
        <v>1442</v>
      </c>
      <c r="E34" s="346" t="s">
        <v>1443</v>
      </c>
      <c r="F34" s="370">
        <f>'数据-取费表'!B52</f>
        <v>1.5</v>
      </c>
      <c r="G34" s="1850"/>
      <c r="H34" s="744"/>
      <c r="I34" s="1859"/>
      <c r="J34" s="1860"/>
      <c r="K34" s="1862"/>
      <c r="L34" s="1863"/>
      <c r="M34" s="1863"/>
    </row>
    <row r="35" spans="1:18" ht="18" customHeight="1">
      <c r="A35" s="1352"/>
      <c r="B35" s="1350"/>
      <c r="C35" s="29"/>
      <c r="D35" s="372"/>
      <c r="E35" s="346" t="s">
        <v>1447</v>
      </c>
      <c r="F35" s="347">
        <f ca="1">INDIRECT("'数据-取费表'!r"&amp;$G$1)</f>
        <v>3260.64</v>
      </c>
      <c r="G35" s="1850"/>
      <c r="H35" s="744"/>
      <c r="I35" s="1859"/>
      <c r="J35" s="1860"/>
      <c r="K35" s="1861"/>
      <c r="L35" s="1858"/>
      <c r="M35" s="1858"/>
    </row>
    <row r="36" spans="1:18" ht="18" customHeight="1">
      <c r="A36" s="1351" t="s">
        <v>1039</v>
      </c>
      <c r="B36" s="346" t="s">
        <v>1449</v>
      </c>
      <c r="C36" s="24">
        <f ca="1">ROUND(C29*F36,1)</f>
        <v>122.3</v>
      </c>
      <c r="D36" s="1797" t="s">
        <v>1482</v>
      </c>
      <c r="E36" s="346" t="s">
        <v>1422</v>
      </c>
      <c r="F36" s="373">
        <f ca="1">INDIRECT("'数据-取费表'!Ak"&amp;$G$1)</f>
        <v>1.4999999999999999E-2</v>
      </c>
      <c r="G36" s="1850"/>
      <c r="H36" s="1858"/>
      <c r="I36" s="1859"/>
      <c r="J36" s="1860"/>
      <c r="K36" s="750"/>
      <c r="L36" s="1858"/>
      <c r="M36" s="1858"/>
    </row>
    <row r="37" spans="1:18" ht="18" customHeight="1">
      <c r="A37" s="1200" t="s">
        <v>1075</v>
      </c>
      <c r="B37" s="346" t="s">
        <v>1453</v>
      </c>
      <c r="C37" s="24">
        <f ca="1">ROUND(C13*F37,1)</f>
        <v>16.3</v>
      </c>
      <c r="D37" s="1797" t="s">
        <v>1454</v>
      </c>
      <c r="E37" s="346" t="s">
        <v>1455</v>
      </c>
      <c r="F37" s="375">
        <f ca="1">INDIRECT("'数据-取费表'!Al"&amp;$G$1)</f>
        <v>2E-3</v>
      </c>
      <c r="G37" s="1850"/>
      <c r="H37" s="1858"/>
      <c r="I37" s="1859"/>
      <c r="J37" s="1860"/>
      <c r="K37" s="750"/>
      <c r="L37" s="1858"/>
      <c r="M37" s="1858"/>
    </row>
    <row r="38" spans="1:18" ht="18" customHeight="1" thickBot="1">
      <c r="A38" s="1338" t="s">
        <v>1393</v>
      </c>
      <c r="B38" s="1339" t="s">
        <v>1439</v>
      </c>
      <c r="C38" s="1340">
        <f ca="1">ROUND(C5*F38,1)</f>
        <v>67.7</v>
      </c>
      <c r="D38" s="1341" t="s">
        <v>1459</v>
      </c>
      <c r="E38" s="1339" t="s">
        <v>1455</v>
      </c>
      <c r="F38" s="1335">
        <f ca="1">INDIRECT("'数据-取费表'!Am"&amp;$G$1)</f>
        <v>2.5000000000000001E-2</v>
      </c>
      <c r="G38" s="1850"/>
      <c r="H38" s="1858"/>
      <c r="I38" s="1859"/>
      <c r="J38" s="1860"/>
      <c r="K38" s="1864"/>
      <c r="L38" s="1858"/>
      <c r="M38" s="1858"/>
    </row>
    <row r="39" spans="1:18" ht="24.6" customHeight="1" thickTop="1">
      <c r="A39" s="1328" t="s">
        <v>1031</v>
      </c>
      <c r="B39" s="1343" t="s">
        <v>1483</v>
      </c>
      <c r="C39" s="354">
        <f ca="1">C5-C30</f>
        <v>2035</v>
      </c>
      <c r="D39" s="1344" t="s">
        <v>1484</v>
      </c>
      <c r="E39" s="1345"/>
      <c r="F39" s="1346"/>
      <c r="G39" s="1850"/>
      <c r="H39" s="1858"/>
      <c r="I39" s="1859"/>
      <c r="J39" s="1860"/>
      <c r="K39" s="1864"/>
      <c r="L39" s="1858"/>
      <c r="M39" s="1858"/>
    </row>
    <row r="40" spans="1:18" ht="18" customHeight="1">
      <c r="A40" s="343" t="s">
        <v>1032</v>
      </c>
      <c r="B40" s="344" t="s">
        <v>1485</v>
      </c>
      <c r="C40" s="345">
        <f ca="1">ROUND(C39*(1-((1+F42)/(1+F40))^F41)/(F40-F42),0)</f>
        <v>51007</v>
      </c>
      <c r="D40" s="369" t="s">
        <v>1469</v>
      </c>
      <c r="E40" s="346" t="s">
        <v>1470</v>
      </c>
      <c r="F40" s="356">
        <f ca="1">INDIRECT("'数据-取费表'!I"&amp;$G$1)</f>
        <v>5.5E-2</v>
      </c>
      <c r="G40" s="1850"/>
      <c r="H40" s="1838"/>
      <c r="I40" s="1859"/>
      <c r="J40" s="1860"/>
      <c r="K40" s="1864"/>
      <c r="L40" s="1838"/>
      <c r="M40" s="1838"/>
    </row>
    <row r="41" spans="1:18" ht="18" customHeight="1">
      <c r="A41" s="348"/>
      <c r="B41" s="349"/>
      <c r="C41" s="350"/>
      <c r="D41" s="377" t="s">
        <v>1486</v>
      </c>
      <c r="E41" s="346" t="s">
        <v>1474</v>
      </c>
      <c r="F41" s="378">
        <f ca="1">IF(INDIRECT("'数据-取费表'!af"&amp;$G$1)=0,INDIRECT("'数据-取费表'!ae"&amp;$G$1),INDIRECT("'数据-取费表'!af"&amp;$G$1))</f>
        <v>41.08</v>
      </c>
      <c r="G41" s="1850"/>
      <c r="H41" s="731"/>
      <c r="I41" s="1859"/>
      <c r="J41" s="1860"/>
      <c r="K41" s="750"/>
      <c r="L41" s="731"/>
      <c r="M41" s="731"/>
    </row>
    <row r="42" spans="1:18" ht="18" customHeight="1">
      <c r="A42" s="352"/>
      <c r="B42" s="353"/>
      <c r="C42" s="354"/>
      <c r="D42" s="372"/>
      <c r="E42" s="346" t="s">
        <v>1477</v>
      </c>
      <c r="F42" s="356">
        <f ca="1">INDIRECT("'数据-取费表'!v"&amp;$G$1)</f>
        <v>0.03</v>
      </c>
      <c r="G42" s="1850"/>
      <c r="H42" s="731"/>
      <c r="I42" s="1859"/>
      <c r="J42" s="1860"/>
      <c r="K42" s="750"/>
      <c r="L42" s="731"/>
      <c r="M42" s="731"/>
    </row>
    <row r="43" spans="1:18" ht="18" customHeight="1" thickBot="1">
      <c r="A43" s="379" t="s">
        <v>1033</v>
      </c>
      <c r="B43" s="380" t="s">
        <v>1487</v>
      </c>
      <c r="C43" s="381">
        <f ca="1">ROUND(C40*10000/F43,0)</f>
        <v>34062</v>
      </c>
      <c r="D43" s="382" t="s">
        <v>1488</v>
      </c>
      <c r="E43" s="383" t="s">
        <v>1489</v>
      </c>
      <c r="F43" s="384">
        <f ca="1">INDIRECT("'数据-取费表'!k"&amp;$G$1)</f>
        <v>14974.55</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1519</v>
      </c>
      <c r="P45" s="1838"/>
      <c r="Q45" s="1838"/>
      <c r="R45" s="1838"/>
    </row>
    <row r="46" spans="1:18" s="1841" customFormat="1" ht="13.5" thickBot="1">
      <c r="A46" s="1869" t="s">
        <v>1520</v>
      </c>
      <c r="C46" s="1870">
        <f ca="1">C68-C40</f>
        <v>-64328</v>
      </c>
      <c r="D46" s="1871" t="str">
        <f>C2</f>
        <v>万元</v>
      </c>
      <c r="E46" s="1865"/>
      <c r="F46" s="1865"/>
      <c r="I46" s="1872" t="s">
        <v>1521</v>
      </c>
      <c r="J46" s="1873"/>
      <c r="K46" s="1874"/>
      <c r="L46" s="1875">
        <f ca="1">IF(M47="住宅",0,IF(L48&gt;J51,L60,J60))</f>
        <v>95</v>
      </c>
      <c r="O46" s="1876" t="s">
        <v>1522</v>
      </c>
      <c r="P46" s="1877" t="s">
        <v>1523</v>
      </c>
      <c r="Q46" s="1878" t="s">
        <v>1524</v>
      </c>
      <c r="R46" s="1878" t="s">
        <v>1525</v>
      </c>
    </row>
    <row r="47" spans="1:18" s="1841" customFormat="1" ht="13.5" thickBot="1">
      <c r="A47" s="1164" t="s">
        <v>1396</v>
      </c>
      <c r="B47" s="1196" t="s">
        <v>1397</v>
      </c>
      <c r="C47" s="1366" t="s">
        <v>1398</v>
      </c>
      <c r="D47" s="1196" t="s">
        <v>1399</v>
      </c>
      <c r="E47" s="1278" t="s">
        <v>1400</v>
      </c>
      <c r="F47" s="1279"/>
      <c r="G47" s="791"/>
      <c r="I47" s="1879" t="s">
        <v>1526</v>
      </c>
      <c r="J47" s="1880" t="s">
        <v>3107</v>
      </c>
      <c r="K47" s="1881" t="s">
        <v>1527</v>
      </c>
      <c r="L47" s="1882">
        <f ca="1">INDIRECT("'数据-取费表'!d"&amp;$G$1)</f>
        <v>50</v>
      </c>
      <c r="M47" s="1837" t="str">
        <f>IF(ISNUMBER(FIND("住宅",C1)),"住宅","非住宅")</f>
        <v>非住宅</v>
      </c>
      <c r="O47" s="1883" t="s">
        <v>1040</v>
      </c>
      <c r="P47" s="1884" t="s">
        <v>1528</v>
      </c>
      <c r="Q47" s="1885">
        <f ca="1">C40+J29</f>
        <v>51007</v>
      </c>
      <c r="R47" s="1885" t="s">
        <v>1529</v>
      </c>
    </row>
    <row r="48" spans="1:18" s="1841" customFormat="1" ht="28.5" thickBot="1">
      <c r="A48" s="1359" t="s">
        <v>1135</v>
      </c>
      <c r="B48" s="344" t="s">
        <v>1401</v>
      </c>
      <c r="C48" s="1816">
        <f ca="1">C49+C53+C55</f>
        <v>0</v>
      </c>
      <c r="D48" s="1361"/>
      <c r="E48" s="1362"/>
      <c r="F48" s="1180"/>
      <c r="G48" s="791"/>
      <c r="H48" s="792"/>
      <c r="I48" s="1886" t="s">
        <v>1530</v>
      </c>
      <c r="J48" s="1887" t="s">
        <v>3108</v>
      </c>
      <c r="K48" s="1888" t="s">
        <v>1531</v>
      </c>
      <c r="L48" s="1889">
        <f ca="1">INDIRECT("'数据-取费表'!f"&amp;$G$1)</f>
        <v>41.08</v>
      </c>
      <c r="O48" s="1883" t="s">
        <v>1041</v>
      </c>
      <c r="P48" s="1884" t="s">
        <v>1532</v>
      </c>
      <c r="Q48" s="1885">
        <f ca="1">J60</f>
        <v>95</v>
      </c>
      <c r="R48" s="1885" t="s">
        <v>1533</v>
      </c>
    </row>
    <row r="49" spans="1:18" s="1841" customFormat="1" ht="13.5" thickBot="1">
      <c r="A49" s="1193" t="s">
        <v>1136</v>
      </c>
      <c r="B49" s="1828" t="s">
        <v>1490</v>
      </c>
      <c r="C49" s="1363">
        <f ca="1">ROUND(F49*F51*F50*(1-F52)/10000,0)</f>
        <v>0</v>
      </c>
      <c r="D49" s="1275" t="s">
        <v>3037</v>
      </c>
      <c r="E49" s="1829" t="s">
        <v>1491</v>
      </c>
      <c r="F49" s="1280"/>
      <c r="G49" s="1890"/>
      <c r="H49" s="792"/>
      <c r="I49" s="1886" t="s">
        <v>1534</v>
      </c>
      <c r="J49" s="1891">
        <v>2018</v>
      </c>
      <c r="K49" s="1888" t="s">
        <v>1535</v>
      </c>
      <c r="L49" s="1892"/>
      <c r="O49" s="1893" t="s">
        <v>1042</v>
      </c>
      <c r="P49" s="1884" t="s">
        <v>1536</v>
      </c>
      <c r="Q49" s="1885">
        <f ca="1">C29</f>
        <v>8153</v>
      </c>
      <c r="R49" s="1885" t="s">
        <v>1529</v>
      </c>
    </row>
    <row r="50" spans="1:18" s="1841" customFormat="1" ht="13.5" thickBot="1">
      <c r="A50" s="1194"/>
      <c r="B50" s="1197"/>
      <c r="C50" s="1367"/>
      <c r="D50" s="1171"/>
      <c r="E50" s="1276" t="s">
        <v>1406</v>
      </c>
      <c r="F50" s="1277">
        <f ca="1">F7</f>
        <v>14974.55</v>
      </c>
      <c r="H50" s="792"/>
      <c r="I50" s="1886" t="s">
        <v>1537</v>
      </c>
      <c r="J50" s="1894">
        <f>SUMPRODUCT((I63:I65=J47)*(J62:L62=J48)*(J63:L65))</f>
        <v>60</v>
      </c>
      <c r="K50" s="1888" t="s">
        <v>1538</v>
      </c>
      <c r="L50" s="1892"/>
      <c r="M50" s="1895"/>
      <c r="O50" s="1893" t="s">
        <v>1043</v>
      </c>
      <c r="P50" s="1884" t="s">
        <v>1539</v>
      </c>
      <c r="Q50" s="1896">
        <f ca="1">J58</f>
        <v>0.4</v>
      </c>
      <c r="R50" s="1885"/>
    </row>
    <row r="51" spans="1:18" s="1841" customFormat="1" ht="13.5" thickBot="1">
      <c r="A51" s="1195"/>
      <c r="B51" s="1197"/>
      <c r="C51" s="1198"/>
      <c r="D51" s="1171"/>
      <c r="E51" s="1199" t="s">
        <v>1407</v>
      </c>
      <c r="F51" s="347">
        <f ca="1">F8</f>
        <v>365</v>
      </c>
      <c r="I51" s="1897" t="s">
        <v>1540</v>
      </c>
      <c r="J51" s="1898">
        <f>IF(J49="",J50,J49+J50-YEAR('数据-取费表'!B2))</f>
        <v>60</v>
      </c>
      <c r="K51" s="1899" t="s">
        <v>1541</v>
      </c>
      <c r="L51" s="1900">
        <f ca="1">ROUND(-PV(INDIRECT("'数据-取费表'!h"&amp;$G$1),L48,(C39-C13*C76),0),0)</f>
        <v>22518</v>
      </c>
      <c r="M51" s="1901"/>
      <c r="O51" s="1893" t="s">
        <v>1044</v>
      </c>
      <c r="P51" s="1884" t="s">
        <v>1542</v>
      </c>
      <c r="Q51" s="1896">
        <f>J52</f>
        <v>0.09</v>
      </c>
      <c r="R51" s="1885"/>
    </row>
    <row r="52" spans="1:18" s="1841" customFormat="1" ht="13.5" thickBot="1">
      <c r="A52" s="1195"/>
      <c r="B52" s="1197"/>
      <c r="C52" s="1198"/>
      <c r="D52" s="1171"/>
      <c r="E52" s="1199" t="s">
        <v>1408</v>
      </c>
      <c r="F52" s="1274"/>
      <c r="I52" s="1902" t="s">
        <v>1543</v>
      </c>
      <c r="J52" s="1903">
        <v>0.09</v>
      </c>
      <c r="K52" s="1902" t="s">
        <v>1544</v>
      </c>
      <c r="L52" s="1903"/>
      <c r="O52" s="1893" t="s">
        <v>1045</v>
      </c>
      <c r="P52" s="1884" t="s">
        <v>1545</v>
      </c>
      <c r="Q52" s="1885">
        <f ca="1">J53</f>
        <v>41.08</v>
      </c>
      <c r="R52" s="1885" t="s">
        <v>1546</v>
      </c>
    </row>
    <row r="53" spans="1:18" s="1841" customFormat="1" ht="24.75" thickBot="1">
      <c r="A53" s="1404" t="s">
        <v>1137</v>
      </c>
      <c r="B53" s="1830" t="s">
        <v>1409</v>
      </c>
      <c r="C53" s="360">
        <f ca="1">ROUND(IF(F53="押一",C49/12*F11,IF(F53="押二",C49/12*2*F11,IF(F53="押三",C49/12*3*F11,C54*F11))),0)</f>
        <v>0</v>
      </c>
      <c r="D53" s="1823" t="s">
        <v>3044</v>
      </c>
      <c r="E53" s="357" t="s">
        <v>1410</v>
      </c>
      <c r="F53" s="1365"/>
      <c r="I53" s="1904" t="s">
        <v>1547</v>
      </c>
      <c r="J53" s="1905">
        <f ca="1">IF(M47="住宅",J51,IF(D1="——",MIN(J51,L48),IF(D1="在建（套用方法）",MIN(J51,L48-'数据-取费表'!B24),IF(D1="土地（套用方法）",MIN(J51,L48-'数据-取费表'!B20)))))</f>
        <v>41.08</v>
      </c>
      <c r="K53" s="3215" t="s">
        <v>1548</v>
      </c>
      <c r="L53" s="3216"/>
      <c r="O53" s="1883" t="s">
        <v>1046</v>
      </c>
      <c r="P53" s="1884" t="s">
        <v>1549</v>
      </c>
      <c r="Q53" s="1885">
        <f ca="1">Q47+Q48</f>
        <v>51102</v>
      </c>
      <c r="R53" s="1885" t="s">
        <v>1047</v>
      </c>
    </row>
    <row r="54" spans="1:18" s="1841" customFormat="1" ht="13.5" thickBot="1">
      <c r="A54" s="1405"/>
      <c r="B54" s="1824" t="s">
        <v>1388</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1550</v>
      </c>
      <c r="P54" s="1838"/>
      <c r="Q54" s="1838"/>
      <c r="R54" s="1838"/>
    </row>
    <row r="55" spans="1:18" s="1841" customFormat="1" ht="13.5" thickBot="1">
      <c r="A55" s="1332" t="s">
        <v>1075</v>
      </c>
      <c r="B55" s="1826" t="s">
        <v>1413</v>
      </c>
      <c r="C55" s="1333"/>
      <c r="D55" s="1823"/>
      <c r="E55" s="1831"/>
      <c r="F55" s="1906"/>
      <c r="I55" s="1909" t="s">
        <v>1551</v>
      </c>
      <c r="J55" s="1910">
        <f ca="1">ROUND(IF(J47="钢混",J57/J50,1-(1-2%)*(J50-J57)/J50),3)</f>
        <v>0.315</v>
      </c>
      <c r="K55" s="1911" t="s">
        <v>1552</v>
      </c>
      <c r="L55" s="1912" t="s">
        <v>1553</v>
      </c>
      <c r="O55" s="1876" t="s">
        <v>1522</v>
      </c>
      <c r="P55" s="1877" t="s">
        <v>1523</v>
      </c>
      <c r="Q55" s="1878" t="s">
        <v>1524</v>
      </c>
      <c r="R55" s="1878" t="s">
        <v>1525</v>
      </c>
    </row>
    <row r="56" spans="1:18" s="1841" customFormat="1" ht="25.5" thickTop="1" thickBot="1">
      <c r="A56" s="1175">
        <v>2</v>
      </c>
      <c r="B56" s="1176" t="s">
        <v>1414</v>
      </c>
      <c r="C56" s="275">
        <f ca="1">C13</f>
        <v>8153</v>
      </c>
      <c r="D56" s="1913"/>
      <c r="E56" s="1914"/>
      <c r="F56" s="1906"/>
      <c r="I56" s="1915" t="s">
        <v>1554</v>
      </c>
      <c r="J56" s="3001" t="s">
        <v>3543</v>
      </c>
      <c r="K56" s="1886" t="s">
        <v>1555</v>
      </c>
      <c r="L56" s="1889" t="str">
        <f ca="1">IF(L48&lt;J51,"——",L48-J53)</f>
        <v>——</v>
      </c>
      <c r="O56" s="1883" t="s">
        <v>1040</v>
      </c>
      <c r="P56" s="1884" t="s">
        <v>1528</v>
      </c>
      <c r="Q56" s="1885">
        <f ca="1">C40+J29</f>
        <v>51007</v>
      </c>
      <c r="R56" s="1885" t="s">
        <v>1529</v>
      </c>
    </row>
    <row r="57" spans="1:18" s="1841" customFormat="1" ht="24.75" thickBot="1">
      <c r="A57" s="1917"/>
      <c r="B57" s="1168" t="s">
        <v>1478</v>
      </c>
      <c r="C57" s="281">
        <f ca="1">C29</f>
        <v>8153</v>
      </c>
      <c r="D57" s="1918"/>
      <c r="E57" s="1919"/>
      <c r="F57" s="1920"/>
      <c r="I57" s="1921" t="s">
        <v>1556</v>
      </c>
      <c r="J57" s="1922">
        <f ca="1">IF(OR(M47="住宅",J51&lt;L48,J56="是"),"——",J51-L48)</f>
        <v>18.920000000000002</v>
      </c>
      <c r="K57" s="1886" t="s">
        <v>1557</v>
      </c>
      <c r="L57" s="1889" t="str">
        <f ca="1">IF(L48&lt;J51,"——",IF(L55="比较法",L49,IF(L55="基准地价",L50,L51)))</f>
        <v>——</v>
      </c>
      <c r="O57" s="1883" t="s">
        <v>1041</v>
      </c>
      <c r="P57" s="1884" t="s">
        <v>1558</v>
      </c>
      <c r="Q57" s="1885">
        <f ca="1">L60</f>
        <v>0</v>
      </c>
      <c r="R57" s="1885" t="s">
        <v>1559</v>
      </c>
    </row>
    <row r="58" spans="1:18" s="1841" customFormat="1" ht="24.75" thickBot="1">
      <c r="A58" s="359" t="s">
        <v>1030</v>
      </c>
      <c r="B58" s="1176" t="s">
        <v>1424</v>
      </c>
      <c r="C58" s="360">
        <f ca="1">ROUND(C59+C64+C65+C66,0)</f>
        <v>824</v>
      </c>
      <c r="D58" s="1178" t="s">
        <v>1425</v>
      </c>
      <c r="E58" s="1179"/>
      <c r="F58" s="1180"/>
      <c r="I58" s="1921" t="s">
        <v>1560</v>
      </c>
      <c r="J58" s="1923">
        <f ca="1">IF(J55&lt;0.4,0.4,J55)</f>
        <v>0.4</v>
      </c>
      <c r="K58" s="1899" t="s">
        <v>1561</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0" t="s">
        <v>1035</v>
      </c>
      <c r="B59" s="1168" t="s">
        <v>1429</v>
      </c>
      <c r="C59" s="24">
        <f ca="1">ROUND(IF(项目基本情况!B11="自然人",C48*F59,C60+C61+C62),1)</f>
        <v>685.3</v>
      </c>
      <c r="D59" s="1181" t="s">
        <v>1430</v>
      </c>
      <c r="E59" s="1182" t="s">
        <v>1431</v>
      </c>
      <c r="F59" s="367" t="str">
        <f ca="1">IF(项目基本情况!B11="企业","",IF(INDIRECT("'数据-取费表'!c"&amp;$G$1)="住宅",5%,IF(F49*F50*F51/12/(1+'数据-取费表'!C42)&gt;20000,12%,7%)))</f>
        <v/>
      </c>
      <c r="I59" s="1921" t="s">
        <v>1563</v>
      </c>
      <c r="J59" s="1922">
        <f ca="1">IF(OR(M47="住宅",J51&lt;L48,J56="是"),"——",ROUND(C29*J58,0))</f>
        <v>3261</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1564</v>
      </c>
      <c r="Q59" s="1896">
        <f>L52</f>
        <v>0</v>
      </c>
      <c r="R59" s="1885"/>
    </row>
    <row r="60" spans="1:18" s="1841" customFormat="1" ht="16.5" thickBot="1">
      <c r="A60" s="1200" t="s">
        <v>1034</v>
      </c>
      <c r="B60" s="1168" t="s">
        <v>1433</v>
      </c>
      <c r="C60" s="24">
        <f ca="1">IF(项目基本情况!B11="自然人","——",ROUND(C48*F60/(1+'数据-取费表'!C42),2))</f>
        <v>0</v>
      </c>
      <c r="D60" s="1182" t="s">
        <v>1434</v>
      </c>
      <c r="E60" s="1168" t="s">
        <v>1422</v>
      </c>
      <c r="F60" s="376">
        <f t="shared" ref="F60:F66" si="0">F32</f>
        <v>5.5000000000000007E-2</v>
      </c>
      <c r="I60" s="1924" t="s">
        <v>1565</v>
      </c>
      <c r="J60" s="1925">
        <f ca="1">IF(OR(M47="住宅",J51&lt;L48,J56="是"),"0",ROUND(J59/(1+J52)^J53,0))</f>
        <v>95</v>
      </c>
      <c r="K60" s="1926" t="s">
        <v>1566</v>
      </c>
      <c r="L60" s="1925">
        <f ca="1">IF(OR(M47="住宅",L48&lt;J51),0,ROUND(L57*(L58/L59-1),0))</f>
        <v>0</v>
      </c>
      <c r="O60" s="1893" t="s">
        <v>1044</v>
      </c>
      <c r="P60" s="1884" t="s">
        <v>1567</v>
      </c>
      <c r="Q60" s="1885" t="e">
        <f ca="1">L58</f>
        <v>#DIV/0!</v>
      </c>
      <c r="R60" s="1885" t="s">
        <v>1568</v>
      </c>
    </row>
    <row r="61" spans="1:18" s="1841" customFormat="1" ht="13.5" thickBot="1">
      <c r="A61" s="1200" t="s">
        <v>1492</v>
      </c>
      <c r="B61" s="1168" t="s">
        <v>1493</v>
      </c>
      <c r="C61" s="24">
        <f ca="1">IF(项目基本情况!B11="自然人","——",IF(D61="按租金收入计税",ROUND(C48*F61,2),IF(D61="按房产原值计税",ROUND(C57*F61*0.7,2),INDIRECT("'数据-取费表'!Aj"&amp;$G$1))))</f>
        <v>684.85</v>
      </c>
      <c r="D61" s="1827" t="s">
        <v>1438</v>
      </c>
      <c r="E61" s="1168" t="s">
        <v>1494</v>
      </c>
      <c r="F61" s="366">
        <f t="shared" si="0"/>
        <v>0.12</v>
      </c>
      <c r="I61" s="1927"/>
      <c r="J61" s="1927"/>
      <c r="K61" s="1927"/>
      <c r="L61" s="1927"/>
      <c r="O61" s="1893" t="s">
        <v>1045</v>
      </c>
      <c r="P61" s="1884" t="str">
        <f>K59</f>
        <v>建筑物剩余耐用年限下的土地年期修正系数Kn</v>
      </c>
      <c r="Q61" s="1885" t="e">
        <f ca="1">L59</f>
        <v>#DIV/0!</v>
      </c>
      <c r="R61" s="1885" t="s">
        <v>1569</v>
      </c>
    </row>
    <row r="62" spans="1:18" s="1841" customFormat="1" ht="13.5" thickBot="1">
      <c r="A62" s="1200" t="s">
        <v>1495</v>
      </c>
      <c r="B62" s="1167" t="s">
        <v>1496</v>
      </c>
      <c r="C62" s="25">
        <f ca="1">IF(项目基本情况!B11="自然人","——",ROUND(F62*F63/10000,2))</f>
        <v>0.49</v>
      </c>
      <c r="D62" s="1183" t="s">
        <v>1497</v>
      </c>
      <c r="E62" s="1168" t="s">
        <v>1498</v>
      </c>
      <c r="F62" s="370">
        <f t="shared" si="0"/>
        <v>1.5</v>
      </c>
      <c r="I62" s="1928" t="s">
        <v>1570</v>
      </c>
      <c r="J62" s="1929" t="s">
        <v>1571</v>
      </c>
      <c r="K62" s="1929" t="s">
        <v>1572</v>
      </c>
      <c r="L62" s="1929" t="s">
        <v>1573</v>
      </c>
      <c r="M62" s="1930" t="s">
        <v>1574</v>
      </c>
      <c r="O62" s="1883" t="s">
        <v>1046</v>
      </c>
      <c r="P62" s="1884" t="s">
        <v>1575</v>
      </c>
      <c r="Q62" s="1885">
        <f ca="1">Q56+Q57</f>
        <v>51007</v>
      </c>
      <c r="R62" s="1885" t="s">
        <v>1047</v>
      </c>
    </row>
    <row r="63" spans="1:18" s="1841" customFormat="1" ht="13.5" thickBot="1">
      <c r="A63" s="371"/>
      <c r="B63" s="1174"/>
      <c r="C63" s="29"/>
      <c r="D63" s="1184"/>
      <c r="E63" s="1168" t="s">
        <v>1499</v>
      </c>
      <c r="F63" s="347">
        <f t="shared" ca="1" si="0"/>
        <v>3260.64</v>
      </c>
      <c r="I63" s="1928" t="s">
        <v>1576</v>
      </c>
      <c r="J63" s="1929">
        <v>70</v>
      </c>
      <c r="K63" s="1929">
        <v>50</v>
      </c>
      <c r="L63" s="1929">
        <v>80</v>
      </c>
      <c r="M63" s="1931">
        <v>0.02</v>
      </c>
      <c r="O63" s="1868" t="s">
        <v>1577</v>
      </c>
      <c r="P63" s="1838"/>
      <c r="Q63" s="1838"/>
      <c r="R63" s="1838"/>
    </row>
    <row r="64" spans="1:18" s="1841" customFormat="1" ht="13.5" thickBot="1">
      <c r="A64" s="1200" t="s">
        <v>1500</v>
      </c>
      <c r="B64" s="1168" t="s">
        <v>1501</v>
      </c>
      <c r="C64" s="24">
        <f ca="1">ROUND(C57*F64,1)</f>
        <v>122.3</v>
      </c>
      <c r="D64" s="1182" t="s">
        <v>1502</v>
      </c>
      <c r="E64" s="1168" t="s">
        <v>1494</v>
      </c>
      <c r="F64" s="373">
        <f t="shared" ca="1" si="0"/>
        <v>1.4999999999999999E-2</v>
      </c>
      <c r="I64" s="1928" t="s">
        <v>1578</v>
      </c>
      <c r="J64" s="1929">
        <v>50</v>
      </c>
      <c r="K64" s="1929">
        <v>35</v>
      </c>
      <c r="L64" s="1929">
        <v>60</v>
      </c>
      <c r="M64" s="1930">
        <v>0</v>
      </c>
      <c r="O64" s="1876" t="s">
        <v>1522</v>
      </c>
      <c r="P64" s="1877" t="s">
        <v>1523</v>
      </c>
      <c r="Q64" s="1878" t="s">
        <v>1524</v>
      </c>
      <c r="R64" s="1878" t="s">
        <v>1525</v>
      </c>
    </row>
    <row r="65" spans="1:18" s="1841" customFormat="1" ht="13.5" thickBot="1">
      <c r="A65" s="1200" t="s">
        <v>1503</v>
      </c>
      <c r="B65" s="1168" t="s">
        <v>1453</v>
      </c>
      <c r="C65" s="24">
        <f ca="1">ROUND(C56*F65,1)</f>
        <v>16.3</v>
      </c>
      <c r="D65" s="1182" t="s">
        <v>1454</v>
      </c>
      <c r="E65" s="1168" t="s">
        <v>1455</v>
      </c>
      <c r="F65" s="375">
        <f t="shared" ca="1" si="0"/>
        <v>2E-3</v>
      </c>
      <c r="I65" s="1928" t="s">
        <v>1579</v>
      </c>
      <c r="J65" s="1929">
        <v>40</v>
      </c>
      <c r="K65" s="1929">
        <v>30</v>
      </c>
      <c r="L65" s="1929">
        <v>50</v>
      </c>
      <c r="M65" s="1931">
        <v>0.02</v>
      </c>
      <c r="O65" s="1883" t="s">
        <v>1040</v>
      </c>
      <c r="P65" s="1884" t="s">
        <v>1580</v>
      </c>
      <c r="Q65" s="1885">
        <f ca="1">C40+J29</f>
        <v>51007</v>
      </c>
      <c r="R65" s="1885" t="s">
        <v>1529</v>
      </c>
    </row>
    <row r="66" spans="1:18" s="1841" customFormat="1" ht="16.5" thickBot="1">
      <c r="A66" s="1200" t="s">
        <v>1504</v>
      </c>
      <c r="B66" s="1168" t="s">
        <v>1439</v>
      </c>
      <c r="C66" s="24">
        <f ca="1">ROUND(C48*F66,1)</f>
        <v>0</v>
      </c>
      <c r="D66" s="1182" t="s">
        <v>1505</v>
      </c>
      <c r="E66" s="1168" t="s">
        <v>1422</v>
      </c>
      <c r="F66" s="356">
        <f t="shared" ca="1" si="0"/>
        <v>2.5000000000000001E-2</v>
      </c>
      <c r="O66" s="1883" t="s">
        <v>1041</v>
      </c>
      <c r="P66" s="1884" t="s">
        <v>1558</v>
      </c>
      <c r="Q66" s="1885">
        <f ca="1">L60</f>
        <v>0</v>
      </c>
      <c r="R66" s="1885" t="s">
        <v>1581</v>
      </c>
    </row>
    <row r="67" spans="1:18" s="1841" customFormat="1" ht="16.5" thickBot="1">
      <c r="A67" s="1175" t="s">
        <v>1031</v>
      </c>
      <c r="B67" s="1185" t="s">
        <v>1463</v>
      </c>
      <c r="C67" s="360">
        <f ca="1">C48-C58</f>
        <v>-824</v>
      </c>
      <c r="D67" s="1181" t="s">
        <v>1464</v>
      </c>
      <c r="E67" s="1186"/>
      <c r="F67" s="1187"/>
      <c r="O67" s="1893" t="s">
        <v>1042</v>
      </c>
      <c r="P67" s="1884" t="s">
        <v>1562</v>
      </c>
      <c r="Q67" s="1932">
        <f ca="1">L51</f>
        <v>22518</v>
      </c>
      <c r="R67" s="1885" t="s">
        <v>1582</v>
      </c>
    </row>
    <row r="68" spans="1:18" s="1841" customFormat="1" ht="16.5" thickBot="1">
      <c r="A68" s="1165" t="s">
        <v>1032</v>
      </c>
      <c r="B68" s="1166" t="s">
        <v>1485</v>
      </c>
      <c r="C68" s="345">
        <f ca="1">ROUND(C67*(1-((1+F70)/(1+F68))^F69)/(F68-F70),0)</f>
        <v>-13321</v>
      </c>
      <c r="D68" s="1183" t="s">
        <v>1469</v>
      </c>
      <c r="E68" s="1168" t="s">
        <v>1470</v>
      </c>
      <c r="F68" s="356">
        <f ca="1">F40</f>
        <v>5.5E-2</v>
      </c>
      <c r="O68" s="1893" t="s">
        <v>1043</v>
      </c>
      <c r="P68" s="1933" t="s">
        <v>1583</v>
      </c>
      <c r="Q68" s="1885">
        <f ca="1">ROUND(Q69-Q70*Q71,0)</f>
        <v>1301</v>
      </c>
      <c r="R68" s="1885" t="s">
        <v>1051</v>
      </c>
    </row>
    <row r="69" spans="1:18" s="1841" customFormat="1" ht="13.5" thickBot="1">
      <c r="A69" s="1169"/>
      <c r="B69" s="1170"/>
      <c r="C69" s="350"/>
      <c r="D69" s="1188" t="s">
        <v>1473</v>
      </c>
      <c r="E69" s="1168" t="s">
        <v>1474</v>
      </c>
      <c r="F69" s="378">
        <f ca="1">F41</f>
        <v>41.08</v>
      </c>
      <c r="O69" s="1893" t="s">
        <v>1048</v>
      </c>
      <c r="P69" s="1933" t="s">
        <v>1584</v>
      </c>
      <c r="Q69" s="1885">
        <f ca="1">C39</f>
        <v>2035</v>
      </c>
      <c r="R69" s="1885" t="s">
        <v>1529</v>
      </c>
    </row>
    <row r="70" spans="1:18" s="1841" customFormat="1" ht="13.5" thickBot="1">
      <c r="A70" s="1172"/>
      <c r="B70" s="1173"/>
      <c r="C70" s="354"/>
      <c r="D70" s="1184"/>
      <c r="E70" s="1168" t="s">
        <v>1477</v>
      </c>
      <c r="F70" s="1274"/>
      <c r="O70" s="1893" t="s">
        <v>1049</v>
      </c>
      <c r="P70" s="1933" t="s">
        <v>1585</v>
      </c>
      <c r="Q70" s="1885">
        <f ca="1">C13</f>
        <v>8153</v>
      </c>
      <c r="R70" s="1885" t="s">
        <v>1529</v>
      </c>
    </row>
    <row r="71" spans="1:18" s="1841" customFormat="1" ht="13.5" thickBot="1">
      <c r="A71" s="1189" t="s">
        <v>1033</v>
      </c>
      <c r="B71" s="1190" t="s">
        <v>1487</v>
      </c>
      <c r="C71" s="381">
        <f ca="1">ROUND(C68*10000/F71,0)</f>
        <v>-8896</v>
      </c>
      <c r="D71" s="1191" t="s">
        <v>1488</v>
      </c>
      <c r="E71" s="1192" t="s">
        <v>1489</v>
      </c>
      <c r="F71" s="384">
        <f ca="1">F43</f>
        <v>14974.55</v>
      </c>
      <c r="O71" s="1893" t="s">
        <v>1050</v>
      </c>
      <c r="P71" s="1933" t="s">
        <v>1586</v>
      </c>
      <c r="Q71" s="1896">
        <f ca="1">C76</f>
        <v>0.09</v>
      </c>
      <c r="R71" s="1885"/>
    </row>
    <row r="72" spans="1:18" s="1841" customFormat="1" ht="13.5" thickBot="1">
      <c r="B72" s="795"/>
      <c r="C72" s="795"/>
      <c r="O72" s="1893" t="s">
        <v>1044</v>
      </c>
      <c r="P72" s="1884" t="s">
        <v>1564</v>
      </c>
      <c r="Q72" s="1896">
        <f>L52</f>
        <v>0</v>
      </c>
      <c r="R72" s="1885"/>
    </row>
    <row r="73" spans="1:18" ht="16.5" thickBot="1">
      <c r="A73" s="1841"/>
      <c r="B73" s="795"/>
      <c r="C73" s="795"/>
      <c r="D73" s="1841"/>
      <c r="E73" s="1841"/>
      <c r="F73" s="1841"/>
      <c r="O73" s="1893" t="s">
        <v>1045</v>
      </c>
      <c r="P73" s="1884" t="s">
        <v>1567</v>
      </c>
      <c r="Q73" s="1885" t="e">
        <f ca="1">L58</f>
        <v>#DIV/0!</v>
      </c>
      <c r="R73" s="1885" t="s">
        <v>1568</v>
      </c>
    </row>
    <row r="74" spans="1:18" ht="13.5" thickBot="1">
      <c r="A74" s="1841"/>
      <c r="B74" s="316" t="s">
        <v>1587</v>
      </c>
      <c r="C74" s="1935"/>
      <c r="D74" s="1841"/>
      <c r="E74" s="1841"/>
      <c r="F74" s="1841"/>
      <c r="O74" s="1893" t="s">
        <v>1052</v>
      </c>
      <c r="P74" s="1884" t="str">
        <f>K59</f>
        <v>建筑物剩余耐用年限下的土地年期修正系数Kn</v>
      </c>
      <c r="Q74" s="1885" t="e">
        <f ca="1">L59</f>
        <v>#DIV/0!</v>
      </c>
      <c r="R74" s="1885" t="s">
        <v>1569</v>
      </c>
    </row>
    <row r="75" spans="1:18" ht="13.5" thickBot="1">
      <c r="A75" s="1841"/>
      <c r="B75" s="385" t="s">
        <v>1506</v>
      </c>
      <c r="C75" s="386">
        <f ca="1">ROUND(C13*C76,0)</f>
        <v>734</v>
      </c>
      <c r="D75" s="1841"/>
      <c r="E75" s="1841"/>
      <c r="F75" s="1841"/>
      <c r="K75" s="1867"/>
      <c r="L75" s="1841"/>
      <c r="O75" s="1883" t="s">
        <v>1046</v>
      </c>
      <c r="P75" s="1884" t="s">
        <v>1549</v>
      </c>
      <c r="Q75" s="1885">
        <f ca="1">Q65+Q66</f>
        <v>51007</v>
      </c>
      <c r="R75" s="1885" t="s">
        <v>1047</v>
      </c>
    </row>
    <row r="76" spans="1:18">
      <c r="B76" s="387" t="s">
        <v>1507</v>
      </c>
      <c r="C76" s="388">
        <f ca="1">INDIRECT("'数据-取费表'!j"&amp;$G$1)</f>
        <v>0.09</v>
      </c>
      <c r="I76" s="1841"/>
      <c r="J76" s="1841"/>
      <c r="K76" s="1867"/>
      <c r="L76" s="1841"/>
    </row>
    <row r="77" spans="1:18">
      <c r="B77" s="389" t="s">
        <v>1508</v>
      </c>
      <c r="C77" s="390"/>
      <c r="I77" s="1841"/>
      <c r="J77" s="1841"/>
      <c r="K77" s="1867"/>
      <c r="L77" s="1841"/>
    </row>
    <row r="78" spans="1:18">
      <c r="B78" s="313" t="s">
        <v>1509</v>
      </c>
      <c r="C78" s="391"/>
    </row>
    <row r="79" spans="1:18">
      <c r="B79" s="385" t="s">
        <v>1510</v>
      </c>
      <c r="C79" s="317">
        <f ca="1">1-C80</f>
        <v>0.63900000000000001</v>
      </c>
    </row>
    <row r="80" spans="1:18">
      <c r="B80" s="385" t="s">
        <v>1511</v>
      </c>
      <c r="C80" s="317">
        <f ca="1">ROUND(C75/C39,3)</f>
        <v>0.36099999999999999</v>
      </c>
    </row>
    <row r="81" spans="2:3">
      <c r="B81" s="313" t="s">
        <v>1512</v>
      </c>
      <c r="C81" s="281"/>
    </row>
    <row r="82" spans="2:3">
      <c r="B82" s="316" t="s">
        <v>1513</v>
      </c>
      <c r="C82" s="318">
        <f ca="1">1-C83</f>
        <v>0.84</v>
      </c>
    </row>
    <row r="83" spans="2:3">
      <c r="B83" s="316" t="s">
        <v>1514</v>
      </c>
      <c r="C83" s="317">
        <f ca="1">ROUND(C13/C40,3)</f>
        <v>0.16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73" priority="56">
      <formula>$L$48&gt;$J$51</formula>
    </cfRule>
  </conditionalFormatting>
  <conditionalFormatting sqref="I55 I60">
    <cfRule type="expression" dxfId="172" priority="57">
      <formula>$J$51&gt;$L$48</formula>
    </cfRule>
  </conditionalFormatting>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85" t="s">
        <v>1076</v>
      </c>
      <c r="B1" s="3286"/>
      <c r="C1" s="3287"/>
      <c r="D1" s="3288">
        <f>SUM(I10,I15,I20,I21,I23)</f>
        <v>0</v>
      </c>
      <c r="E1" s="3288"/>
      <c r="F1" s="3288"/>
      <c r="G1" s="3288"/>
      <c r="H1" s="3288"/>
      <c r="I1" s="3289"/>
    </row>
    <row r="2" spans="1:9">
      <c r="A2" s="3275" t="s">
        <v>1077</v>
      </c>
      <c r="B2" s="3276" t="s">
        <v>1078</v>
      </c>
      <c r="C2" s="3276"/>
      <c r="D2" s="1300" t="s">
        <v>1079</v>
      </c>
      <c r="E2" s="1300" t="s">
        <v>1080</v>
      </c>
      <c r="F2" s="1300" t="s">
        <v>1081</v>
      </c>
      <c r="G2" s="1300" t="s">
        <v>1082</v>
      </c>
      <c r="H2" s="1300" t="s">
        <v>1083</v>
      </c>
      <c r="I2" s="1301" t="s">
        <v>1084</v>
      </c>
    </row>
    <row r="3" spans="1:9">
      <c r="A3" s="3275"/>
      <c r="B3" s="3276" t="s">
        <v>1085</v>
      </c>
      <c r="C3" s="3276"/>
      <c r="D3" s="1302"/>
      <c r="E3" s="1300"/>
      <c r="F3" s="1303"/>
      <c r="G3" s="1303"/>
      <c r="H3" s="1304"/>
      <c r="I3" s="1305">
        <f>ROUND(D3*E3*F3*G3*H3/10000,0)</f>
        <v>0</v>
      </c>
    </row>
    <row r="4" spans="1:9">
      <c r="A4" s="3275"/>
      <c r="B4" s="3276" t="s">
        <v>1086</v>
      </c>
      <c r="C4" s="3276"/>
      <c r="D4" s="1302"/>
      <c r="E4" s="1300"/>
      <c r="F4" s="1303"/>
      <c r="G4" s="1303"/>
      <c r="H4" s="1304"/>
      <c r="I4" s="1305">
        <f t="shared" ref="I4:I9" si="0">ROUND(D4*E4*F4*G4*H4/10000,0)</f>
        <v>0</v>
      </c>
    </row>
    <row r="5" spans="1:9">
      <c r="A5" s="3275"/>
      <c r="B5" s="3276" t="s">
        <v>1087</v>
      </c>
      <c r="C5" s="3276"/>
      <c r="D5" s="1302"/>
      <c r="E5" s="1300"/>
      <c r="F5" s="1303"/>
      <c r="G5" s="1303"/>
      <c r="H5" s="1304"/>
      <c r="I5" s="1305">
        <f t="shared" si="0"/>
        <v>0</v>
      </c>
    </row>
    <row r="6" spans="1:9">
      <c r="A6" s="3275"/>
      <c r="B6" s="3276" t="s">
        <v>1088</v>
      </c>
      <c r="C6" s="3276"/>
      <c r="D6" s="1302"/>
      <c r="E6" s="1300"/>
      <c r="F6" s="1303"/>
      <c r="G6" s="1303"/>
      <c r="H6" s="1304"/>
      <c r="I6" s="1305">
        <f t="shared" si="0"/>
        <v>0</v>
      </c>
    </row>
    <row r="7" spans="1:9">
      <c r="A7" s="3275"/>
      <c r="B7" s="3276" t="s">
        <v>1089</v>
      </c>
      <c r="C7" s="3276"/>
      <c r="D7" s="1302"/>
      <c r="E7" s="1300"/>
      <c r="F7" s="1303"/>
      <c r="G7" s="1303"/>
      <c r="H7" s="1304"/>
      <c r="I7" s="1305">
        <f t="shared" si="0"/>
        <v>0</v>
      </c>
    </row>
    <row r="8" spans="1:9">
      <c r="A8" s="3275"/>
      <c r="B8" s="3276" t="s">
        <v>1090</v>
      </c>
      <c r="C8" s="3276"/>
      <c r="D8" s="1302"/>
      <c r="E8" s="1300"/>
      <c r="F8" s="1303"/>
      <c r="G8" s="1303"/>
      <c r="H8" s="1304"/>
      <c r="I8" s="1305">
        <f t="shared" si="0"/>
        <v>0</v>
      </c>
    </row>
    <row r="9" spans="1:9">
      <c r="A9" s="3275"/>
      <c r="B9" s="3276" t="s">
        <v>1091</v>
      </c>
      <c r="C9" s="3276"/>
      <c r="D9" s="1302"/>
      <c r="E9" s="1300"/>
      <c r="F9" s="1303"/>
      <c r="G9" s="1303"/>
      <c r="H9" s="1304"/>
      <c r="I9" s="1305">
        <f t="shared" si="0"/>
        <v>0</v>
      </c>
    </row>
    <row r="10" spans="1:9">
      <c r="A10" s="3275"/>
      <c r="B10" s="3277" t="s">
        <v>1092</v>
      </c>
      <c r="C10" s="3277"/>
      <c r="D10" s="1306"/>
      <c r="E10" s="1306" t="e">
        <f>ROUND(D1*10000/D10/H9,0)</f>
        <v>#DIV/0!</v>
      </c>
      <c r="F10" s="1307"/>
      <c r="G10" s="1307"/>
      <c r="H10" s="1308"/>
      <c r="I10" s="1309">
        <f>SUM(I3:I9)</f>
        <v>0</v>
      </c>
    </row>
    <row r="11" spans="1:9" ht="14.25">
      <c r="A11" s="3275" t="s">
        <v>1093</v>
      </c>
      <c r="B11" s="3276" t="s">
        <v>1094</v>
      </c>
      <c r="C11" s="3276"/>
      <c r="D11" s="1302" t="s">
        <v>1095</v>
      </c>
      <c r="E11" s="1302" t="s">
        <v>1096</v>
      </c>
      <c r="F11" s="1303" t="s">
        <v>1097</v>
      </c>
      <c r="G11" s="1303" t="s">
        <v>1083</v>
      </c>
      <c r="H11" s="1310" t="s">
        <v>1098</v>
      </c>
      <c r="I11" s="1301" t="s">
        <v>1084</v>
      </c>
    </row>
    <row r="12" spans="1:9">
      <c r="A12" s="3275"/>
      <c r="B12" s="3276" t="s">
        <v>1099</v>
      </c>
      <c r="C12" s="3276"/>
      <c r="D12" s="1302"/>
      <c r="E12" s="1302"/>
      <c r="F12" s="1303"/>
      <c r="G12" s="1304"/>
      <c r="H12" s="1311"/>
      <c r="I12" s="1301">
        <f>ROUND(D12*E12*F12*G12/10000,0)</f>
        <v>0</v>
      </c>
    </row>
    <row r="13" spans="1:9">
      <c r="A13" s="3275"/>
      <c r="B13" s="3276" t="s">
        <v>1100</v>
      </c>
      <c r="C13" s="3276"/>
      <c r="D13" s="1302"/>
      <c r="E13" s="1302"/>
      <c r="F13" s="1303"/>
      <c r="G13" s="1304"/>
      <c r="H13" s="1311"/>
      <c r="I13" s="1301">
        <f>ROUND(D13*E13*F13*G13/10000,0)</f>
        <v>0</v>
      </c>
    </row>
    <row r="14" spans="1:9">
      <c r="A14" s="3275"/>
      <c r="B14" s="3276" t="s">
        <v>1101</v>
      </c>
      <c r="C14" s="3276"/>
      <c r="D14" s="1302"/>
      <c r="E14" s="1302"/>
      <c r="F14" s="1303"/>
      <c r="G14" s="1304"/>
      <c r="H14" s="1311"/>
      <c r="I14" s="1301">
        <f>ROUND(D14*E14*F14*G14/10000,0)</f>
        <v>0</v>
      </c>
    </row>
    <row r="15" spans="1:9">
      <c r="A15" s="3275"/>
      <c r="B15" s="3277" t="s">
        <v>1092</v>
      </c>
      <c r="C15" s="3277"/>
      <c r="D15" s="1306"/>
      <c r="E15" s="1306">
        <f>SUM(E12:E14)</f>
        <v>0</v>
      </c>
      <c r="F15" s="1307"/>
      <c r="G15" s="1304"/>
      <c r="H15" s="1311"/>
      <c r="I15" s="1312">
        <f>SUM(I12:I14)</f>
        <v>0</v>
      </c>
    </row>
    <row r="16" spans="1:9" ht="24">
      <c r="A16" s="3275" t="s">
        <v>1102</v>
      </c>
      <c r="B16" s="3276" t="s">
        <v>1103</v>
      </c>
      <c r="C16" s="3276"/>
      <c r="D16" s="1302" t="s">
        <v>1079</v>
      </c>
      <c r="E16" s="1313" t="s">
        <v>1104</v>
      </c>
      <c r="F16" s="1303" t="s">
        <v>1105</v>
      </c>
      <c r="G16" s="1304" t="s">
        <v>1083</v>
      </c>
      <c r="H16" s="1310" t="s">
        <v>1098</v>
      </c>
      <c r="I16" s="1301" t="s">
        <v>1084</v>
      </c>
    </row>
    <row r="17" spans="1:9" ht="14.25">
      <c r="A17" s="3275"/>
      <c r="B17" s="3276" t="s">
        <v>1106</v>
      </c>
      <c r="C17" s="3276"/>
      <c r="D17" s="1302"/>
      <c r="E17" s="1302"/>
      <c r="F17" s="1303"/>
      <c r="G17" s="1304"/>
      <c r="H17" s="1314"/>
      <c r="I17" s="1315">
        <f>ROUND(D17*E17*F17*G17/10000,0)</f>
        <v>0</v>
      </c>
    </row>
    <row r="18" spans="1:9" ht="14.25">
      <c r="A18" s="3275"/>
      <c r="B18" s="3276" t="s">
        <v>1107</v>
      </c>
      <c r="C18" s="3276"/>
      <c r="D18" s="1302"/>
      <c r="E18" s="1302"/>
      <c r="F18" s="1303"/>
      <c r="G18" s="1304"/>
      <c r="H18" s="1314"/>
      <c r="I18" s="1315">
        <f>ROUND(D18*E18*F18*G18/10000,0)</f>
        <v>0</v>
      </c>
    </row>
    <row r="19" spans="1:9" ht="14.25">
      <c r="A19" s="3275"/>
      <c r="B19" s="3276" t="s">
        <v>1108</v>
      </c>
      <c r="C19" s="3276"/>
      <c r="D19" s="1302"/>
      <c r="E19" s="1302"/>
      <c r="F19" s="1303"/>
      <c r="G19" s="1304"/>
      <c r="H19" s="1314"/>
      <c r="I19" s="1315">
        <f>ROUND(D19*E19*F19*G19/10000,0)</f>
        <v>0</v>
      </c>
    </row>
    <row r="20" spans="1:9">
      <c r="A20" s="3275"/>
      <c r="B20" s="3277" t="s">
        <v>1092</v>
      </c>
      <c r="C20" s="3277"/>
      <c r="D20" s="1306">
        <f>SUM(D17:D19)</f>
        <v>0</v>
      </c>
      <c r="E20" s="1306"/>
      <c r="F20" s="1307"/>
      <c r="G20" s="1304"/>
      <c r="H20" s="1311"/>
      <c r="I20" s="1312">
        <f>SUM(I17:I19)</f>
        <v>0</v>
      </c>
    </row>
    <row r="21" spans="1:9">
      <c r="A21" s="3275" t="s">
        <v>1109</v>
      </c>
      <c r="B21" s="3278"/>
      <c r="C21" s="3278"/>
      <c r="D21" s="3278"/>
      <c r="E21" s="3278"/>
      <c r="F21" s="3278"/>
      <c r="G21" s="3278"/>
      <c r="H21" s="1764">
        <v>0.1</v>
      </c>
      <c r="I21" s="1309">
        <f>ROUND(I10*H21,0)</f>
        <v>0</v>
      </c>
    </row>
    <row r="22" spans="1:9" ht="14.25">
      <c r="A22" s="3279" t="s">
        <v>1110</v>
      </c>
      <c r="B22" s="3280"/>
      <c r="C22" s="3281"/>
      <c r="D22" s="1316" t="s">
        <v>1111</v>
      </c>
      <c r="E22" s="1316" t="s">
        <v>1112</v>
      </c>
      <c r="F22" s="1317" t="s">
        <v>1113</v>
      </c>
      <c r="G22" s="1317" t="s">
        <v>1114</v>
      </c>
      <c r="H22" s="1310" t="s">
        <v>1115</v>
      </c>
      <c r="I22" s="1301" t="s">
        <v>1116</v>
      </c>
    </row>
    <row r="23" spans="1:9" ht="14.25" thickBot="1">
      <c r="A23" s="3282"/>
      <c r="B23" s="3283"/>
      <c r="C23" s="3284"/>
      <c r="D23" s="1318"/>
      <c r="E23" s="1318"/>
      <c r="F23" s="1318"/>
      <c r="G23" s="1319"/>
      <c r="H23" s="1320"/>
      <c r="I23" s="1321">
        <f>ROUND(E23*D23*F23*(1-G23)/10000,0)</f>
        <v>0</v>
      </c>
    </row>
    <row r="26" spans="1:9">
      <c r="A26" s="1322" t="s">
        <v>1117</v>
      </c>
      <c r="B26" s="1322"/>
      <c r="C26" s="1322"/>
      <c r="D26" s="1322"/>
      <c r="E26" s="3272">
        <f>C27-C30-C31-C32</f>
        <v>0</v>
      </c>
      <c r="F26" s="3272"/>
      <c r="G26" s="3272"/>
      <c r="H26" s="1736" t="s">
        <v>1340</v>
      </c>
    </row>
    <row r="27" spans="1:9">
      <c r="A27" s="1323">
        <v>1</v>
      </c>
      <c r="B27" s="1324" t="s">
        <v>1118</v>
      </c>
      <c r="C27" s="1324">
        <f>C28+C29</f>
        <v>0</v>
      </c>
      <c r="D27" s="1324"/>
      <c r="E27" s="3273"/>
      <c r="F27" s="3273"/>
      <c r="G27" s="3273"/>
    </row>
    <row r="28" spans="1:9">
      <c r="A28" s="1325" t="s">
        <v>1119</v>
      </c>
      <c r="B28" s="1324" t="s">
        <v>1120</v>
      </c>
      <c r="C28" s="1324"/>
      <c r="D28" s="1324"/>
      <c r="E28" s="3273"/>
      <c r="F28" s="3273"/>
      <c r="G28" s="3273"/>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274"/>
      <c r="F32" s="3274"/>
      <c r="G32" s="3274"/>
    </row>
    <row r="33" spans="1:7" hidden="1">
      <c r="A33" s="3269" t="s">
        <v>1129</v>
      </c>
      <c r="B33" s="3270"/>
      <c r="C33" s="3270"/>
      <c r="D33" s="3271"/>
      <c r="E33" s="3272"/>
      <c r="F33" s="3272"/>
      <c r="G33" s="3272"/>
    </row>
    <row r="34" spans="1:7" hidden="1">
      <c r="A34" s="1327">
        <v>1</v>
      </c>
      <c r="B34" s="1324" t="s">
        <v>1130</v>
      </c>
      <c r="C34" s="1324"/>
      <c r="D34" s="1324"/>
      <c r="E34" s="3273"/>
      <c r="F34" s="3273"/>
      <c r="G34" s="3273"/>
    </row>
    <row r="35" spans="1:7" hidden="1">
      <c r="A35" s="1327">
        <v>2</v>
      </c>
      <c r="B35" s="1324" t="s">
        <v>1131</v>
      </c>
      <c r="C35" s="1324"/>
      <c r="D35" s="1324"/>
      <c r="E35" s="3273"/>
      <c r="F35" s="3273"/>
      <c r="G35" s="3273"/>
    </row>
    <row r="36" spans="1:7" hidden="1">
      <c r="A36" s="1327">
        <v>3</v>
      </c>
      <c r="B36" s="1324" t="s">
        <v>1132</v>
      </c>
      <c r="C36" s="1324"/>
      <c r="D36" s="1324"/>
      <c r="E36" s="3273"/>
      <c r="F36" s="3273"/>
      <c r="G36" s="3273"/>
    </row>
    <row r="37" spans="1:7" hidden="1">
      <c r="A37" s="1327">
        <v>4</v>
      </c>
      <c r="B37" s="1324" t="s">
        <v>1133</v>
      </c>
      <c r="C37" s="1324"/>
      <c r="D37" s="1324"/>
      <c r="E37" s="3273"/>
      <c r="F37" s="3273"/>
      <c r="G37" s="3273"/>
    </row>
    <row r="38" spans="1:7" hidden="1">
      <c r="A38" s="3269" t="s">
        <v>1134</v>
      </c>
      <c r="B38" s="3270"/>
      <c r="C38" s="3270"/>
      <c r="D38" s="3271"/>
      <c r="E38" s="3272"/>
      <c r="F38" s="3272"/>
      <c r="G38" s="327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9"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2532</v>
      </c>
      <c r="B1" s="2582" t="s">
        <v>2533</v>
      </c>
      <c r="C1" s="1633" t="s">
        <v>2534</v>
      </c>
      <c r="D1" s="1620"/>
      <c r="E1" s="2583"/>
      <c r="F1" s="2584" t="s">
        <v>2535</v>
      </c>
      <c r="G1" s="1630" t="s">
        <v>2536</v>
      </c>
      <c r="H1" s="1629"/>
      <c r="I1" s="1629"/>
      <c r="J1" s="1629"/>
      <c r="K1" s="1631"/>
      <c r="L1" s="1632"/>
      <c r="M1" s="1633"/>
      <c r="N1" s="1633"/>
      <c r="O1" s="1633"/>
      <c r="P1" s="2585"/>
      <c r="Q1" s="1619"/>
      <c r="R1" s="1619"/>
      <c r="S1" s="1619"/>
      <c r="T1" s="1619"/>
      <c r="U1" s="1619"/>
      <c r="V1" s="1619"/>
      <c r="W1" s="1619"/>
      <c r="X1" s="1619"/>
      <c r="Y1" s="1619"/>
      <c r="Z1" s="1619"/>
      <c r="AA1" s="1619"/>
      <c r="AB1" s="1619"/>
      <c r="AC1" s="1627"/>
    </row>
    <row r="2" spans="1:29" s="392" customFormat="1" ht="28.5" customHeight="1" thickTop="1">
      <c r="A2" s="1616" t="s">
        <v>1394</v>
      </c>
      <c r="B2" s="1417" t="e">
        <f ca="1">IF(C2="——",ROUND(C49*D3/10000,0),ROUND(C49*D3/10000,0)-D2)</f>
        <v>#DIV/0!</v>
      </c>
      <c r="C2" s="2586"/>
      <c r="D2" s="1364" t="e">
        <f ca="1">SUMIF(INDIRECT("'"&amp;F2&amp;"'"&amp;"!A:A"),"承租人权益价值",INDIRECT("'"&amp;F2&amp;"'"&amp;"!c:c"))</f>
        <v>#REF!</v>
      </c>
      <c r="E2" s="2587" t="s">
        <v>2537</v>
      </c>
      <c r="F2" s="2588"/>
      <c r="G2" s="1123"/>
      <c r="H2" s="1123"/>
      <c r="I2" s="1123"/>
      <c r="J2" s="1123"/>
      <c r="K2" s="2589"/>
      <c r="L2" s="2590"/>
      <c r="M2" s="2591"/>
      <c r="N2" s="2591"/>
      <c r="O2" s="2591"/>
      <c r="P2" s="2592"/>
      <c r="Q2" s="2593"/>
      <c r="R2" s="2593"/>
      <c r="S2" s="2593"/>
      <c r="T2" s="2593"/>
      <c r="U2" s="2593"/>
      <c r="V2" s="2593"/>
      <c r="W2" s="2593"/>
      <c r="X2" s="2593"/>
      <c r="Y2" s="2593"/>
      <c r="Z2" s="2593"/>
      <c r="AA2" s="2593"/>
      <c r="AB2" s="2593"/>
      <c r="AC2" s="2594"/>
    </row>
    <row r="3" spans="1:29" s="392" customFormat="1" ht="28.5" customHeight="1" thickBot="1">
      <c r="A3" s="246" t="s">
        <v>1395</v>
      </c>
      <c r="B3" s="398" t="e">
        <f ca="1">IF(C2="——",C49,ROUND(B2*10000/D3,0))</f>
        <v>#DIV/0!</v>
      </c>
      <c r="C3" s="399" t="s">
        <v>2538</v>
      </c>
      <c r="D3" s="398">
        <f>IF(D1="",'数据-汇总表'!E3,SUMIF('数据-汇总表'!$C19:$C33,D1,'数据-汇总表'!$E19:$E33))</f>
        <v>14974.55</v>
      </c>
      <c r="E3" s="1123"/>
      <c r="F3" s="2595"/>
      <c r="G3" s="1123"/>
      <c r="H3" s="1123"/>
      <c r="I3" s="1123"/>
      <c r="J3" s="1123"/>
      <c r="K3" s="2589"/>
      <c r="L3" s="2590"/>
      <c r="M3" s="2591"/>
      <c r="N3" s="2591"/>
      <c r="O3" s="2591"/>
      <c r="P3" s="2592"/>
      <c r="Q3" s="2593"/>
      <c r="R3" s="2593"/>
      <c r="S3" s="2593"/>
      <c r="T3" s="2593"/>
      <c r="U3" s="2593"/>
      <c r="V3" s="2593"/>
      <c r="W3" s="2593"/>
      <c r="X3" s="2593"/>
      <c r="Y3" s="2593"/>
      <c r="Z3" s="2593"/>
      <c r="AA3" s="2593"/>
      <c r="AB3" s="2593"/>
      <c r="AC3" s="1281"/>
    </row>
    <row r="4" spans="1:29" ht="15">
      <c r="A4" s="400" t="s">
        <v>2539</v>
      </c>
      <c r="B4" s="401"/>
      <c r="C4" s="3235" t="s">
        <v>2540</v>
      </c>
      <c r="D4" s="3236"/>
      <c r="E4" s="3237" t="s">
        <v>2541</v>
      </c>
      <c r="F4" s="3238"/>
      <c r="G4" s="3235" t="s">
        <v>2542</v>
      </c>
      <c r="H4" s="3236"/>
      <c r="I4" s="3235" t="s">
        <v>2543</v>
      </c>
      <c r="J4" s="3236"/>
      <c r="K4" s="2596" t="s">
        <v>2544</v>
      </c>
      <c r="L4" s="1129"/>
      <c r="M4" s="1130"/>
      <c r="N4" s="1130"/>
      <c r="O4" s="1130"/>
      <c r="P4" s="3294" t="s">
        <v>2545</v>
      </c>
      <c r="Q4" s="3295"/>
      <c r="R4" s="3298" t="s">
        <v>2541</v>
      </c>
      <c r="S4" s="3299"/>
      <c r="T4" s="3298" t="s">
        <v>2542</v>
      </c>
      <c r="U4" s="3299"/>
      <c r="V4" s="3252" t="s">
        <v>2543</v>
      </c>
      <c r="W4" s="3252"/>
      <c r="X4" s="1812"/>
      <c r="Y4" s="3298" t="s">
        <v>2545</v>
      </c>
      <c r="Z4" s="3299"/>
      <c r="AA4" s="3293" t="s">
        <v>2541</v>
      </c>
      <c r="AB4" s="3293" t="s">
        <v>2542</v>
      </c>
      <c r="AC4" s="3293" t="s">
        <v>2543</v>
      </c>
    </row>
    <row r="5" spans="1:29" ht="15">
      <c r="A5" s="403"/>
      <c r="B5" s="404"/>
      <c r="C5" s="3261" t="s">
        <v>2546</v>
      </c>
      <c r="D5" s="3256"/>
      <c r="E5" s="3300" t="s">
        <v>2547</v>
      </c>
      <c r="F5" s="3268"/>
      <c r="G5" s="3261" t="s">
        <v>2548</v>
      </c>
      <c r="H5" s="3256"/>
      <c r="I5" s="3261" t="s">
        <v>2549</v>
      </c>
      <c r="J5" s="3256"/>
      <c r="K5" s="2597"/>
      <c r="L5" s="1129"/>
      <c r="M5" s="1130"/>
      <c r="N5" s="1130"/>
      <c r="O5" s="1130"/>
      <c r="P5" s="3296"/>
      <c r="Q5" s="3242"/>
      <c r="R5" s="3247"/>
      <c r="S5" s="3248"/>
      <c r="T5" s="3247"/>
      <c r="U5" s="3248"/>
      <c r="V5" s="3252"/>
      <c r="W5" s="3252"/>
      <c r="X5" s="1812"/>
      <c r="Y5" s="3247"/>
      <c r="Z5" s="3248"/>
      <c r="AA5" s="3265"/>
      <c r="AB5" s="3265"/>
      <c r="AC5" s="3265"/>
    </row>
    <row r="6" spans="1:29" ht="15.75" thickBot="1">
      <c r="A6" s="405"/>
      <c r="B6" s="406"/>
      <c r="C6" s="3253" t="s">
        <v>2550</v>
      </c>
      <c r="D6" s="3254"/>
      <c r="E6" s="3262" t="s">
        <v>2550</v>
      </c>
      <c r="F6" s="3263"/>
      <c r="G6" s="3253" t="s">
        <v>2550</v>
      </c>
      <c r="H6" s="3254"/>
      <c r="I6" s="3253" t="s">
        <v>2550</v>
      </c>
      <c r="J6" s="3254"/>
      <c r="K6" s="2597" t="s">
        <v>2551</v>
      </c>
      <c r="L6" s="1129"/>
      <c r="M6" s="1130"/>
      <c r="N6" s="1130"/>
      <c r="O6" s="1130"/>
      <c r="P6" s="3297"/>
      <c r="Q6" s="3244"/>
      <c r="R6" s="3247"/>
      <c r="S6" s="3248"/>
      <c r="T6" s="3249"/>
      <c r="U6" s="3250"/>
      <c r="V6" s="3252"/>
      <c r="W6" s="3252"/>
      <c r="X6" s="1812"/>
      <c r="Y6" s="3249"/>
      <c r="Z6" s="3250"/>
      <c r="AA6" s="3266"/>
      <c r="AB6" s="3266"/>
      <c r="AC6" s="3266"/>
    </row>
    <row r="7" spans="1:29" s="116" customFormat="1" ht="15.75" thickBot="1">
      <c r="A7" s="407" t="s">
        <v>2552</v>
      </c>
      <c r="B7" s="408"/>
      <c r="C7" s="409">
        <f>'数据-取费表'!B2</f>
        <v>43252</v>
      </c>
      <c r="D7" s="410">
        <v>100</v>
      </c>
      <c r="E7" s="411"/>
      <c r="F7" s="412">
        <f>SUMIF(58:58,YEAR(E7)&amp;"-"&amp;MONTH(E7),59:59)</f>
        <v>0</v>
      </c>
      <c r="G7" s="411"/>
      <c r="H7" s="410">
        <f>SUMIF(58:58,YEAR(G7)&amp;"-"&amp;MONTH(G7),59:59)</f>
        <v>0</v>
      </c>
      <c r="I7" s="411"/>
      <c r="J7" s="410">
        <f>SUMIF(58:58,YEAR(I7)&amp;"-"&amp;MONTH(I7),59:59)</f>
        <v>0</v>
      </c>
      <c r="K7" s="2598"/>
      <c r="L7" s="1131"/>
      <c r="M7" s="1132"/>
      <c r="N7" s="1132"/>
      <c r="O7" s="1132"/>
      <c r="P7" s="3259" t="s">
        <v>2553</v>
      </c>
      <c r="Q7" s="3260"/>
      <c r="R7" s="769" t="s">
        <v>23</v>
      </c>
      <c r="S7" s="770">
        <f t="shared" ref="S7:S15" si="0">F7</f>
        <v>0</v>
      </c>
      <c r="T7" s="769" t="s">
        <v>23</v>
      </c>
      <c r="U7" s="770">
        <f t="shared" ref="U7:U15" si="1">H7</f>
        <v>0</v>
      </c>
      <c r="V7" s="769" t="s">
        <v>23</v>
      </c>
      <c r="W7" s="770">
        <f t="shared" ref="W7:W15" si="2">J7</f>
        <v>0</v>
      </c>
      <c r="X7" s="771"/>
      <c r="Y7" s="3259" t="s">
        <v>2553</v>
      </c>
      <c r="Z7" s="3258"/>
      <c r="AA7" s="772" t="e">
        <f>D7/F7</f>
        <v>#DIV/0!</v>
      </c>
      <c r="AB7" s="772" t="e">
        <f>D7/H7</f>
        <v>#DIV/0!</v>
      </c>
      <c r="AC7" s="772" t="e">
        <f>D7/J7</f>
        <v>#DIV/0!</v>
      </c>
    </row>
    <row r="8" spans="1:29" s="116" customFormat="1" ht="15.75" thickBot="1">
      <c r="A8" s="407" t="s">
        <v>2554</v>
      </c>
      <c r="B8" s="408"/>
      <c r="C8" s="413" t="s">
        <v>2555</v>
      </c>
      <c r="D8" s="410">
        <v>100</v>
      </c>
      <c r="E8" s="2599"/>
      <c r="F8" s="412">
        <f>SUMIF(61:61,E8,62:62)-SUMIF(61:61,C8,62:62)+100</f>
        <v>0</v>
      </c>
      <c r="G8" s="413"/>
      <c r="H8" s="410">
        <f>SUMIF(61:61,G8,62:62)-SUMIF(61:61,C8,62:62)+100</f>
        <v>0</v>
      </c>
      <c r="I8" s="2599"/>
      <c r="J8" s="410">
        <f>SUMIF(61:61,I8,62:62)-SUMIF(61:61,C8,62:62)+100</f>
        <v>0</v>
      </c>
      <c r="K8" s="2598"/>
      <c r="L8" s="1131"/>
      <c r="M8" s="1132"/>
      <c r="N8" s="1132"/>
      <c r="O8" s="1132"/>
      <c r="P8" s="3259" t="s">
        <v>2556</v>
      </c>
      <c r="Q8" s="3258"/>
      <c r="R8" s="769" t="s">
        <v>23</v>
      </c>
      <c r="S8" s="770">
        <f t="shared" si="0"/>
        <v>0</v>
      </c>
      <c r="T8" s="769" t="s">
        <v>23</v>
      </c>
      <c r="U8" s="770">
        <f t="shared" si="1"/>
        <v>0</v>
      </c>
      <c r="V8" s="769" t="s">
        <v>23</v>
      </c>
      <c r="W8" s="770">
        <f t="shared" si="2"/>
        <v>0</v>
      </c>
      <c r="X8" s="771"/>
      <c r="Y8" s="3259" t="s">
        <v>2556</v>
      </c>
      <c r="Z8" s="3258"/>
      <c r="AA8" s="772" t="e">
        <f t="shared" ref="AA8:AA19" si="3">D8/F8</f>
        <v>#DIV/0!</v>
      </c>
      <c r="AB8" s="772" t="e">
        <f t="shared" ref="AB8:AB19" si="4">D8/H8</f>
        <v>#DIV/0!</v>
      </c>
      <c r="AC8" s="772" t="e">
        <f t="shared" ref="AC8:AC19" si="5">D8/J8</f>
        <v>#DIV/0!</v>
      </c>
    </row>
    <row r="9" spans="1:29" s="116" customFormat="1">
      <c r="A9" s="414" t="s">
        <v>2557</v>
      </c>
      <c r="B9" s="71" t="s">
        <v>2558</v>
      </c>
      <c r="C9" s="415"/>
      <c r="D9" s="134">
        <v>100</v>
      </c>
      <c r="E9" s="416"/>
      <c r="F9" s="417">
        <f>SUMIF(63:63,E9,64:64)-SUMIF(63:63,C9,64:64)+100</f>
        <v>100</v>
      </c>
      <c r="G9" s="418"/>
      <c r="H9" s="134">
        <f>SUMIF(63:63,G9,64:64)-SUMIF(63:63,C9,64:64)+100</f>
        <v>100</v>
      </c>
      <c r="I9" s="418"/>
      <c r="J9" s="134">
        <f>SUMIF(63:63,I9,64:64)-SUMIF(63:63,C9,64:64)+100</f>
        <v>100</v>
      </c>
      <c r="K9" s="2598"/>
      <c r="L9" s="1131"/>
      <c r="M9" s="1132"/>
      <c r="N9" s="1132"/>
      <c r="O9" s="1132"/>
      <c r="P9" s="3217" t="s">
        <v>2559</v>
      </c>
      <c r="Q9" s="1794" t="str">
        <f t="shared" ref="Q9:Q15" si="6">B9</f>
        <v>用途</v>
      </c>
      <c r="R9" s="769" t="s">
        <v>17</v>
      </c>
      <c r="S9" s="770">
        <f t="shared" si="0"/>
        <v>100</v>
      </c>
      <c r="T9" s="769" t="s">
        <v>17</v>
      </c>
      <c r="U9" s="770">
        <f t="shared" si="1"/>
        <v>100</v>
      </c>
      <c r="V9" s="769" t="s">
        <v>17</v>
      </c>
      <c r="W9" s="770">
        <f t="shared" si="2"/>
        <v>100</v>
      </c>
      <c r="X9" s="771"/>
      <c r="Y9" s="3052" t="s">
        <v>2560</v>
      </c>
      <c r="Z9" s="55" t="str">
        <f t="shared" ref="Z9:Z15" si="7">Q9</f>
        <v>用途</v>
      </c>
      <c r="AA9" s="772">
        <f t="shared" si="3"/>
        <v>1</v>
      </c>
      <c r="AB9" s="772">
        <f t="shared" si="4"/>
        <v>1</v>
      </c>
      <c r="AC9" s="772">
        <f t="shared" si="5"/>
        <v>1</v>
      </c>
    </row>
    <row r="10" spans="1:29" s="426" customFormat="1" ht="27">
      <c r="A10" s="420"/>
      <c r="B10" s="421" t="s">
        <v>2561</v>
      </c>
      <c r="C10" s="422"/>
      <c r="D10" s="135">
        <v>100</v>
      </c>
      <c r="E10" s="423"/>
      <c r="F10" s="424">
        <f>SUMIF(65:65,E10,66:66)-SUMIF(65:65,C10,66:66)+100</f>
        <v>100</v>
      </c>
      <c r="G10" s="422"/>
      <c r="H10" s="135">
        <f>SUMIF(65:65,G10,66:66)-SUMIF(65:65,C10,66:66)+100</f>
        <v>100</v>
      </c>
      <c r="I10" s="422"/>
      <c r="J10" s="135">
        <f>SUMIF(65:65,I10,66:66)-SUMIF(65:65,C10,66:66)+100</f>
        <v>100</v>
      </c>
      <c r="K10" s="425"/>
      <c r="L10" s="1134"/>
      <c r="M10" s="1135"/>
      <c r="N10" s="1135"/>
      <c r="O10" s="1135"/>
      <c r="P10" s="3217"/>
      <c r="Q10" s="1794" t="str">
        <f t="shared" si="6"/>
        <v>土地使用年限（年）</v>
      </c>
      <c r="R10" s="769" t="s">
        <v>17</v>
      </c>
      <c r="S10" s="770">
        <f t="shared" si="0"/>
        <v>100</v>
      </c>
      <c r="T10" s="769" t="s">
        <v>17</v>
      </c>
      <c r="U10" s="770">
        <f t="shared" si="1"/>
        <v>100</v>
      </c>
      <c r="V10" s="769" t="s">
        <v>17</v>
      </c>
      <c r="W10" s="770">
        <f t="shared" si="2"/>
        <v>100</v>
      </c>
      <c r="X10" s="771"/>
      <c r="Y10" s="3052"/>
      <c r="Z10" s="55" t="str">
        <f t="shared" si="7"/>
        <v>土地使用年限（年）</v>
      </c>
      <c r="AA10" s="772">
        <f t="shared" si="3"/>
        <v>1</v>
      </c>
      <c r="AB10" s="772">
        <f t="shared" si="4"/>
        <v>1</v>
      </c>
      <c r="AC10" s="772">
        <f t="shared" si="5"/>
        <v>1</v>
      </c>
    </row>
    <row r="11" spans="1:29" ht="15">
      <c r="A11" s="427"/>
      <c r="B11" s="421" t="s">
        <v>2562</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7"/>
      <c r="M11" s="1130"/>
      <c r="N11" s="1130"/>
      <c r="O11" s="1130"/>
      <c r="P11" s="3217"/>
      <c r="Q11" s="1794" t="str">
        <f t="shared" si="6"/>
        <v>容积率</v>
      </c>
      <c r="R11" s="769" t="s">
        <v>21</v>
      </c>
      <c r="S11" s="770" t="e">
        <f t="shared" si="0"/>
        <v>#N/A</v>
      </c>
      <c r="T11" s="769" t="s">
        <v>21</v>
      </c>
      <c r="U11" s="770" t="e">
        <f t="shared" si="1"/>
        <v>#N/A</v>
      </c>
      <c r="V11" s="769" t="s">
        <v>21</v>
      </c>
      <c r="W11" s="770" t="e">
        <f t="shared" si="2"/>
        <v>#N/A</v>
      </c>
      <c r="X11" s="771"/>
      <c r="Y11" s="3052"/>
      <c r="Z11" s="55" t="str">
        <f t="shared" si="7"/>
        <v>容积率</v>
      </c>
      <c r="AA11" s="772" t="e">
        <f t="shared" si="3"/>
        <v>#N/A</v>
      </c>
      <c r="AB11" s="772" t="e">
        <f t="shared" si="4"/>
        <v>#N/A</v>
      </c>
      <c r="AC11" s="772" t="e">
        <f t="shared" si="5"/>
        <v>#N/A</v>
      </c>
    </row>
    <row r="12" spans="1:29" s="116" customFormat="1" ht="15">
      <c r="A12" s="430"/>
      <c r="B12" s="2600">
        <v>111</v>
      </c>
      <c r="C12" s="431"/>
      <c r="D12" s="432">
        <v>100</v>
      </c>
      <c r="E12" s="431"/>
      <c r="F12" s="424">
        <f>SUMIF(70:70,E12,71:71)-SUMIF(70:70,C12,71:71)+100</f>
        <v>100</v>
      </c>
      <c r="G12" s="431"/>
      <c r="H12" s="135">
        <f>SUMIF(70:70,G12,71:71)-SUMIF(70:70,C12,71:71)+100</f>
        <v>100</v>
      </c>
      <c r="I12" s="431"/>
      <c r="J12" s="135">
        <f>SUMIF(70:70,I12,71:71)-SUMIF(70:70,C12,71:71)+100</f>
        <v>100</v>
      </c>
      <c r="K12" s="2601"/>
      <c r="L12" s="1131"/>
      <c r="M12" s="1132"/>
      <c r="N12" s="1132"/>
      <c r="O12" s="1132"/>
      <c r="P12" s="3217"/>
      <c r="Q12" s="1794">
        <f t="shared" si="6"/>
        <v>111</v>
      </c>
      <c r="R12" s="769" t="s">
        <v>21</v>
      </c>
      <c r="S12" s="770">
        <f t="shared" si="0"/>
        <v>100</v>
      </c>
      <c r="T12" s="769" t="s">
        <v>21</v>
      </c>
      <c r="U12" s="770">
        <f t="shared" si="1"/>
        <v>100</v>
      </c>
      <c r="V12" s="769" t="s">
        <v>21</v>
      </c>
      <c r="W12" s="770">
        <f t="shared" si="2"/>
        <v>100</v>
      </c>
      <c r="X12" s="771"/>
      <c r="Y12" s="3052"/>
      <c r="Z12" s="55">
        <f t="shared" si="7"/>
        <v>111</v>
      </c>
      <c r="AA12" s="772">
        <f>D12/F12</f>
        <v>1</v>
      </c>
      <c r="AB12" s="772">
        <f>D12/H12</f>
        <v>1</v>
      </c>
      <c r="AC12" s="772">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2601"/>
      <c r="L13" s="1139"/>
      <c r="M13" s="1130"/>
      <c r="N13" s="1130"/>
      <c r="O13" s="1130"/>
      <c r="P13" s="3217"/>
      <c r="Q13" s="1794">
        <f t="shared" si="6"/>
        <v>111</v>
      </c>
      <c r="R13" s="769" t="s">
        <v>21</v>
      </c>
      <c r="S13" s="770">
        <f t="shared" si="0"/>
        <v>100</v>
      </c>
      <c r="T13" s="769" t="s">
        <v>21</v>
      </c>
      <c r="U13" s="770">
        <f t="shared" si="1"/>
        <v>100</v>
      </c>
      <c r="V13" s="769" t="s">
        <v>21</v>
      </c>
      <c r="W13" s="770">
        <f t="shared" si="2"/>
        <v>100</v>
      </c>
      <c r="X13" s="771"/>
      <c r="Y13" s="3052"/>
      <c r="Z13" s="55">
        <f t="shared" si="7"/>
        <v>111</v>
      </c>
      <c r="AA13" s="772">
        <f t="shared" si="3"/>
        <v>1</v>
      </c>
      <c r="AB13" s="772">
        <f t="shared" si="4"/>
        <v>1</v>
      </c>
      <c r="AC13" s="772">
        <f t="shared" si="5"/>
        <v>1</v>
      </c>
    </row>
    <row r="14" spans="1:29" ht="15.75" thickBot="1">
      <c r="A14" s="435"/>
      <c r="B14" s="2602">
        <v>111</v>
      </c>
      <c r="C14" s="436"/>
      <c r="D14" s="437">
        <v>100</v>
      </c>
      <c r="E14" s="436"/>
      <c r="F14" s="438">
        <f>SUMIF(74:74,E14,75:75)-SUMIF(74:74,C14,75:75)+100</f>
        <v>100</v>
      </c>
      <c r="G14" s="436"/>
      <c r="H14" s="437">
        <f>SUMIF(74:74,G14,75:75)-SUMIF(74:74,C14,75:75)+100</f>
        <v>100</v>
      </c>
      <c r="I14" s="436"/>
      <c r="J14" s="437">
        <f>SUMIF(74:74,I14,75:75)-SUMIF(74:74,C14,75:75)+100</f>
        <v>100</v>
      </c>
      <c r="K14" s="2601"/>
      <c r="L14" s="1139"/>
      <c r="M14" s="1130"/>
      <c r="N14" s="1130"/>
      <c r="O14" s="1130"/>
      <c r="P14" s="3217"/>
      <c r="Q14" s="1794">
        <f t="shared" si="6"/>
        <v>111</v>
      </c>
      <c r="R14" s="769" t="s">
        <v>21</v>
      </c>
      <c r="S14" s="770">
        <f t="shared" si="0"/>
        <v>100</v>
      </c>
      <c r="T14" s="769" t="s">
        <v>21</v>
      </c>
      <c r="U14" s="770">
        <f t="shared" si="1"/>
        <v>100</v>
      </c>
      <c r="V14" s="769" t="s">
        <v>21</v>
      </c>
      <c r="W14" s="770">
        <f t="shared" si="2"/>
        <v>100</v>
      </c>
      <c r="X14" s="771"/>
      <c r="Y14" s="3052"/>
      <c r="Z14" s="55">
        <f t="shared" si="7"/>
        <v>111</v>
      </c>
      <c r="AA14" s="772">
        <f t="shared" si="3"/>
        <v>1</v>
      </c>
      <c r="AB14" s="772">
        <f t="shared" si="4"/>
        <v>1</v>
      </c>
      <c r="AC14" s="772">
        <f t="shared" si="5"/>
        <v>1</v>
      </c>
    </row>
    <row r="15" spans="1:29" ht="99.75">
      <c r="A15" s="439" t="s">
        <v>2563</v>
      </c>
      <c r="B15" s="69" t="s">
        <v>2088</v>
      </c>
      <c r="C15" s="2603"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223" t="s">
        <v>2564</v>
      </c>
      <c r="Q15" s="1809" t="str">
        <f t="shared" si="6"/>
        <v>居住社区成熟度</v>
      </c>
      <c r="R15" s="773" t="s">
        <v>21</v>
      </c>
      <c r="S15" s="774">
        <f t="shared" si="0"/>
        <v>100</v>
      </c>
      <c r="T15" s="773" t="s">
        <v>21</v>
      </c>
      <c r="U15" s="774">
        <f t="shared" si="1"/>
        <v>100</v>
      </c>
      <c r="V15" s="773" t="s">
        <v>21</v>
      </c>
      <c r="W15" s="774">
        <f t="shared" si="2"/>
        <v>100</v>
      </c>
      <c r="X15" s="1812"/>
      <c r="Y15" s="3225" t="s">
        <v>2564</v>
      </c>
      <c r="Z15" s="1813" t="str">
        <f t="shared" si="7"/>
        <v>居住社区成熟度</v>
      </c>
      <c r="AA15" s="1810">
        <f t="shared" si="3"/>
        <v>1</v>
      </c>
      <c r="AB15" s="1810">
        <f t="shared" si="4"/>
        <v>1</v>
      </c>
      <c r="AC15" s="1810">
        <f t="shared" si="5"/>
        <v>1</v>
      </c>
    </row>
    <row r="16" spans="1:29" ht="15">
      <c r="A16" s="427"/>
      <c r="B16" s="445"/>
      <c r="C16" s="446"/>
      <c r="D16" s="447"/>
      <c r="E16" s="2604"/>
      <c r="F16" s="447"/>
      <c r="G16" s="2605"/>
      <c r="H16" s="449"/>
      <c r="I16" s="2605"/>
      <c r="J16" s="447"/>
      <c r="K16" s="2606"/>
      <c r="L16" s="1139"/>
      <c r="M16" s="1130"/>
      <c r="N16" s="1130"/>
      <c r="O16" s="1130"/>
      <c r="P16" s="3224"/>
      <c r="Q16" s="1809"/>
      <c r="R16" s="773"/>
      <c r="S16" s="774"/>
      <c r="T16" s="773"/>
      <c r="U16" s="774"/>
      <c r="V16" s="773"/>
      <c r="W16" s="774"/>
      <c r="X16" s="1812"/>
      <c r="Y16" s="3226"/>
      <c r="Z16" s="1813"/>
      <c r="AA16" s="1810">
        <v>1</v>
      </c>
      <c r="AB16" s="1810">
        <v>1</v>
      </c>
      <c r="AC16" s="1810">
        <v>1</v>
      </c>
    </row>
    <row r="17" spans="1:29" ht="85.5">
      <c r="A17" s="427"/>
      <c r="B17" s="450" t="s">
        <v>2100</v>
      </c>
      <c r="C17" s="2607"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224"/>
      <c r="Q17" s="1809" t="str">
        <f>B17</f>
        <v>交通便捷度</v>
      </c>
      <c r="R17" s="773" t="s">
        <v>21</v>
      </c>
      <c r="S17" s="774">
        <f>F17</f>
        <v>100</v>
      </c>
      <c r="T17" s="773" t="s">
        <v>21</v>
      </c>
      <c r="U17" s="774">
        <f>H17</f>
        <v>100</v>
      </c>
      <c r="V17" s="773" t="s">
        <v>21</v>
      </c>
      <c r="W17" s="774">
        <f>J17</f>
        <v>100</v>
      </c>
      <c r="X17" s="1812"/>
      <c r="Y17" s="3226"/>
      <c r="Z17" s="1813" t="str">
        <f>Q17</f>
        <v>交通便捷度</v>
      </c>
      <c r="AA17" s="1810">
        <f t="shared" si="3"/>
        <v>1</v>
      </c>
      <c r="AB17" s="1810">
        <f t="shared" si="4"/>
        <v>1</v>
      </c>
      <c r="AC17" s="1810">
        <f t="shared" si="5"/>
        <v>1</v>
      </c>
    </row>
    <row r="18" spans="1:29" ht="15">
      <c r="A18" s="427"/>
      <c r="B18" s="455"/>
      <c r="C18" s="2608"/>
      <c r="D18" s="449"/>
      <c r="E18" s="2609"/>
      <c r="F18" s="449"/>
      <c r="G18" s="2610"/>
      <c r="H18" s="447"/>
      <c r="I18" s="2610"/>
      <c r="J18" s="447"/>
      <c r="K18" s="2606"/>
      <c r="L18" s="1139"/>
      <c r="M18" s="1130"/>
      <c r="N18" s="1130"/>
      <c r="O18" s="1130"/>
      <c r="P18" s="3224"/>
      <c r="Q18" s="1809"/>
      <c r="R18" s="773"/>
      <c r="S18" s="774"/>
      <c r="T18" s="773"/>
      <c r="U18" s="774"/>
      <c r="V18" s="773"/>
      <c r="W18" s="774"/>
      <c r="X18" s="1812"/>
      <c r="Y18" s="3226"/>
      <c r="Z18" s="1813"/>
      <c r="AA18" s="1810">
        <v>1</v>
      </c>
      <c r="AB18" s="1810">
        <v>1</v>
      </c>
      <c r="AC18" s="1810">
        <v>1</v>
      </c>
    </row>
    <row r="19" spans="1:29" ht="42.75">
      <c r="A19" s="427"/>
      <c r="B19" s="450" t="s">
        <v>2098</v>
      </c>
      <c r="C19" s="2607"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224"/>
      <c r="Q19" s="1809" t="str">
        <f>B19</f>
        <v>公共配套设施</v>
      </c>
      <c r="R19" s="773" t="s">
        <v>21</v>
      </c>
      <c r="S19" s="774">
        <f>F19</f>
        <v>100</v>
      </c>
      <c r="T19" s="773" t="s">
        <v>21</v>
      </c>
      <c r="U19" s="774">
        <f>H19</f>
        <v>100</v>
      </c>
      <c r="V19" s="773" t="s">
        <v>21</v>
      </c>
      <c r="W19" s="774">
        <f>J19</f>
        <v>100</v>
      </c>
      <c r="X19" s="1812"/>
      <c r="Y19" s="3226"/>
      <c r="Z19" s="1813" t="str">
        <f>Q19</f>
        <v>公共配套设施</v>
      </c>
      <c r="AA19" s="1810">
        <f t="shared" si="3"/>
        <v>1</v>
      </c>
      <c r="AB19" s="1810">
        <f t="shared" si="4"/>
        <v>1</v>
      </c>
      <c r="AC19" s="1810">
        <f t="shared" si="5"/>
        <v>1</v>
      </c>
    </row>
    <row r="20" spans="1:29" ht="15">
      <c r="A20" s="427"/>
      <c r="B20" s="455"/>
      <c r="C20" s="446"/>
      <c r="D20" s="447"/>
      <c r="E20" s="2604"/>
      <c r="F20" s="447"/>
      <c r="G20" s="2605"/>
      <c r="H20" s="447"/>
      <c r="I20" s="2605"/>
      <c r="J20" s="447"/>
      <c r="K20" s="2606"/>
      <c r="L20" s="1139"/>
      <c r="M20" s="1130"/>
      <c r="N20" s="1130"/>
      <c r="O20" s="1130"/>
      <c r="P20" s="3224"/>
      <c r="Q20" s="1809"/>
      <c r="R20" s="773"/>
      <c r="S20" s="774"/>
      <c r="T20" s="773"/>
      <c r="U20" s="774"/>
      <c r="V20" s="773"/>
      <c r="W20" s="774"/>
      <c r="X20" s="1812"/>
      <c r="Y20" s="3226"/>
      <c r="Z20" s="1813"/>
      <c r="AA20" s="1810">
        <v>1</v>
      </c>
      <c r="AB20" s="1810">
        <v>1</v>
      </c>
      <c r="AC20" s="1810">
        <v>1</v>
      </c>
    </row>
    <row r="21" spans="1:29" ht="28.5">
      <c r="A21" s="427"/>
      <c r="B21" s="1383" t="s">
        <v>2101</v>
      </c>
      <c r="C21" s="2607"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224"/>
      <c r="Q21" s="1809" t="str">
        <f>B21</f>
        <v>基础设施水平</v>
      </c>
      <c r="R21" s="773" t="s">
        <v>17</v>
      </c>
      <c r="S21" s="774">
        <f>F21</f>
        <v>100</v>
      </c>
      <c r="T21" s="773" t="s">
        <v>17</v>
      </c>
      <c r="U21" s="774">
        <f>H21</f>
        <v>100</v>
      </c>
      <c r="V21" s="773" t="s">
        <v>17</v>
      </c>
      <c r="W21" s="774">
        <f>J21</f>
        <v>100</v>
      </c>
      <c r="X21" s="1812"/>
      <c r="Y21" s="3226"/>
      <c r="Z21" s="1813" t="str">
        <f>Q21</f>
        <v>基础设施水平</v>
      </c>
      <c r="AA21" s="1810">
        <f t="shared" ref="AA21" si="8">D21/F21</f>
        <v>1</v>
      </c>
      <c r="AB21" s="1810">
        <f t="shared" ref="AB21" si="9">D21/H21</f>
        <v>1</v>
      </c>
      <c r="AC21" s="1810">
        <f t="shared" ref="AC21" si="10">D21/J21</f>
        <v>1</v>
      </c>
    </row>
    <row r="22" spans="1:29" ht="15">
      <c r="A22" s="427"/>
      <c r="B22" s="1383"/>
      <c r="C22" s="2608"/>
      <c r="D22" s="447"/>
      <c r="E22" s="446"/>
      <c r="F22" s="447"/>
      <c r="G22" s="2611"/>
      <c r="H22" s="447"/>
      <c r="I22" s="446"/>
      <c r="J22" s="447"/>
      <c r="K22" s="2612"/>
      <c r="L22" s="1139"/>
      <c r="M22" s="1130"/>
      <c r="N22" s="1130"/>
      <c r="O22" s="1130"/>
      <c r="P22" s="3224"/>
      <c r="Q22" s="1809"/>
      <c r="R22" s="773"/>
      <c r="S22" s="774"/>
      <c r="T22" s="773"/>
      <c r="U22" s="774"/>
      <c r="V22" s="773"/>
      <c r="W22" s="774"/>
      <c r="X22" s="1812"/>
      <c r="Y22" s="3226"/>
      <c r="Z22" s="1813"/>
      <c r="AA22" s="1810">
        <v>1</v>
      </c>
      <c r="AB22" s="1810">
        <v>1</v>
      </c>
      <c r="AC22" s="1810">
        <v>1</v>
      </c>
    </row>
    <row r="23" spans="1:29" ht="57">
      <c r="A23" s="427"/>
      <c r="B23" s="450" t="s">
        <v>2105</v>
      </c>
      <c r="C23" s="2607"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224"/>
      <c r="Q23" s="1809" t="str">
        <f>B23</f>
        <v>自然及人文环境</v>
      </c>
      <c r="R23" s="773" t="s">
        <v>21</v>
      </c>
      <c r="S23" s="774">
        <f>F23</f>
        <v>100</v>
      </c>
      <c r="T23" s="773" t="s">
        <v>21</v>
      </c>
      <c r="U23" s="774">
        <f>H23</f>
        <v>100</v>
      </c>
      <c r="V23" s="773" t="s">
        <v>21</v>
      </c>
      <c r="W23" s="774">
        <f>J23</f>
        <v>100</v>
      </c>
      <c r="X23" s="1812"/>
      <c r="Y23" s="3226"/>
      <c r="Z23" s="1813" t="str">
        <f>Q23</f>
        <v>自然及人文环境</v>
      </c>
      <c r="AA23" s="1810">
        <f>D23/F23</f>
        <v>1</v>
      </c>
      <c r="AB23" s="1810">
        <f>D23/H23</f>
        <v>1</v>
      </c>
      <c r="AC23" s="1810">
        <f>D23/J23</f>
        <v>1</v>
      </c>
    </row>
    <row r="24" spans="1:29" ht="15">
      <c r="A24" s="427"/>
      <c r="B24" s="455"/>
      <c r="C24" s="446"/>
      <c r="D24" s="447"/>
      <c r="E24" s="2604"/>
      <c r="F24" s="447"/>
      <c r="G24" s="2605"/>
      <c r="H24" s="447"/>
      <c r="I24" s="2605"/>
      <c r="J24" s="447"/>
      <c r="K24" s="2606"/>
      <c r="L24" s="1139"/>
      <c r="M24" s="1130"/>
      <c r="N24" s="1130"/>
      <c r="O24" s="1130"/>
      <c r="P24" s="3224"/>
      <c r="Q24" s="1809"/>
      <c r="R24" s="773"/>
      <c r="S24" s="774"/>
      <c r="T24" s="773"/>
      <c r="U24" s="774"/>
      <c r="V24" s="773"/>
      <c r="W24" s="774"/>
      <c r="X24" s="1812"/>
      <c r="Y24" s="3226"/>
      <c r="Z24" s="1813"/>
      <c r="AA24" s="1810">
        <v>1</v>
      </c>
      <c r="AB24" s="1810">
        <v>1</v>
      </c>
      <c r="AC24" s="1810">
        <v>1</v>
      </c>
    </row>
    <row r="25" spans="1:29" ht="15">
      <c r="A25" s="427"/>
      <c r="B25" s="421" t="s">
        <v>2565</v>
      </c>
      <c r="C25" s="459"/>
      <c r="D25" s="434">
        <v>100</v>
      </c>
      <c r="E25" s="2613"/>
      <c r="F25" s="434">
        <f>SUMIF(86:86,E25,87:87)-SUMIF(86:86,C25,87:87)+100</f>
        <v>100</v>
      </c>
      <c r="G25" s="2614"/>
      <c r="H25" s="434">
        <f>SUMIF(86:86,G25,87:87)-SUMIF(86:86,C25,87:87)+100</f>
        <v>100</v>
      </c>
      <c r="I25" s="2614"/>
      <c r="J25" s="434">
        <f>SUMIF(86:86,I25,87:87)-SUMIF(86:86,C25,87:87)+100</f>
        <v>100</v>
      </c>
      <c r="K25" s="425"/>
      <c r="L25" s="1139"/>
      <c r="M25" s="1130"/>
      <c r="N25" s="1130"/>
      <c r="O25" s="1130"/>
      <c r="P25" s="3224"/>
      <c r="Q25" s="1809" t="str">
        <f t="shared" ref="Q25:Q46" si="11">B25</f>
        <v>楼层-1</v>
      </c>
      <c r="R25" s="773" t="s">
        <v>21</v>
      </c>
      <c r="S25" s="774">
        <f t="shared" ref="S25:S46" si="12">F25</f>
        <v>100</v>
      </c>
      <c r="T25" s="773" t="s">
        <v>21</v>
      </c>
      <c r="U25" s="774">
        <f t="shared" ref="U25:U46" si="13">H25</f>
        <v>100</v>
      </c>
      <c r="V25" s="773" t="s">
        <v>21</v>
      </c>
      <c r="W25" s="774">
        <f t="shared" ref="W25:W46" si="14">J25</f>
        <v>100</v>
      </c>
      <c r="X25" s="1812"/>
      <c r="Y25" s="3226"/>
      <c r="Z25" s="1813" t="str">
        <f>Q25</f>
        <v>楼层-1</v>
      </c>
      <c r="AA25" s="1810">
        <f t="shared" ref="AA25:AA46" si="15">D25/F25</f>
        <v>1</v>
      </c>
      <c r="AB25" s="1810">
        <f t="shared" ref="AB25:AB46" si="16">D25/H25</f>
        <v>1</v>
      </c>
      <c r="AC25" s="1810">
        <f t="shared" ref="AC25:AC46" si="17">D25/J25</f>
        <v>1</v>
      </c>
    </row>
    <row r="26" spans="1:29" ht="15">
      <c r="A26" s="427"/>
      <c r="B26" s="421" t="s">
        <v>2566</v>
      </c>
      <c r="C26" s="459"/>
      <c r="D26" s="434">
        <v>100</v>
      </c>
      <c r="E26" s="2613"/>
      <c r="F26" s="434">
        <f>SUMIF(88:88,E26,89:89)-SUMIF(88:88,C26,89:89)+100</f>
        <v>100</v>
      </c>
      <c r="G26" s="2614"/>
      <c r="H26" s="434">
        <f>SUMIF(88:88,G26,89:89)-SUMIF(88:88,C26,89:89)+100</f>
        <v>100</v>
      </c>
      <c r="I26" s="2614"/>
      <c r="J26" s="434">
        <f>SUMIF(88:88,I26,89:89)-SUMIF(88:88,C26,89:89)+100</f>
        <v>100</v>
      </c>
      <c r="K26" s="425"/>
      <c r="L26" s="1139"/>
      <c r="M26" s="1130"/>
      <c r="N26" s="1130"/>
      <c r="O26" s="1130"/>
      <c r="P26" s="3224"/>
      <c r="Q26" s="1809" t="str">
        <f t="shared" si="11"/>
        <v>朝向</v>
      </c>
      <c r="R26" s="773" t="s">
        <v>21</v>
      </c>
      <c r="S26" s="774">
        <f t="shared" si="12"/>
        <v>100</v>
      </c>
      <c r="T26" s="773" t="s">
        <v>21</v>
      </c>
      <c r="U26" s="774">
        <f t="shared" si="13"/>
        <v>100</v>
      </c>
      <c r="V26" s="773" t="s">
        <v>21</v>
      </c>
      <c r="W26" s="774">
        <f t="shared" si="14"/>
        <v>100</v>
      </c>
      <c r="X26" s="1812"/>
      <c r="Y26" s="3226"/>
      <c r="Z26" s="1813" t="str">
        <f>Q26</f>
        <v>朝向</v>
      </c>
      <c r="AA26" s="1810">
        <f t="shared" si="15"/>
        <v>1</v>
      </c>
      <c r="AB26" s="1810">
        <f t="shared" si="16"/>
        <v>1</v>
      </c>
      <c r="AC26" s="1810">
        <f t="shared" si="17"/>
        <v>1</v>
      </c>
    </row>
    <row r="27" spans="1:29" s="116"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601"/>
      <c r="L27" s="1131"/>
      <c r="M27" s="1132"/>
      <c r="N27" s="1132"/>
      <c r="O27" s="1132"/>
      <c r="P27" s="3224"/>
      <c r="Q27" s="1794">
        <f t="shared" si="11"/>
        <v>111</v>
      </c>
      <c r="R27" s="769" t="s">
        <v>21</v>
      </c>
      <c r="S27" s="770">
        <f t="shared" si="12"/>
        <v>100</v>
      </c>
      <c r="T27" s="769" t="s">
        <v>21</v>
      </c>
      <c r="U27" s="770">
        <f t="shared" si="13"/>
        <v>100</v>
      </c>
      <c r="V27" s="769" t="s">
        <v>21</v>
      </c>
      <c r="W27" s="770">
        <f t="shared" si="14"/>
        <v>100</v>
      </c>
      <c r="X27" s="771"/>
      <c r="Y27" s="3226"/>
      <c r="Z27" s="55">
        <f>Q27</f>
        <v>111</v>
      </c>
      <c r="AA27" s="1810">
        <f t="shared" si="15"/>
        <v>1</v>
      </c>
      <c r="AB27" s="1810">
        <f t="shared" si="16"/>
        <v>1</v>
      </c>
      <c r="AC27" s="1810">
        <f t="shared" si="17"/>
        <v>1</v>
      </c>
    </row>
    <row r="28" spans="1:29" ht="15">
      <c r="A28" s="427"/>
      <c r="B28" s="1385">
        <v>111</v>
      </c>
      <c r="C28" s="433"/>
      <c r="D28" s="434">
        <v>100</v>
      </c>
      <c r="E28" s="433"/>
      <c r="F28" s="434">
        <f>SUMIF(92:92,E28,93:93)-SUMIF(92:92,C28,93:93)+100</f>
        <v>100</v>
      </c>
      <c r="G28" s="2615"/>
      <c r="H28" s="434">
        <f>SUMIF(92:92,G28,93:93)-SUMIF(92:92,C28,93:93)+100</f>
        <v>100</v>
      </c>
      <c r="I28" s="433"/>
      <c r="J28" s="434">
        <f>SUMIF(92:92,I28,93:93)-SUMIF(92:92,C28,93:93)+100</f>
        <v>100</v>
      </c>
      <c r="K28" s="2601"/>
      <c r="L28" s="1139"/>
      <c r="M28" s="1130"/>
      <c r="N28" s="1130"/>
      <c r="O28" s="1130"/>
      <c r="P28" s="3224"/>
      <c r="Q28" s="1809">
        <f t="shared" si="11"/>
        <v>111</v>
      </c>
      <c r="R28" s="773" t="s">
        <v>21</v>
      </c>
      <c r="S28" s="774">
        <f t="shared" si="12"/>
        <v>100</v>
      </c>
      <c r="T28" s="773" t="s">
        <v>21</v>
      </c>
      <c r="U28" s="774">
        <f t="shared" si="13"/>
        <v>100</v>
      </c>
      <c r="V28" s="773" t="s">
        <v>21</v>
      </c>
      <c r="W28" s="774">
        <f t="shared" si="14"/>
        <v>100</v>
      </c>
      <c r="X28" s="1812"/>
      <c r="Y28" s="3226"/>
      <c r="Z28" s="1813">
        <f t="shared" ref="Z28:Z46" si="18">Q28</f>
        <v>111</v>
      </c>
      <c r="AA28" s="1810">
        <f t="shared" si="15"/>
        <v>1</v>
      </c>
      <c r="AB28" s="1810">
        <f t="shared" si="16"/>
        <v>1</v>
      </c>
      <c r="AC28" s="1810">
        <f t="shared" si="17"/>
        <v>1</v>
      </c>
    </row>
    <row r="29" spans="1:29" ht="15">
      <c r="A29" s="427"/>
      <c r="B29" s="1385">
        <v>111</v>
      </c>
      <c r="C29" s="433"/>
      <c r="D29" s="434">
        <v>100</v>
      </c>
      <c r="E29" s="433"/>
      <c r="F29" s="434">
        <f>SUMIF(94:94,E29,95:95)-SUMIF(94:94,C29,95:95)+100</f>
        <v>100</v>
      </c>
      <c r="G29" s="2615"/>
      <c r="H29" s="434">
        <f>SUMIF(94:94,G29,95:95)-SUMIF(94:94,C29,95:95)+100</f>
        <v>100</v>
      </c>
      <c r="I29" s="433"/>
      <c r="J29" s="434">
        <f>SUMIF(94:94,I29,95:95)-SUMIF(94:94,C29,95:95)+100</f>
        <v>100</v>
      </c>
      <c r="K29" s="2601"/>
      <c r="L29" s="1139"/>
      <c r="M29" s="1130"/>
      <c r="N29" s="1130"/>
      <c r="O29" s="1130"/>
      <c r="P29" s="3224"/>
      <c r="Q29" s="1809">
        <f t="shared" si="11"/>
        <v>111</v>
      </c>
      <c r="R29" s="773" t="s">
        <v>21</v>
      </c>
      <c r="S29" s="774">
        <f t="shared" si="12"/>
        <v>100</v>
      </c>
      <c r="T29" s="773" t="s">
        <v>21</v>
      </c>
      <c r="U29" s="774">
        <f t="shared" si="13"/>
        <v>100</v>
      </c>
      <c r="V29" s="773" t="s">
        <v>21</v>
      </c>
      <c r="W29" s="774">
        <f t="shared" si="14"/>
        <v>100</v>
      </c>
      <c r="X29" s="1812"/>
      <c r="Y29" s="3226"/>
      <c r="Z29" s="1813">
        <f t="shared" si="18"/>
        <v>111</v>
      </c>
      <c r="AA29" s="1810">
        <f t="shared" si="15"/>
        <v>1</v>
      </c>
      <c r="AB29" s="1810">
        <f t="shared" si="16"/>
        <v>1</v>
      </c>
      <c r="AC29" s="1810">
        <f t="shared" si="17"/>
        <v>1</v>
      </c>
    </row>
    <row r="30" spans="1:29" ht="15">
      <c r="A30" s="427"/>
      <c r="B30" s="1385">
        <v>111</v>
      </c>
      <c r="C30" s="433"/>
      <c r="D30" s="434">
        <v>100</v>
      </c>
      <c r="E30" s="433"/>
      <c r="F30" s="434">
        <f>SUMIF(96:96,E30,97:97)-SUMIF(96:96,C30,97:97)+100</f>
        <v>100</v>
      </c>
      <c r="G30" s="2615"/>
      <c r="H30" s="434">
        <f>SUMIF(96:96,G30,97:97)-SUMIF(96:96,C30,97:97)+100</f>
        <v>100</v>
      </c>
      <c r="I30" s="433"/>
      <c r="J30" s="434">
        <f>SUMIF(96:96,I30,97:97)-SUMIF(96:96,C30,97:97)+100</f>
        <v>100</v>
      </c>
      <c r="K30" s="2601"/>
      <c r="L30" s="1139"/>
      <c r="M30" s="1130"/>
      <c r="N30" s="1130"/>
      <c r="O30" s="1130"/>
      <c r="P30" s="3224"/>
      <c r="Q30" s="1809">
        <f t="shared" si="11"/>
        <v>111</v>
      </c>
      <c r="R30" s="773" t="s">
        <v>21</v>
      </c>
      <c r="S30" s="774">
        <f t="shared" si="12"/>
        <v>100</v>
      </c>
      <c r="T30" s="773" t="s">
        <v>21</v>
      </c>
      <c r="U30" s="774">
        <f t="shared" si="13"/>
        <v>100</v>
      </c>
      <c r="V30" s="773" t="s">
        <v>21</v>
      </c>
      <c r="W30" s="774">
        <f t="shared" si="14"/>
        <v>100</v>
      </c>
      <c r="X30" s="1812"/>
      <c r="Y30" s="3226"/>
      <c r="Z30" s="1813">
        <f t="shared" si="18"/>
        <v>111</v>
      </c>
      <c r="AA30" s="1810">
        <f t="shared" si="15"/>
        <v>1</v>
      </c>
      <c r="AB30" s="1810">
        <f t="shared" si="16"/>
        <v>1</v>
      </c>
      <c r="AC30" s="1810">
        <f t="shared" si="17"/>
        <v>1</v>
      </c>
    </row>
    <row r="31" spans="1:29" ht="15.75" thickBot="1">
      <c r="A31" s="435"/>
      <c r="B31" s="1385">
        <v>111</v>
      </c>
      <c r="C31" s="436"/>
      <c r="D31" s="437">
        <v>100</v>
      </c>
      <c r="E31" s="436"/>
      <c r="F31" s="437">
        <f>SUMIF(98:98,E31,99:99)-SUMIF(98:98,C31,99:99)+100</f>
        <v>100</v>
      </c>
      <c r="G31" s="2616"/>
      <c r="H31" s="437">
        <f>SUMIF(98:98,G31,99:99)-SUMIF(98:98,C31,99:99)+100</f>
        <v>100</v>
      </c>
      <c r="I31" s="436"/>
      <c r="J31" s="437">
        <f>SUMIF(98:98,I31,99:99)-SUMIF(98:98,C31,99:99)+100</f>
        <v>100</v>
      </c>
      <c r="K31" s="2601"/>
      <c r="L31" s="1139"/>
      <c r="M31" s="1130"/>
      <c r="N31" s="1130"/>
      <c r="O31" s="1130"/>
      <c r="P31" s="3224"/>
      <c r="Q31" s="1809">
        <f t="shared" si="11"/>
        <v>111</v>
      </c>
      <c r="R31" s="773" t="s">
        <v>21</v>
      </c>
      <c r="S31" s="774">
        <f t="shared" si="12"/>
        <v>100</v>
      </c>
      <c r="T31" s="773" t="s">
        <v>21</v>
      </c>
      <c r="U31" s="774">
        <f t="shared" si="13"/>
        <v>100</v>
      </c>
      <c r="V31" s="773" t="s">
        <v>21</v>
      </c>
      <c r="W31" s="774">
        <f t="shared" si="14"/>
        <v>100</v>
      </c>
      <c r="X31" s="1812"/>
      <c r="Y31" s="3226"/>
      <c r="Z31" s="1813">
        <f t="shared" si="18"/>
        <v>111</v>
      </c>
      <c r="AA31" s="1810">
        <f t="shared" si="15"/>
        <v>1</v>
      </c>
      <c r="AB31" s="1810">
        <f t="shared" si="16"/>
        <v>1</v>
      </c>
      <c r="AC31" s="1810">
        <f t="shared" si="17"/>
        <v>1</v>
      </c>
    </row>
    <row r="32" spans="1:29" ht="15">
      <c r="A32" s="439" t="s">
        <v>2567</v>
      </c>
      <c r="B32" s="71" t="s">
        <v>2568</v>
      </c>
      <c r="C32" s="2617"/>
      <c r="D32" s="466">
        <v>100</v>
      </c>
      <c r="E32" s="2618"/>
      <c r="F32" s="460">
        <f>SUMIF(100:100,E32,101:101)-SUMIF(100:100,C32,101:101)+100</f>
        <v>100</v>
      </c>
      <c r="G32" s="2617"/>
      <c r="H32" s="466">
        <f>SUMIF(100:100,G32,101:101)-SUMIF(100:100,C32,101:101)+100</f>
        <v>100</v>
      </c>
      <c r="I32" s="2618"/>
      <c r="J32" s="434">
        <f>SUMIF(100:100,I32,101:101)-SUMIF(100:100,C32,101:101)+100</f>
        <v>100</v>
      </c>
      <c r="K32" s="425"/>
      <c r="L32" s="1139"/>
      <c r="M32" s="1130"/>
      <c r="N32" s="1130"/>
      <c r="O32" s="1130"/>
      <c r="P32" s="3227" t="s">
        <v>2569</v>
      </c>
      <c r="Q32" s="1809" t="str">
        <f t="shared" si="11"/>
        <v>建筑类型</v>
      </c>
      <c r="R32" s="773" t="s">
        <v>21</v>
      </c>
      <c r="S32" s="774">
        <f t="shared" si="12"/>
        <v>100</v>
      </c>
      <c r="T32" s="773" t="s">
        <v>21</v>
      </c>
      <c r="U32" s="774">
        <f t="shared" si="13"/>
        <v>100</v>
      </c>
      <c r="V32" s="773" t="s">
        <v>21</v>
      </c>
      <c r="W32" s="774">
        <f t="shared" si="14"/>
        <v>100</v>
      </c>
      <c r="X32" s="1812"/>
      <c r="Y32" s="3230" t="s">
        <v>2569</v>
      </c>
      <c r="Z32" s="1813" t="str">
        <f t="shared" si="18"/>
        <v>建筑类型</v>
      </c>
      <c r="AA32" s="1810">
        <f t="shared" si="15"/>
        <v>1</v>
      </c>
      <c r="AB32" s="1810">
        <f t="shared" si="16"/>
        <v>1</v>
      </c>
      <c r="AC32" s="1810">
        <f t="shared" si="17"/>
        <v>1</v>
      </c>
    </row>
    <row r="33" spans="1:29" s="470" customFormat="1" ht="15">
      <c r="A33" s="467"/>
      <c r="B33" s="421" t="s">
        <v>2570</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1"/>
      <c r="L33" s="1137"/>
      <c r="M33" s="1140"/>
      <c r="N33" s="1140"/>
      <c r="O33" s="1140"/>
      <c r="P33" s="3228"/>
      <c r="Q33" s="775" t="str">
        <f t="shared" si="11"/>
        <v>项目建筑规模</v>
      </c>
      <c r="R33" s="776" t="s">
        <v>21</v>
      </c>
      <c r="S33" s="777" t="e">
        <f t="shared" si="12"/>
        <v>#N/A</v>
      </c>
      <c r="T33" s="776" t="s">
        <v>21</v>
      </c>
      <c r="U33" s="777" t="e">
        <f t="shared" si="13"/>
        <v>#N/A</v>
      </c>
      <c r="V33" s="776" t="s">
        <v>21</v>
      </c>
      <c r="W33" s="777" t="e">
        <f t="shared" si="14"/>
        <v>#N/A</v>
      </c>
      <c r="X33" s="778"/>
      <c r="Y33" s="3230"/>
      <c r="Z33" s="779" t="str">
        <f t="shared" si="18"/>
        <v>项目建筑规模</v>
      </c>
      <c r="AA33" s="1810" t="e">
        <f t="shared" si="15"/>
        <v>#N/A</v>
      </c>
      <c r="AB33" s="1810" t="e">
        <f t="shared" si="16"/>
        <v>#N/A</v>
      </c>
      <c r="AC33" s="1810" t="e">
        <f t="shared" si="17"/>
        <v>#N/A</v>
      </c>
    </row>
    <row r="34" spans="1:29" ht="15">
      <c r="A34" s="471"/>
      <c r="B34" s="421" t="s">
        <v>2571</v>
      </c>
      <c r="C34" s="2619"/>
      <c r="D34" s="434">
        <v>100</v>
      </c>
      <c r="E34" s="2620"/>
      <c r="F34" s="460">
        <f>SUMIF(105:105,E34,106:106)-SUMIF(105:105,C34,106:106)+100</f>
        <v>100</v>
      </c>
      <c r="G34" s="2619"/>
      <c r="H34" s="434">
        <f>SUMIF(105:105,G34,106:106)-SUMIF(105:105,C34,106:106)+100</f>
        <v>100</v>
      </c>
      <c r="I34" s="2620"/>
      <c r="J34" s="434">
        <f>SUMIF(105:105,I34,106:106)-SUMIF(105:105,C34,106:106)+100</f>
        <v>100</v>
      </c>
      <c r="K34" s="425"/>
      <c r="L34" s="1139"/>
      <c r="M34" s="1130"/>
      <c r="N34" s="1130"/>
      <c r="O34" s="1130"/>
      <c r="P34" s="3228"/>
      <c r="Q34" s="1809" t="str">
        <f t="shared" si="11"/>
        <v>建筑结构</v>
      </c>
      <c r="R34" s="773" t="s">
        <v>21</v>
      </c>
      <c r="S34" s="774">
        <f t="shared" si="12"/>
        <v>100</v>
      </c>
      <c r="T34" s="773" t="s">
        <v>21</v>
      </c>
      <c r="U34" s="774">
        <f t="shared" si="13"/>
        <v>100</v>
      </c>
      <c r="V34" s="773" t="s">
        <v>21</v>
      </c>
      <c r="W34" s="774">
        <f t="shared" si="14"/>
        <v>100</v>
      </c>
      <c r="X34" s="1812"/>
      <c r="Y34" s="3230"/>
      <c r="Z34" s="1813" t="str">
        <f t="shared" si="18"/>
        <v>建筑结构</v>
      </c>
      <c r="AA34" s="1810">
        <f t="shared" si="15"/>
        <v>1</v>
      </c>
      <c r="AB34" s="1810">
        <f t="shared" si="16"/>
        <v>1</v>
      </c>
      <c r="AC34" s="1810">
        <f t="shared" si="17"/>
        <v>1</v>
      </c>
    </row>
    <row r="35" spans="1:29" ht="15">
      <c r="A35" s="471"/>
      <c r="B35" s="421" t="s">
        <v>2572</v>
      </c>
      <c r="C35" s="2613"/>
      <c r="D35" s="434">
        <v>100</v>
      </c>
      <c r="E35" s="2614"/>
      <c r="F35" s="460">
        <f>SUMIF(107:107,E35,108:108)-SUMIF(107:107,C35,108:108)+100</f>
        <v>100</v>
      </c>
      <c r="G35" s="2613"/>
      <c r="H35" s="434">
        <f>SUMIF(107:107,G35,108:108)-SUMIF(107:107,C35,108:108)+100</f>
        <v>100</v>
      </c>
      <c r="I35" s="2614"/>
      <c r="J35" s="434">
        <f>SUMIF(107:107,I35,108:108)-SUMIF(107:107,C35,108:108)+100</f>
        <v>100</v>
      </c>
      <c r="K35" s="425"/>
      <c r="L35" s="1139"/>
      <c r="M35" s="1130"/>
      <c r="N35" s="1130"/>
      <c r="O35" s="1130"/>
      <c r="P35" s="3228"/>
      <c r="Q35" s="1809" t="str">
        <f t="shared" si="11"/>
        <v>建筑品质</v>
      </c>
      <c r="R35" s="773" t="s">
        <v>21</v>
      </c>
      <c r="S35" s="774">
        <f t="shared" si="12"/>
        <v>100</v>
      </c>
      <c r="T35" s="773" t="s">
        <v>21</v>
      </c>
      <c r="U35" s="774">
        <f t="shared" si="13"/>
        <v>100</v>
      </c>
      <c r="V35" s="773" t="s">
        <v>21</v>
      </c>
      <c r="W35" s="774">
        <f t="shared" si="14"/>
        <v>100</v>
      </c>
      <c r="X35" s="1812"/>
      <c r="Y35" s="3230"/>
      <c r="Z35" s="1813" t="str">
        <f t="shared" si="18"/>
        <v>建筑品质</v>
      </c>
      <c r="AA35" s="1810">
        <f t="shared" si="15"/>
        <v>1</v>
      </c>
      <c r="AB35" s="1810">
        <f t="shared" si="16"/>
        <v>1</v>
      </c>
      <c r="AC35" s="1810">
        <f t="shared" si="17"/>
        <v>1</v>
      </c>
    </row>
    <row r="36" spans="1:29" ht="15">
      <c r="A36" s="471"/>
      <c r="B36" s="421" t="s">
        <v>2573</v>
      </c>
      <c r="C36" s="2613"/>
      <c r="D36" s="434">
        <v>100</v>
      </c>
      <c r="E36" s="2614"/>
      <c r="F36" s="460">
        <f>SUMIF(109:109,E36,110:110)-SUMIF(109:109,C36,110:110)+100</f>
        <v>100</v>
      </c>
      <c r="G36" s="2613"/>
      <c r="H36" s="434">
        <f>SUMIF(109:109,G36,110:110)-SUMIF(109:109,C36,110:110)+100</f>
        <v>100</v>
      </c>
      <c r="I36" s="2614"/>
      <c r="J36" s="434">
        <f>SUMIF(109:109,I36,110:110)-SUMIF(109:109,C36,110:110)+100</f>
        <v>100</v>
      </c>
      <c r="K36" s="425"/>
      <c r="L36" s="1139"/>
      <c r="M36" s="1130"/>
      <c r="N36" s="1130"/>
      <c r="O36" s="1130"/>
      <c r="P36" s="3228"/>
      <c r="Q36" s="1809" t="str">
        <f t="shared" si="11"/>
        <v>公共部分装修</v>
      </c>
      <c r="R36" s="773" t="s">
        <v>21</v>
      </c>
      <c r="S36" s="774">
        <f t="shared" si="12"/>
        <v>100</v>
      </c>
      <c r="T36" s="773" t="s">
        <v>21</v>
      </c>
      <c r="U36" s="774">
        <f t="shared" si="13"/>
        <v>100</v>
      </c>
      <c r="V36" s="773" t="s">
        <v>21</v>
      </c>
      <c r="W36" s="774">
        <f t="shared" si="14"/>
        <v>100</v>
      </c>
      <c r="X36" s="1812"/>
      <c r="Y36" s="3230"/>
      <c r="Z36" s="1813" t="str">
        <f t="shared" si="18"/>
        <v>公共部分装修</v>
      </c>
      <c r="AA36" s="1810">
        <f t="shared" si="15"/>
        <v>1</v>
      </c>
      <c r="AB36" s="1810">
        <f t="shared" si="16"/>
        <v>1</v>
      </c>
      <c r="AC36" s="1810">
        <f t="shared" si="17"/>
        <v>1</v>
      </c>
    </row>
    <row r="37" spans="1:29" s="116" customFormat="1" ht="15">
      <c r="A37" s="472"/>
      <c r="B37" s="421" t="s">
        <v>2574</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1"/>
      <c r="M37" s="1132"/>
      <c r="N37" s="1132"/>
      <c r="O37" s="1132"/>
      <c r="P37" s="3228"/>
      <c r="Q37" s="1794" t="str">
        <f t="shared" si="11"/>
        <v>成新度</v>
      </c>
      <c r="R37" s="769" t="s">
        <v>21</v>
      </c>
      <c r="S37" s="770" t="e">
        <f t="shared" si="12"/>
        <v>#N/A</v>
      </c>
      <c r="T37" s="769" t="s">
        <v>21</v>
      </c>
      <c r="U37" s="770" t="e">
        <f t="shared" si="13"/>
        <v>#N/A</v>
      </c>
      <c r="V37" s="769" t="s">
        <v>21</v>
      </c>
      <c r="W37" s="770" t="e">
        <f t="shared" si="14"/>
        <v>#N/A</v>
      </c>
      <c r="X37" s="771"/>
      <c r="Y37" s="3230"/>
      <c r="Z37" s="55" t="str">
        <f t="shared" si="18"/>
        <v>成新度</v>
      </c>
      <c r="AA37" s="772" t="e">
        <f t="shared" si="15"/>
        <v>#N/A</v>
      </c>
      <c r="AB37" s="772" t="e">
        <f t="shared" si="16"/>
        <v>#N/A</v>
      </c>
      <c r="AC37" s="772" t="e">
        <f t="shared" si="17"/>
        <v>#N/A</v>
      </c>
    </row>
    <row r="38" spans="1:29" ht="15">
      <c r="A38" s="471"/>
      <c r="B38" s="421" t="s">
        <v>2575</v>
      </c>
      <c r="C38" s="2613"/>
      <c r="D38" s="434">
        <v>100</v>
      </c>
      <c r="E38" s="2614"/>
      <c r="F38" s="460">
        <f>SUMIF(114:114,E38,115:115)-SUMIF(114:114,C38,115:115)+100</f>
        <v>100</v>
      </c>
      <c r="G38" s="2613"/>
      <c r="H38" s="434">
        <f>SUMIF(114:114,G38,115:115)-SUMIF(114:114,C38,115:115)+100</f>
        <v>100</v>
      </c>
      <c r="I38" s="2614"/>
      <c r="J38" s="434">
        <f>SUMIF(114:114,I38,115:115)-SUMIF(114:114,C38,115:115)+100</f>
        <v>100</v>
      </c>
      <c r="K38" s="425"/>
      <c r="L38" s="1139"/>
      <c r="M38" s="1130"/>
      <c r="N38" s="1130"/>
      <c r="O38" s="1130"/>
      <c r="P38" s="3228" t="s">
        <v>2569</v>
      </c>
      <c r="Q38" s="1809" t="str">
        <f t="shared" si="11"/>
        <v>物业管理</v>
      </c>
      <c r="R38" s="773" t="s">
        <v>21</v>
      </c>
      <c r="S38" s="774">
        <f t="shared" si="12"/>
        <v>100</v>
      </c>
      <c r="T38" s="773" t="s">
        <v>21</v>
      </c>
      <c r="U38" s="774">
        <f t="shared" si="13"/>
        <v>100</v>
      </c>
      <c r="V38" s="773" t="s">
        <v>21</v>
      </c>
      <c r="W38" s="774">
        <f t="shared" si="14"/>
        <v>100</v>
      </c>
      <c r="X38" s="1812"/>
      <c r="Y38" s="3230" t="s">
        <v>2569</v>
      </c>
      <c r="Z38" s="1813" t="str">
        <f t="shared" si="18"/>
        <v>物业管理</v>
      </c>
      <c r="AA38" s="1810">
        <f t="shared" si="15"/>
        <v>1</v>
      </c>
      <c r="AB38" s="1810">
        <f t="shared" si="16"/>
        <v>1</v>
      </c>
      <c r="AC38" s="1810">
        <f t="shared" si="17"/>
        <v>1</v>
      </c>
    </row>
    <row r="39" spans="1:29" ht="15">
      <c r="A39" s="471"/>
      <c r="B39" s="421" t="s">
        <v>2576</v>
      </c>
      <c r="C39" s="2613"/>
      <c r="D39" s="434">
        <v>100</v>
      </c>
      <c r="E39" s="2614"/>
      <c r="F39" s="460">
        <f>SUMIF(116:116,E39,117:117)-SUMIF(116:116,C39,117:117)+100</f>
        <v>100</v>
      </c>
      <c r="G39" s="2613"/>
      <c r="H39" s="434">
        <f>SUMIF(116:116,G39,117:117)-SUMIF(116:116,C39,117:117)+100</f>
        <v>100</v>
      </c>
      <c r="I39" s="2614"/>
      <c r="J39" s="434">
        <f>SUMIF(116:116,I39,117:117)-SUMIF(116:116,C39,117:117)+100</f>
        <v>100</v>
      </c>
      <c r="K39" s="425"/>
      <c r="L39" s="1139"/>
      <c r="M39" s="1130"/>
      <c r="N39" s="1130"/>
      <c r="O39" s="1130"/>
      <c r="P39" s="3228"/>
      <c r="Q39" s="1809" t="str">
        <f t="shared" si="11"/>
        <v>市政基础设施</v>
      </c>
      <c r="R39" s="773" t="s">
        <v>21</v>
      </c>
      <c r="S39" s="774">
        <f t="shared" si="12"/>
        <v>100</v>
      </c>
      <c r="T39" s="773" t="s">
        <v>21</v>
      </c>
      <c r="U39" s="774">
        <f t="shared" si="13"/>
        <v>100</v>
      </c>
      <c r="V39" s="773" t="s">
        <v>21</v>
      </c>
      <c r="W39" s="774">
        <f t="shared" si="14"/>
        <v>100</v>
      </c>
      <c r="X39" s="1812"/>
      <c r="Y39" s="3230"/>
      <c r="Z39" s="1813" t="str">
        <f t="shared" si="18"/>
        <v>市政基础设施</v>
      </c>
      <c r="AA39" s="1810">
        <f t="shared" si="15"/>
        <v>1</v>
      </c>
      <c r="AB39" s="1810">
        <f t="shared" si="16"/>
        <v>1</v>
      </c>
      <c r="AC39" s="1810">
        <f t="shared" si="17"/>
        <v>1</v>
      </c>
    </row>
    <row r="40" spans="1:29" ht="15">
      <c r="A40" s="471"/>
      <c r="B40" s="421" t="s">
        <v>2577</v>
      </c>
      <c r="C40" s="2613"/>
      <c r="D40" s="434">
        <v>100</v>
      </c>
      <c r="E40" s="2614"/>
      <c r="F40" s="460">
        <f>SUMIF(118:118,E40,119:119)-SUMIF(118:118,C40,119:119)+100</f>
        <v>100</v>
      </c>
      <c r="G40" s="2613"/>
      <c r="H40" s="434">
        <f>SUMIF(118:118,G40,119:119)-SUMIF(118:118,C40,119:119)+100</f>
        <v>100</v>
      </c>
      <c r="I40" s="2614"/>
      <c r="J40" s="434">
        <f>SUMIF(118:118,I40,119:119)-SUMIF(118:118,C40,119:119)+100</f>
        <v>100</v>
      </c>
      <c r="K40" s="425"/>
      <c r="L40" s="1139"/>
      <c r="M40" s="1130"/>
      <c r="N40" s="1130"/>
      <c r="O40" s="1130"/>
      <c r="P40" s="3228"/>
      <c r="Q40" s="1809" t="str">
        <f t="shared" si="11"/>
        <v>房型</v>
      </c>
      <c r="R40" s="773" t="s">
        <v>21</v>
      </c>
      <c r="S40" s="774">
        <f t="shared" si="12"/>
        <v>100</v>
      </c>
      <c r="T40" s="773" t="s">
        <v>21</v>
      </c>
      <c r="U40" s="774">
        <f t="shared" si="13"/>
        <v>100</v>
      </c>
      <c r="V40" s="773" t="s">
        <v>21</v>
      </c>
      <c r="W40" s="774">
        <f t="shared" si="14"/>
        <v>100</v>
      </c>
      <c r="X40" s="1812"/>
      <c r="Y40" s="3230"/>
      <c r="Z40" s="1813" t="str">
        <f t="shared" si="18"/>
        <v>房型</v>
      </c>
      <c r="AA40" s="1810">
        <f t="shared" si="15"/>
        <v>1</v>
      </c>
      <c r="AB40" s="1810">
        <f t="shared" si="16"/>
        <v>1</v>
      </c>
      <c r="AC40" s="1810">
        <f t="shared" si="17"/>
        <v>1</v>
      </c>
    </row>
    <row r="41" spans="1:29" s="470" customFormat="1" ht="28.5">
      <c r="A41" s="467"/>
      <c r="B41" s="421" t="s">
        <v>2578</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1"/>
      <c r="L41" s="1137"/>
      <c r="M41" s="1140"/>
      <c r="N41" s="1140"/>
      <c r="O41" s="1140"/>
      <c r="P41" s="3228"/>
      <c r="Q41" s="775" t="str">
        <f t="shared" si="11"/>
        <v>单套/主力户型建筑面积</v>
      </c>
      <c r="R41" s="776" t="s">
        <v>21</v>
      </c>
      <c r="S41" s="777">
        <f t="shared" si="12"/>
        <v>100</v>
      </c>
      <c r="T41" s="776" t="s">
        <v>21</v>
      </c>
      <c r="U41" s="777">
        <f t="shared" si="13"/>
        <v>100</v>
      </c>
      <c r="V41" s="776" t="s">
        <v>21</v>
      </c>
      <c r="W41" s="777">
        <f t="shared" si="14"/>
        <v>100</v>
      </c>
      <c r="X41" s="778"/>
      <c r="Y41" s="3230"/>
      <c r="Z41" s="779" t="str">
        <f t="shared" si="18"/>
        <v>单套/主力户型建筑面积</v>
      </c>
      <c r="AA41" s="1810">
        <f t="shared" si="15"/>
        <v>1</v>
      </c>
      <c r="AB41" s="1810">
        <f t="shared" si="16"/>
        <v>1</v>
      </c>
      <c r="AC41" s="1810">
        <f t="shared" si="17"/>
        <v>1</v>
      </c>
    </row>
    <row r="42" spans="1:29" ht="15">
      <c r="A42" s="471"/>
      <c r="B42" s="421" t="s">
        <v>2579</v>
      </c>
      <c r="C42" s="2613"/>
      <c r="D42" s="434">
        <v>100</v>
      </c>
      <c r="E42" s="2614"/>
      <c r="F42" s="460">
        <f>SUMIF(122:122,E42,123:123)-SUMIF(122:122,C42,123:123)+100</f>
        <v>100</v>
      </c>
      <c r="G42" s="2613"/>
      <c r="H42" s="434">
        <f>SUMIF(122:122,G42,123:123)-SUMIF(122:122,C42,123:123)+100</f>
        <v>100</v>
      </c>
      <c r="I42" s="2614"/>
      <c r="J42" s="434">
        <f>SUMIF(122:122,I42,123:123)-SUMIF(122:122,C42,123:123)+100</f>
        <v>100</v>
      </c>
      <c r="K42" s="425"/>
      <c r="L42" s="1139"/>
      <c r="M42" s="1130"/>
      <c r="N42" s="1130"/>
      <c r="O42" s="1130"/>
      <c r="P42" s="3228"/>
      <c r="Q42" s="1809" t="str">
        <f t="shared" si="11"/>
        <v>内部装修</v>
      </c>
      <c r="R42" s="773" t="s">
        <v>21</v>
      </c>
      <c r="S42" s="774">
        <f t="shared" si="12"/>
        <v>100</v>
      </c>
      <c r="T42" s="773" t="s">
        <v>21</v>
      </c>
      <c r="U42" s="774">
        <f t="shared" si="13"/>
        <v>100</v>
      </c>
      <c r="V42" s="773" t="s">
        <v>21</v>
      </c>
      <c r="W42" s="774">
        <f t="shared" si="14"/>
        <v>100</v>
      </c>
      <c r="X42" s="1812"/>
      <c r="Y42" s="3230"/>
      <c r="Z42" s="1813" t="str">
        <f t="shared" si="18"/>
        <v>内部装修</v>
      </c>
      <c r="AA42" s="1810">
        <f t="shared" si="15"/>
        <v>1</v>
      </c>
      <c r="AB42" s="1810">
        <f t="shared" si="16"/>
        <v>1</v>
      </c>
      <c r="AC42" s="1810">
        <f t="shared" si="17"/>
        <v>1</v>
      </c>
    </row>
    <row r="43" spans="1:29" ht="15">
      <c r="A43" s="471"/>
      <c r="B43" s="421" t="s">
        <v>2580</v>
      </c>
      <c r="C43" s="2613"/>
      <c r="D43" s="434">
        <v>100</v>
      </c>
      <c r="E43" s="2614"/>
      <c r="F43" s="460">
        <f>SUMIF(124:124,E43,125:125)-SUMIF(124:124,C43,125:125)+100</f>
        <v>100</v>
      </c>
      <c r="G43" s="2613"/>
      <c r="H43" s="434">
        <f>SUMIF(124:124,G43,125:125)-SUMIF(124:124,C43,125:125)+100</f>
        <v>100</v>
      </c>
      <c r="I43" s="2614"/>
      <c r="J43" s="434">
        <f>SUMIF(124:124,I43,125:125)-SUMIF(124:124,C43,125:125)+100</f>
        <v>100</v>
      </c>
      <c r="K43" s="425"/>
      <c r="L43" s="1139"/>
      <c r="M43" s="1130"/>
      <c r="N43" s="1130"/>
      <c r="O43" s="1130"/>
      <c r="P43" s="3228"/>
      <c r="Q43" s="1809" t="str">
        <f t="shared" si="11"/>
        <v>内部装修维护情况</v>
      </c>
      <c r="R43" s="773" t="s">
        <v>21</v>
      </c>
      <c r="S43" s="774">
        <f t="shared" si="12"/>
        <v>100</v>
      </c>
      <c r="T43" s="773" t="s">
        <v>21</v>
      </c>
      <c r="U43" s="774">
        <f t="shared" si="13"/>
        <v>100</v>
      </c>
      <c r="V43" s="773" t="s">
        <v>21</v>
      </c>
      <c r="W43" s="774">
        <f t="shared" si="14"/>
        <v>100</v>
      </c>
      <c r="X43" s="1812"/>
      <c r="Y43" s="3230"/>
      <c r="Z43" s="1813" t="str">
        <f t="shared" si="18"/>
        <v>内部装修维护情况</v>
      </c>
      <c r="AA43" s="1810">
        <f t="shared" si="15"/>
        <v>1</v>
      </c>
      <c r="AB43" s="1810">
        <f t="shared" si="16"/>
        <v>1</v>
      </c>
      <c r="AC43" s="1810">
        <f t="shared" si="17"/>
        <v>1</v>
      </c>
    </row>
    <row r="44" spans="1:29" s="116" customFormat="1" ht="15">
      <c r="A44" s="472"/>
      <c r="B44" s="1385">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1"/>
      <c r="L44" s="1131"/>
      <c r="M44" s="1132"/>
      <c r="N44" s="1132"/>
      <c r="O44" s="1132"/>
      <c r="P44" s="3228"/>
      <c r="Q44" s="1794">
        <f t="shared" si="11"/>
        <v>111</v>
      </c>
      <c r="R44" s="769" t="s">
        <v>21</v>
      </c>
      <c r="S44" s="770">
        <f t="shared" si="12"/>
        <v>100</v>
      </c>
      <c r="T44" s="769" t="s">
        <v>21</v>
      </c>
      <c r="U44" s="770">
        <f t="shared" si="13"/>
        <v>100</v>
      </c>
      <c r="V44" s="769" t="s">
        <v>21</v>
      </c>
      <c r="W44" s="770">
        <f t="shared" si="14"/>
        <v>100</v>
      </c>
      <c r="X44" s="771"/>
      <c r="Y44" s="3230"/>
      <c r="Z44" s="55">
        <f t="shared" si="18"/>
        <v>111</v>
      </c>
      <c r="AA44" s="772">
        <f t="shared" si="15"/>
        <v>1</v>
      </c>
      <c r="AB44" s="772">
        <f t="shared" si="16"/>
        <v>1</v>
      </c>
      <c r="AC44" s="772">
        <f t="shared" si="17"/>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1"/>
      <c r="L45" s="1139"/>
      <c r="M45" s="1130"/>
      <c r="N45" s="1130"/>
      <c r="O45" s="1130"/>
      <c r="P45" s="3228"/>
      <c r="Q45" s="1809">
        <f t="shared" si="11"/>
        <v>111</v>
      </c>
      <c r="R45" s="773" t="s">
        <v>21</v>
      </c>
      <c r="S45" s="774">
        <f t="shared" si="12"/>
        <v>100</v>
      </c>
      <c r="T45" s="773" t="s">
        <v>21</v>
      </c>
      <c r="U45" s="774">
        <f t="shared" si="13"/>
        <v>100</v>
      </c>
      <c r="V45" s="773" t="s">
        <v>21</v>
      </c>
      <c r="W45" s="774">
        <f t="shared" si="14"/>
        <v>100</v>
      </c>
      <c r="X45" s="1812"/>
      <c r="Y45" s="3230"/>
      <c r="Z45" s="1813">
        <f t="shared" si="18"/>
        <v>111</v>
      </c>
      <c r="AA45" s="1810">
        <f t="shared" si="15"/>
        <v>1</v>
      </c>
      <c r="AB45" s="1810">
        <f t="shared" si="16"/>
        <v>1</v>
      </c>
      <c r="AC45" s="1810">
        <f t="shared" si="17"/>
        <v>1</v>
      </c>
    </row>
    <row r="46" spans="1:29" ht="15.75" thickBot="1">
      <c r="A46" s="477"/>
      <c r="B46" s="2602">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1"/>
      <c r="L46" s="1139"/>
      <c r="M46" s="1130"/>
      <c r="N46" s="1130"/>
      <c r="O46" s="1130"/>
      <c r="P46" s="3229"/>
      <c r="Q46" s="1809">
        <f t="shared" si="11"/>
        <v>111</v>
      </c>
      <c r="R46" s="773" t="s">
        <v>20</v>
      </c>
      <c r="S46" s="774">
        <f t="shared" si="12"/>
        <v>100</v>
      </c>
      <c r="T46" s="773" t="s">
        <v>20</v>
      </c>
      <c r="U46" s="774">
        <f t="shared" si="13"/>
        <v>100</v>
      </c>
      <c r="V46" s="773" t="s">
        <v>20</v>
      </c>
      <c r="W46" s="774">
        <f t="shared" si="14"/>
        <v>100</v>
      </c>
      <c r="X46" s="1812"/>
      <c r="Y46" s="3231"/>
      <c r="Z46" s="1813">
        <f t="shared" si="18"/>
        <v>111</v>
      </c>
      <c r="AA46" s="1810">
        <f t="shared" si="15"/>
        <v>1</v>
      </c>
      <c r="AB46" s="1810">
        <f t="shared" si="16"/>
        <v>1</v>
      </c>
      <c r="AC46" s="1810">
        <f t="shared" si="17"/>
        <v>1</v>
      </c>
    </row>
    <row r="47" spans="1:29" ht="15">
      <c r="A47" s="478" t="s">
        <v>2581</v>
      </c>
      <c r="B47" s="479"/>
      <c r="C47" s="1406" t="s">
        <v>19</v>
      </c>
      <c r="D47" s="1407"/>
      <c r="E47" s="1408"/>
      <c r="F47" s="1409"/>
      <c r="G47" s="1410"/>
      <c r="H47" s="1411"/>
      <c r="I47" s="1408"/>
      <c r="J47" s="1411"/>
      <c r="K47" s="2621"/>
      <c r="L47" s="1142"/>
      <c r="M47" s="1143"/>
      <c r="N47" s="1130"/>
      <c r="O47" s="1143"/>
      <c r="P47" s="3218" t="str">
        <f>A47</f>
        <v>成交单价（元/平方米）</v>
      </c>
      <c r="Q47" s="3218"/>
      <c r="R47" s="3219">
        <f>E47</f>
        <v>0</v>
      </c>
      <c r="S47" s="3219"/>
      <c r="T47" s="3219">
        <f>G47</f>
        <v>0</v>
      </c>
      <c r="U47" s="3219"/>
      <c r="V47" s="3219">
        <f>I47</f>
        <v>0</v>
      </c>
      <c r="W47" s="3219"/>
      <c r="X47" s="758"/>
      <c r="Y47" s="780"/>
      <c r="Z47" s="758"/>
      <c r="AA47" s="758"/>
      <c r="AB47" s="758"/>
      <c r="AC47" s="758"/>
    </row>
    <row r="48" spans="1:29" ht="15.75" thickBot="1">
      <c r="A48" s="485" t="s">
        <v>2582</v>
      </c>
      <c r="B48" s="486"/>
      <c r="C48" s="1412" t="e">
        <f>R49</f>
        <v>#DIV/0!</v>
      </c>
      <c r="D48" s="1413"/>
      <c r="E48" s="1414" t="e">
        <f>R48</f>
        <v>#DIV/0!</v>
      </c>
      <c r="F48" s="1414"/>
      <c r="G48" s="1412" t="e">
        <f>T48</f>
        <v>#DIV/0!</v>
      </c>
      <c r="H48" s="1413"/>
      <c r="I48" s="1414" t="e">
        <f>V48</f>
        <v>#DIV/0!</v>
      </c>
      <c r="J48" s="1413"/>
      <c r="K48" s="2622"/>
      <c r="L48" s="1142"/>
      <c r="M48" s="1143"/>
      <c r="N48" s="1143"/>
      <c r="O48" s="1143"/>
      <c r="P48" s="3218" t="str">
        <f>A48</f>
        <v>比较价值（元/平方米）</v>
      </c>
      <c r="Q48" s="3218"/>
      <c r="R48" s="3219" t="e">
        <f>IF(F1="售价",ROUND(PRODUCT(R47,AA7:AA46),0),ROUND(PRODUCT(R47,AA7:AA46),1))</f>
        <v>#DIV/0!</v>
      </c>
      <c r="S48" s="3219"/>
      <c r="T48" s="3219" t="e">
        <f>IF(F1="售价",ROUND(PRODUCT(T47,AB7:AB46),0),ROUND(PRODUCT(T47,AB7:AB46),1))</f>
        <v>#DIV/0!</v>
      </c>
      <c r="U48" s="3219"/>
      <c r="V48" s="3219" t="e">
        <f>IF(F1="售价",ROUND(PRODUCT(V47,AC7:AC46),0),ROUND(PRODUCT(V47,AC7:AC46),1))</f>
        <v>#DIV/0!</v>
      </c>
      <c r="W48" s="3219"/>
      <c r="X48" s="758"/>
      <c r="Y48" s="758"/>
      <c r="Z48" s="758"/>
      <c r="AA48" s="758"/>
      <c r="AB48" s="758"/>
      <c r="AC48" s="758"/>
    </row>
    <row r="49" spans="1:29" ht="15.75" thickBot="1">
      <c r="A49" s="491" t="s">
        <v>2583</v>
      </c>
      <c r="B49" s="492"/>
      <c r="C49" s="1415" t="e">
        <f>R49</f>
        <v>#DIV/0!</v>
      </c>
      <c r="D49" s="1416"/>
      <c r="E49" s="1416"/>
      <c r="F49" s="1416"/>
      <c r="G49" s="1416"/>
      <c r="H49" s="1416"/>
      <c r="I49" s="1416"/>
      <c r="J49" s="1416"/>
      <c r="K49" s="2623"/>
      <c r="L49" s="1142"/>
      <c r="M49" s="1143"/>
      <c r="N49" s="1143"/>
      <c r="O49" s="1143"/>
      <c r="P49" s="3290" t="str">
        <f>A49</f>
        <v>估价对象XX用房的比较价值（楼面单价，元/平方米）</v>
      </c>
      <c r="Q49" s="3291"/>
      <c r="R49" s="3292" t="e">
        <f>IF(F1="售价",ROUND(AVERAGE(R48:V48),0),ROUND(AVERAGE(R48:V48),1))</f>
        <v>#DIV/0!</v>
      </c>
      <c r="S49" s="3292"/>
      <c r="T49" s="3292"/>
      <c r="U49" s="3292"/>
      <c r="V49" s="3292"/>
      <c r="W49" s="3292"/>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2584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2585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2586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25"/>
    </row>
    <row r="55" spans="1:29" s="501" customFormat="1">
      <c r="A55" s="1144"/>
      <c r="B55" s="1145"/>
      <c r="C55" s="1149"/>
      <c r="D55" s="1144"/>
      <c r="E55" s="1144"/>
      <c r="F55" s="1144"/>
      <c r="G55" s="1144"/>
      <c r="H55" s="1144"/>
      <c r="I55" s="1144"/>
      <c r="J55" s="1144"/>
      <c r="K55" s="1147"/>
      <c r="L55" s="1148"/>
      <c r="M55" s="1144"/>
      <c r="N55" s="1144"/>
      <c r="O55" s="1144"/>
      <c r="P55" s="2625"/>
    </row>
    <row r="56" spans="1:29">
      <c r="A56" s="1143"/>
      <c r="B56" s="1145"/>
      <c r="C56" s="1149"/>
      <c r="D56" s="1143"/>
      <c r="E56" s="1143"/>
      <c r="F56" s="1143"/>
      <c r="G56" s="1143"/>
      <c r="H56" s="1143"/>
      <c r="I56" s="1143"/>
      <c r="J56" s="1143"/>
      <c r="K56" s="1104"/>
      <c r="L56" s="1105"/>
      <c r="M56" s="1143"/>
      <c r="N56" s="1143"/>
      <c r="O56" s="1143"/>
    </row>
    <row r="57" spans="1:29" ht="21.75" thickBot="1">
      <c r="A57" s="762" t="s">
        <v>2587</v>
      </c>
      <c r="B57" s="758"/>
      <c r="C57" s="763"/>
      <c r="D57" s="763"/>
      <c r="E57" s="763"/>
      <c r="F57" s="764"/>
      <c r="G57" s="764"/>
      <c r="H57" s="763"/>
      <c r="I57" s="763"/>
      <c r="J57" s="763"/>
      <c r="K57" s="1159"/>
      <c r="L57" s="1160"/>
      <c r="M57" s="1158"/>
      <c r="N57" s="1158"/>
      <c r="O57" s="1158"/>
      <c r="P57" s="2626"/>
      <c r="Q57" s="503"/>
    </row>
    <row r="58" spans="1:29" s="507" customFormat="1" ht="15">
      <c r="A58" s="504" t="s">
        <v>2588</v>
      </c>
      <c r="B58" s="505"/>
      <c r="C58" s="1575" t="str">
        <f>YEAR(C7)&amp;"-"&amp;MONTH(C7)</f>
        <v>2018-6</v>
      </c>
      <c r="D58" s="1574">
        <f>EDATE(C58,-1)</f>
        <v>43221</v>
      </c>
      <c r="E58" s="1574">
        <f>EDATE(D58,-1)</f>
        <v>43191</v>
      </c>
      <c r="F58" s="1574">
        <f t="shared" ref="F58:O58" si="19">EDATE(E58,-1)</f>
        <v>43160</v>
      </c>
      <c r="G58" s="1574">
        <f t="shared" si="19"/>
        <v>43132</v>
      </c>
      <c r="H58" s="1574">
        <f t="shared" si="19"/>
        <v>43101</v>
      </c>
      <c r="I58" s="1574">
        <f t="shared" si="19"/>
        <v>43070</v>
      </c>
      <c r="J58" s="1574">
        <f t="shared" si="19"/>
        <v>43040</v>
      </c>
      <c r="K58" s="1574">
        <f t="shared" si="19"/>
        <v>43009</v>
      </c>
      <c r="L58" s="1574">
        <f t="shared" si="19"/>
        <v>42979</v>
      </c>
      <c r="M58" s="1574">
        <f t="shared" si="19"/>
        <v>42948</v>
      </c>
      <c r="N58" s="1574">
        <f t="shared" si="19"/>
        <v>42917</v>
      </c>
      <c r="O58" s="1574">
        <f t="shared" si="19"/>
        <v>42887</v>
      </c>
      <c r="P58" s="1569"/>
    </row>
    <row r="59" spans="1:29" s="116" customFormat="1" ht="15">
      <c r="A59" s="508"/>
      <c r="B59" s="2627"/>
      <c r="C59" s="1572">
        <v>100</v>
      </c>
      <c r="D59" s="510"/>
      <c r="E59" s="511"/>
      <c r="F59" s="511"/>
      <c r="G59" s="511"/>
      <c r="H59" s="511"/>
      <c r="I59" s="511"/>
      <c r="J59" s="511"/>
      <c r="K59" s="511"/>
      <c r="L59" s="511"/>
      <c r="M59" s="512"/>
      <c r="N59" s="511"/>
      <c r="O59" s="512"/>
      <c r="P59" s="2628"/>
    </row>
    <row r="60" spans="1:29" s="116" customFormat="1" ht="15.75" thickBot="1">
      <c r="A60" s="514" t="s">
        <v>2589</v>
      </c>
      <c r="B60" s="515"/>
      <c r="C60" s="516"/>
      <c r="D60" s="517"/>
      <c r="E60" s="517"/>
      <c r="F60" s="517"/>
      <c r="G60" s="517"/>
      <c r="H60" s="517"/>
      <c r="I60" s="517"/>
      <c r="J60" s="517"/>
      <c r="K60" s="517"/>
      <c r="L60" s="517"/>
      <c r="M60" s="518"/>
      <c r="N60" s="517"/>
      <c r="O60" s="518"/>
      <c r="P60" s="2628"/>
      <c r="Q60" s="503"/>
    </row>
    <row r="61" spans="1:29" s="116" customFormat="1" ht="15">
      <c r="A61" s="520" t="s">
        <v>2590</v>
      </c>
      <c r="B61" s="509"/>
      <c r="C61" s="521" t="s">
        <v>2591</v>
      </c>
      <c r="D61" s="522"/>
      <c r="E61" s="522"/>
      <c r="F61" s="522"/>
      <c r="G61" s="522"/>
      <c r="H61" s="522"/>
      <c r="I61" s="522"/>
      <c r="J61" s="522"/>
      <c r="K61" s="522"/>
      <c r="L61" s="523"/>
      <c r="M61" s="524"/>
      <c r="N61" s="1150"/>
      <c r="O61" s="1150"/>
      <c r="P61" s="2629"/>
      <c r="Q61" s="503"/>
    </row>
    <row r="62" spans="1:29" s="116" customFormat="1" ht="15.75" thickBot="1">
      <c r="A62" s="520"/>
      <c r="B62" s="509"/>
      <c r="C62" s="510">
        <v>100</v>
      </c>
      <c r="D62" s="511"/>
      <c r="E62" s="511"/>
      <c r="F62" s="511"/>
      <c r="G62" s="511"/>
      <c r="H62" s="511"/>
      <c r="I62" s="511"/>
      <c r="J62" s="511"/>
      <c r="K62" s="511"/>
      <c r="L62" s="511"/>
      <c r="M62" s="513"/>
      <c r="N62" s="1150"/>
      <c r="O62" s="1150"/>
      <c r="P62" s="2628"/>
      <c r="Q62" s="503"/>
    </row>
    <row r="63" spans="1:29">
      <c r="A63" s="526" t="s">
        <v>2592</v>
      </c>
      <c r="B63" s="527" t="s">
        <v>2558</v>
      </c>
      <c r="C63" s="528">
        <f>C9</f>
        <v>0</v>
      </c>
      <c r="D63" s="529"/>
      <c r="E63" s="529"/>
      <c r="F63" s="529"/>
      <c r="G63" s="529"/>
      <c r="H63" s="529"/>
      <c r="I63" s="529"/>
      <c r="J63" s="529"/>
      <c r="K63" s="530"/>
      <c r="L63" s="531"/>
      <c r="M63" s="532"/>
      <c r="N63" s="1151"/>
      <c r="O63" s="1151"/>
      <c r="P63" s="2630"/>
      <c r="Q63" s="503"/>
    </row>
    <row r="64" spans="1:29" ht="15.75" thickBot="1">
      <c r="A64" s="533"/>
      <c r="B64" s="534"/>
      <c r="C64" s="535">
        <v>100</v>
      </c>
      <c r="D64" s="535"/>
      <c r="E64" s="535"/>
      <c r="F64" s="535"/>
      <c r="G64" s="535"/>
      <c r="H64" s="535"/>
      <c r="I64" s="535"/>
      <c r="J64" s="535"/>
      <c r="K64" s="535"/>
      <c r="L64" s="535"/>
      <c r="M64" s="536"/>
      <c r="N64" s="1152"/>
      <c r="O64" s="1152"/>
      <c r="P64" s="2630"/>
      <c r="Q64" s="503"/>
    </row>
    <row r="65" spans="1:17" ht="27.75" thickTop="1">
      <c r="A65" s="533"/>
      <c r="B65" s="537" t="s">
        <v>2561</v>
      </c>
      <c r="C65" s="538" t="s">
        <v>2593</v>
      </c>
      <c r="D65" s="538" t="s">
        <v>2594</v>
      </c>
      <c r="E65" s="538" t="s">
        <v>2595</v>
      </c>
      <c r="F65" s="538" t="s">
        <v>2596</v>
      </c>
      <c r="G65" s="538" t="s">
        <v>2597</v>
      </c>
      <c r="H65" s="538" t="s">
        <v>2598</v>
      </c>
      <c r="I65" s="538" t="s">
        <v>2599</v>
      </c>
      <c r="J65" s="538"/>
      <c r="K65" s="539"/>
      <c r="L65" s="540"/>
      <c r="M65" s="541"/>
      <c r="N65" s="1151"/>
      <c r="O65" s="1151"/>
      <c r="P65" s="2630"/>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30"/>
      <c r="Q66" s="503"/>
    </row>
    <row r="67" spans="1:17" ht="15.75" thickTop="1">
      <c r="A67" s="533"/>
      <c r="B67" s="545" t="s">
        <v>2562</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30"/>
      <c r="Q67" s="503"/>
    </row>
    <row r="68" spans="1:17" ht="15">
      <c r="A68" s="533"/>
      <c r="B68" s="547"/>
      <c r="C68" s="548"/>
      <c r="D68" s="548"/>
      <c r="E68" s="548"/>
      <c r="F68" s="548"/>
      <c r="G68" s="548"/>
      <c r="H68" s="548"/>
      <c r="I68" s="548"/>
      <c r="J68" s="548"/>
      <c r="K68" s="549"/>
      <c r="L68" s="550"/>
      <c r="M68" s="551"/>
      <c r="N68" s="1151"/>
      <c r="O68" s="1151"/>
      <c r="P68" s="2630"/>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30"/>
      <c r="Q69" s="503"/>
    </row>
    <row r="70" spans="1:17" s="470" customFormat="1" ht="15.75" thickTop="1">
      <c r="A70" s="552"/>
      <c r="B70" s="537">
        <f>B12</f>
        <v>111</v>
      </c>
      <c r="C70" s="553"/>
      <c r="D70" s="553"/>
      <c r="E70" s="553"/>
      <c r="F70" s="553"/>
      <c r="G70" s="553"/>
      <c r="H70" s="554"/>
      <c r="I70" s="554"/>
      <c r="J70" s="554"/>
      <c r="K70" s="554"/>
      <c r="L70" s="555"/>
      <c r="M70" s="556"/>
      <c r="N70" s="1153"/>
      <c r="O70" s="1153"/>
      <c r="P70" s="2631"/>
      <c r="Q70" s="558"/>
    </row>
    <row r="71" spans="1:17" s="470" customFormat="1" ht="15.75" thickBot="1">
      <c r="A71" s="552"/>
      <c r="B71" s="542"/>
      <c r="C71" s="559"/>
      <c r="D71" s="535"/>
      <c r="E71" s="535"/>
      <c r="F71" s="535"/>
      <c r="G71" s="535"/>
      <c r="H71" s="535"/>
      <c r="I71" s="535"/>
      <c r="J71" s="535"/>
      <c r="K71" s="535"/>
      <c r="L71" s="535"/>
      <c r="M71" s="536"/>
      <c r="N71" s="1152"/>
      <c r="O71" s="1152"/>
      <c r="P71" s="2631"/>
      <c r="Q71" s="558"/>
    </row>
    <row r="72" spans="1:17" s="470" customFormat="1" ht="15.75" thickTop="1">
      <c r="A72" s="552"/>
      <c r="B72" s="537">
        <f>B13</f>
        <v>111</v>
      </c>
      <c r="C72" s="553"/>
      <c r="D72" s="553"/>
      <c r="E72" s="553"/>
      <c r="F72" s="553"/>
      <c r="G72" s="553"/>
      <c r="H72" s="554"/>
      <c r="I72" s="554"/>
      <c r="J72" s="554"/>
      <c r="K72" s="554"/>
      <c r="L72" s="555"/>
      <c r="M72" s="556"/>
      <c r="N72" s="1153"/>
      <c r="O72" s="1153"/>
      <c r="P72" s="2632"/>
      <c r="Q72" s="560"/>
    </row>
    <row r="73" spans="1:17" s="470" customFormat="1" ht="15.75" thickBot="1">
      <c r="A73" s="552"/>
      <c r="B73" s="542"/>
      <c r="C73" s="559"/>
      <c r="D73" s="559"/>
      <c r="E73" s="559"/>
      <c r="F73" s="559"/>
      <c r="G73" s="559"/>
      <c r="H73" s="561"/>
      <c r="I73" s="561"/>
      <c r="J73" s="561"/>
      <c r="K73" s="561"/>
      <c r="L73" s="561"/>
      <c r="M73" s="562"/>
      <c r="N73" s="1153"/>
      <c r="O73" s="1153"/>
      <c r="P73" s="2631"/>
      <c r="Q73" s="558"/>
    </row>
    <row r="74" spans="1:17" s="470" customFormat="1" ht="15.75" thickTop="1">
      <c r="A74" s="552"/>
      <c r="B74" s="545">
        <f>B14</f>
        <v>111</v>
      </c>
      <c r="C74" s="553"/>
      <c r="D74" s="553"/>
      <c r="E74" s="553"/>
      <c r="F74" s="553"/>
      <c r="G74" s="522"/>
      <c r="H74" s="563"/>
      <c r="I74" s="563"/>
      <c r="J74" s="563"/>
      <c r="K74" s="563"/>
      <c r="L74" s="564"/>
      <c r="M74" s="565"/>
      <c r="N74" s="1153"/>
      <c r="O74" s="1153"/>
      <c r="P74" s="2633"/>
      <c r="Q74" s="558"/>
    </row>
    <row r="75" spans="1:17" s="470" customFormat="1" ht="15.75" thickBot="1">
      <c r="A75" s="567"/>
      <c r="B75" s="568"/>
      <c r="C75" s="569"/>
      <c r="D75" s="569"/>
      <c r="E75" s="569"/>
      <c r="F75" s="569"/>
      <c r="G75" s="569"/>
      <c r="H75" s="570"/>
      <c r="I75" s="570"/>
      <c r="J75" s="570"/>
      <c r="K75" s="570"/>
      <c r="L75" s="570"/>
      <c r="M75" s="571"/>
      <c r="N75" s="1153"/>
      <c r="O75" s="1153"/>
      <c r="P75" s="2631"/>
      <c r="Q75" s="558"/>
    </row>
    <row r="76" spans="1:17">
      <c r="A76" s="526" t="s">
        <v>2563</v>
      </c>
      <c r="B76" s="527" t="s">
        <v>2600</v>
      </c>
      <c r="C76" s="572" t="s">
        <v>2601</v>
      </c>
      <c r="D76" s="572" t="s">
        <v>2602</v>
      </c>
      <c r="E76" s="572" t="s">
        <v>2603</v>
      </c>
      <c r="F76" s="572" t="s">
        <v>2604</v>
      </c>
      <c r="G76" s="572" t="s">
        <v>2605</v>
      </c>
      <c r="H76" s="528"/>
      <c r="I76" s="528"/>
      <c r="J76" s="528"/>
      <c r="K76" s="573"/>
      <c r="L76" s="574"/>
      <c r="M76" s="575"/>
      <c r="N76" s="1151"/>
      <c r="O76" s="1151"/>
      <c r="P76" s="263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30"/>
      <c r="Q77" s="503"/>
    </row>
    <row r="78" spans="1:17" ht="15.75" thickTop="1">
      <c r="A78" s="533"/>
      <c r="B78" s="537" t="s">
        <v>2606</v>
      </c>
      <c r="C78" s="577" t="s">
        <v>2601</v>
      </c>
      <c r="D78" s="577" t="s">
        <v>2602</v>
      </c>
      <c r="E78" s="577" t="s">
        <v>2603</v>
      </c>
      <c r="F78" s="577" t="s">
        <v>2604</v>
      </c>
      <c r="G78" s="577" t="s">
        <v>2605</v>
      </c>
      <c r="H78" s="538"/>
      <c r="I78" s="538"/>
      <c r="J78" s="538"/>
      <c r="K78" s="539"/>
      <c r="L78" s="540"/>
      <c r="M78" s="541"/>
      <c r="N78" s="1151"/>
      <c r="O78" s="1151"/>
      <c r="P78" s="263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30"/>
      <c r="Q79" s="503"/>
    </row>
    <row r="80" spans="1:17" ht="15.75" thickTop="1">
      <c r="A80" s="533"/>
      <c r="B80" s="537" t="s">
        <v>2607</v>
      </c>
      <c r="C80" s="577" t="s">
        <v>2601</v>
      </c>
      <c r="D80" s="577" t="s">
        <v>2602</v>
      </c>
      <c r="E80" s="577" t="s">
        <v>2603</v>
      </c>
      <c r="F80" s="577" t="s">
        <v>2604</v>
      </c>
      <c r="G80" s="577" t="s">
        <v>2605</v>
      </c>
      <c r="H80" s="538"/>
      <c r="I80" s="538"/>
      <c r="J80" s="538"/>
      <c r="K80" s="539"/>
      <c r="L80" s="540"/>
      <c r="M80" s="541"/>
      <c r="N80" s="1151"/>
      <c r="O80" s="1151"/>
      <c r="P80" s="263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30"/>
      <c r="Q81" s="503"/>
    </row>
    <row r="82" spans="1:17" ht="15.75" thickTop="1">
      <c r="A82" s="533"/>
      <c r="B82" s="545" t="s">
        <v>2101</v>
      </c>
      <c r="C82" s="538" t="s">
        <v>2608</v>
      </c>
      <c r="D82" s="538" t="s">
        <v>2609</v>
      </c>
      <c r="E82" s="538" t="s">
        <v>2610</v>
      </c>
      <c r="F82" s="538" t="s">
        <v>2611</v>
      </c>
      <c r="G82" s="538" t="s">
        <v>2612</v>
      </c>
      <c r="H82" s="538"/>
      <c r="I82" s="538"/>
      <c r="J82" s="538"/>
      <c r="K82" s="538"/>
      <c r="L82" s="538"/>
      <c r="M82" s="1381"/>
      <c r="N82" s="1152"/>
      <c r="O82" s="1152"/>
      <c r="P82" s="2630"/>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2"/>
      <c r="O83" s="1152"/>
      <c r="P83" s="2630"/>
      <c r="Q83" s="503"/>
    </row>
    <row r="84" spans="1:17" ht="15.75" thickTop="1">
      <c r="A84" s="533"/>
      <c r="B84" s="537" t="s">
        <v>2613</v>
      </c>
      <c r="C84" s="577" t="s">
        <v>2601</v>
      </c>
      <c r="D84" s="577" t="s">
        <v>2602</v>
      </c>
      <c r="E84" s="577" t="s">
        <v>2603</v>
      </c>
      <c r="F84" s="577" t="s">
        <v>2604</v>
      </c>
      <c r="G84" s="577" t="s">
        <v>2605</v>
      </c>
      <c r="H84" s="538"/>
      <c r="I84" s="538"/>
      <c r="J84" s="538"/>
      <c r="K84" s="539"/>
      <c r="L84" s="540"/>
      <c r="M84" s="541"/>
      <c r="N84" s="1151"/>
      <c r="O84" s="1151"/>
      <c r="P84" s="263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30"/>
      <c r="Q85" s="503"/>
    </row>
    <row r="86" spans="1:17" s="116" customFormat="1" ht="15.75" thickTop="1">
      <c r="A86" s="578"/>
      <c r="B86" s="537" t="s">
        <v>2614</v>
      </c>
      <c r="C86" s="553"/>
      <c r="D86" s="553"/>
      <c r="E86" s="553"/>
      <c r="F86" s="553"/>
      <c r="G86" s="553"/>
      <c r="H86" s="553"/>
      <c r="I86" s="553"/>
      <c r="J86" s="553"/>
      <c r="K86" s="553"/>
      <c r="L86" s="579"/>
      <c r="M86" s="580"/>
      <c r="N86" s="1150"/>
      <c r="O86" s="1150"/>
      <c r="P86" s="2630"/>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30"/>
      <c r="Q87" s="503"/>
    </row>
    <row r="88" spans="1:17" s="116" customFormat="1" ht="15.75" thickTop="1">
      <c r="A88" s="578"/>
      <c r="B88" s="537" t="s">
        <v>2615</v>
      </c>
      <c r="C88" s="553"/>
      <c r="D88" s="553"/>
      <c r="E88" s="553"/>
      <c r="F88" s="2635"/>
      <c r="G88" s="553"/>
      <c r="H88" s="553"/>
      <c r="I88" s="553"/>
      <c r="J88" s="553"/>
      <c r="K88" s="553"/>
      <c r="L88" s="553"/>
      <c r="M88" s="580"/>
      <c r="N88" s="1150"/>
      <c r="O88" s="1150"/>
      <c r="P88" s="2630"/>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30"/>
      <c r="Q89" s="503"/>
    </row>
    <row r="90" spans="1:17" s="470" customFormat="1" ht="15.75" thickTop="1">
      <c r="A90" s="552"/>
      <c r="B90" s="537">
        <f>B27</f>
        <v>111</v>
      </c>
      <c r="C90" s="553"/>
      <c r="D90" s="553"/>
      <c r="E90" s="553"/>
      <c r="F90" s="553"/>
      <c r="G90" s="553"/>
      <c r="H90" s="554"/>
      <c r="I90" s="554"/>
      <c r="J90" s="554"/>
      <c r="K90" s="554"/>
      <c r="L90" s="555"/>
      <c r="M90" s="556"/>
      <c r="N90" s="1153"/>
      <c r="O90" s="1153"/>
      <c r="P90" s="2631"/>
      <c r="Q90" s="558"/>
    </row>
    <row r="91" spans="1:17" s="470" customFormat="1" ht="15.75" thickBot="1">
      <c r="A91" s="552"/>
      <c r="B91" s="542"/>
      <c r="C91" s="559"/>
      <c r="D91" s="559"/>
      <c r="E91" s="559"/>
      <c r="F91" s="559"/>
      <c r="G91" s="559"/>
      <c r="H91" s="561"/>
      <c r="I91" s="561"/>
      <c r="J91" s="561"/>
      <c r="K91" s="561"/>
      <c r="L91" s="561"/>
      <c r="M91" s="562"/>
      <c r="N91" s="1153"/>
      <c r="O91" s="1153"/>
      <c r="P91" s="2631"/>
      <c r="Q91" s="558"/>
    </row>
    <row r="92" spans="1:17" ht="15.75" thickTop="1">
      <c r="A92" s="533"/>
      <c r="B92" s="537">
        <f>B28</f>
        <v>111</v>
      </c>
      <c r="C92" s="553"/>
      <c r="D92" s="553"/>
      <c r="E92" s="553"/>
      <c r="F92" s="553"/>
      <c r="G92" s="582"/>
      <c r="H92" s="582"/>
      <c r="I92" s="582"/>
      <c r="J92" s="582"/>
      <c r="K92" s="583"/>
      <c r="L92" s="584"/>
      <c r="M92" s="585"/>
      <c r="N92" s="1151"/>
      <c r="O92" s="1151"/>
      <c r="P92" s="2630"/>
      <c r="Q92" s="503"/>
    </row>
    <row r="93" spans="1:17" ht="15.75" thickBot="1">
      <c r="A93" s="533"/>
      <c r="B93" s="542"/>
      <c r="C93" s="559"/>
      <c r="D93" s="535"/>
      <c r="E93" s="535"/>
      <c r="F93" s="535"/>
      <c r="G93" s="535"/>
      <c r="H93" s="535"/>
      <c r="I93" s="535"/>
      <c r="J93" s="535"/>
      <c r="K93" s="535"/>
      <c r="L93" s="535"/>
      <c r="M93" s="536"/>
      <c r="N93" s="1152"/>
      <c r="O93" s="1152"/>
      <c r="P93" s="2630"/>
      <c r="Q93" s="503"/>
    </row>
    <row r="94" spans="1:17" ht="15.75" thickTop="1">
      <c r="A94" s="533"/>
      <c r="B94" s="537">
        <f>B29</f>
        <v>111</v>
      </c>
      <c r="C94" s="553"/>
      <c r="D94" s="553"/>
      <c r="E94" s="553"/>
      <c r="F94" s="553"/>
      <c r="G94" s="582"/>
      <c r="H94" s="582"/>
      <c r="I94" s="582"/>
      <c r="J94" s="582"/>
      <c r="K94" s="583"/>
      <c r="L94" s="584"/>
      <c r="M94" s="585"/>
      <c r="N94" s="1151"/>
      <c r="O94" s="1151"/>
      <c r="P94" s="2630"/>
      <c r="Q94" s="503"/>
    </row>
    <row r="95" spans="1:17" ht="15.75" thickBot="1">
      <c r="A95" s="533"/>
      <c r="B95" s="542"/>
      <c r="C95" s="559"/>
      <c r="D95" s="559"/>
      <c r="E95" s="559"/>
      <c r="F95" s="559"/>
      <c r="G95" s="535"/>
      <c r="H95" s="535"/>
      <c r="I95" s="535"/>
      <c r="J95" s="535"/>
      <c r="K95" s="535"/>
      <c r="L95" s="535"/>
      <c r="M95" s="536"/>
      <c r="N95" s="1152"/>
      <c r="O95" s="1152"/>
      <c r="P95" s="2630"/>
      <c r="Q95" s="503"/>
    </row>
    <row r="96" spans="1:17" ht="15.75" thickTop="1">
      <c r="A96" s="533"/>
      <c r="B96" s="537">
        <f>B30</f>
        <v>111</v>
      </c>
      <c r="C96" s="553"/>
      <c r="D96" s="553"/>
      <c r="E96" s="553"/>
      <c r="F96" s="553"/>
      <c r="G96" s="582"/>
      <c r="H96" s="582"/>
      <c r="I96" s="582"/>
      <c r="J96" s="582"/>
      <c r="K96" s="583"/>
      <c r="L96" s="584"/>
      <c r="M96" s="585"/>
      <c r="N96" s="1151"/>
      <c r="O96" s="1151"/>
      <c r="P96" s="2630"/>
      <c r="Q96" s="503"/>
    </row>
    <row r="97" spans="1:17" ht="15.75" thickBot="1">
      <c r="A97" s="533"/>
      <c r="B97" s="542"/>
      <c r="C97" s="569"/>
      <c r="D97" s="569"/>
      <c r="E97" s="569"/>
      <c r="F97" s="569"/>
      <c r="G97" s="535"/>
      <c r="H97" s="535"/>
      <c r="I97" s="535"/>
      <c r="J97" s="535"/>
      <c r="K97" s="535"/>
      <c r="L97" s="535"/>
      <c r="M97" s="536"/>
      <c r="N97" s="1152"/>
      <c r="O97" s="1152"/>
      <c r="P97" s="2630"/>
      <c r="Q97" s="503"/>
    </row>
    <row r="98" spans="1:17" ht="15.75" thickTop="1">
      <c r="A98" s="533"/>
      <c r="B98" s="545">
        <f>B31</f>
        <v>111</v>
      </c>
      <c r="C98" s="586"/>
      <c r="D98" s="586"/>
      <c r="E98" s="586"/>
      <c r="F98" s="586"/>
      <c r="G98" s="586"/>
      <c r="H98" s="586"/>
      <c r="I98" s="586"/>
      <c r="J98" s="586"/>
      <c r="K98" s="587"/>
      <c r="L98" s="588"/>
      <c r="M98" s="589"/>
      <c r="N98" s="1151"/>
      <c r="O98" s="1151"/>
      <c r="P98" s="2630"/>
      <c r="Q98" s="503"/>
    </row>
    <row r="99" spans="1:17" ht="15.75" thickBot="1">
      <c r="A99" s="2636"/>
      <c r="B99" s="568"/>
      <c r="C99" s="590"/>
      <c r="D99" s="590"/>
      <c r="E99" s="590"/>
      <c r="F99" s="590"/>
      <c r="G99" s="590"/>
      <c r="H99" s="590"/>
      <c r="I99" s="590"/>
      <c r="J99" s="590"/>
      <c r="K99" s="590"/>
      <c r="L99" s="590"/>
      <c r="M99" s="591"/>
      <c r="N99" s="1152"/>
      <c r="O99" s="1152"/>
      <c r="P99" s="2630"/>
      <c r="Q99" s="503"/>
    </row>
    <row r="100" spans="1:17">
      <c r="A100" s="526" t="s">
        <v>2567</v>
      </c>
      <c r="B100" s="527" t="s">
        <v>2616</v>
      </c>
      <c r="C100" s="529"/>
      <c r="D100" s="529"/>
      <c r="E100" s="529"/>
      <c r="F100" s="529"/>
      <c r="G100" s="529"/>
      <c r="H100" s="529"/>
      <c r="I100" s="529"/>
      <c r="J100" s="529"/>
      <c r="K100" s="530"/>
      <c r="L100" s="531"/>
      <c r="M100" s="532"/>
      <c r="N100" s="1151"/>
      <c r="O100" s="1151"/>
      <c r="P100" s="2630"/>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30"/>
      <c r="Q101" s="503"/>
    </row>
    <row r="102" spans="1:17" ht="15.75" thickTop="1">
      <c r="A102" s="533"/>
      <c r="B102" s="537" t="s">
        <v>2617</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30"/>
      <c r="Q102" s="503"/>
    </row>
    <row r="103" spans="1:17" s="470" customFormat="1">
      <c r="A103" s="592"/>
      <c r="B103" s="593"/>
      <c r="C103" s="594"/>
      <c r="D103" s="594"/>
      <c r="E103" s="594"/>
      <c r="F103" s="594"/>
      <c r="G103" s="594"/>
      <c r="H103" s="594"/>
      <c r="I103" s="594"/>
      <c r="J103" s="595"/>
      <c r="K103" s="595"/>
      <c r="L103" s="596"/>
      <c r="M103" s="597"/>
      <c r="N103" s="1153"/>
      <c r="O103" s="1153"/>
      <c r="P103" s="2631"/>
      <c r="Q103" s="558"/>
    </row>
    <row r="104" spans="1:17" s="470" customFormat="1" ht="15.75" thickBot="1">
      <c r="A104" s="552"/>
      <c r="B104" s="542"/>
      <c r="C104" s="559"/>
      <c r="D104" s="535"/>
      <c r="E104" s="535"/>
      <c r="F104" s="535"/>
      <c r="G104" s="535"/>
      <c r="H104" s="535"/>
      <c r="I104" s="535"/>
      <c r="J104" s="535"/>
      <c r="K104" s="535"/>
      <c r="L104" s="535"/>
      <c r="M104" s="535"/>
      <c r="N104" s="1152"/>
      <c r="O104" s="1152"/>
      <c r="P104" s="2631"/>
      <c r="Q104" s="558"/>
    </row>
    <row r="105" spans="1:17" ht="15" thickTop="1">
      <c r="A105" s="598"/>
      <c r="B105" s="537" t="s">
        <v>2618</v>
      </c>
      <c r="C105" s="553"/>
      <c r="D105" s="553"/>
      <c r="E105" s="582"/>
      <c r="F105" s="582"/>
      <c r="G105" s="582"/>
      <c r="H105" s="582"/>
      <c r="I105" s="582"/>
      <c r="J105" s="582"/>
      <c r="K105" s="583"/>
      <c r="L105" s="584"/>
      <c r="M105" s="585"/>
      <c r="N105" s="1151"/>
      <c r="O105" s="1151"/>
      <c r="P105" s="2630"/>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30"/>
      <c r="Q106" s="503"/>
    </row>
    <row r="107" spans="1:17" ht="15" thickTop="1">
      <c r="A107" s="598"/>
      <c r="B107" s="537" t="s">
        <v>2619</v>
      </c>
      <c r="C107" s="582"/>
      <c r="D107" s="582"/>
      <c r="E107" s="582"/>
      <c r="F107" s="582"/>
      <c r="G107" s="582"/>
      <c r="H107" s="582"/>
      <c r="I107" s="582"/>
      <c r="J107" s="582"/>
      <c r="K107" s="583"/>
      <c r="L107" s="584"/>
      <c r="M107" s="585"/>
      <c r="N107" s="1151"/>
      <c r="O107" s="1151"/>
      <c r="P107" s="2630"/>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30"/>
      <c r="Q108" s="503"/>
    </row>
    <row r="109" spans="1:17" ht="15" thickTop="1">
      <c r="A109" s="598"/>
      <c r="B109" s="537" t="s">
        <v>2620</v>
      </c>
      <c r="C109" s="553"/>
      <c r="D109" s="553"/>
      <c r="E109" s="553"/>
      <c r="F109" s="582"/>
      <c r="G109" s="582"/>
      <c r="H109" s="582"/>
      <c r="I109" s="582"/>
      <c r="J109" s="582"/>
      <c r="K109" s="583"/>
      <c r="L109" s="584"/>
      <c r="M109" s="585"/>
      <c r="N109" s="1151"/>
      <c r="O109" s="1151"/>
      <c r="P109" s="2630"/>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30"/>
      <c r="Q110" s="503"/>
    </row>
    <row r="111" spans="1:17" s="470" customFormat="1" ht="15" thickTop="1">
      <c r="A111" s="592"/>
      <c r="B111" s="537" t="s">
        <v>1998</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31"/>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31"/>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31"/>
      <c r="Q113" s="558"/>
    </row>
    <row r="114" spans="1:17" ht="15" thickTop="1">
      <c r="A114" s="598"/>
      <c r="B114" s="537" t="s">
        <v>2621</v>
      </c>
      <c r="C114" s="553"/>
      <c r="D114" s="553"/>
      <c r="E114" s="582"/>
      <c r="F114" s="582"/>
      <c r="G114" s="582"/>
      <c r="H114" s="582"/>
      <c r="I114" s="582"/>
      <c r="J114" s="582"/>
      <c r="K114" s="583"/>
      <c r="L114" s="584"/>
      <c r="M114" s="585"/>
      <c r="N114" s="1151"/>
      <c r="O114" s="1151"/>
      <c r="P114" s="2630"/>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30"/>
      <c r="Q115" s="503"/>
    </row>
    <row r="116" spans="1:17" ht="15" thickTop="1">
      <c r="A116" s="598"/>
      <c r="B116" s="537" t="s">
        <v>2622</v>
      </c>
      <c r="C116" s="553"/>
      <c r="D116" s="553"/>
      <c r="E116" s="553"/>
      <c r="F116" s="553"/>
      <c r="G116" s="553"/>
      <c r="H116" s="582"/>
      <c r="I116" s="582"/>
      <c r="J116" s="582"/>
      <c r="K116" s="583"/>
      <c r="L116" s="584"/>
      <c r="M116" s="585"/>
      <c r="N116" s="1151"/>
      <c r="O116" s="1151"/>
      <c r="P116" s="263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30"/>
      <c r="Q117" s="503"/>
    </row>
    <row r="118" spans="1:17" ht="15" thickTop="1">
      <c r="A118" s="598"/>
      <c r="B118" s="537" t="s">
        <v>2623</v>
      </c>
      <c r="C118" s="582"/>
      <c r="D118" s="582"/>
      <c r="E118" s="582"/>
      <c r="F118" s="582"/>
      <c r="G118" s="582"/>
      <c r="H118" s="582"/>
      <c r="I118" s="582"/>
      <c r="J118" s="582"/>
      <c r="K118" s="583"/>
      <c r="L118" s="584"/>
      <c r="M118" s="585"/>
      <c r="N118" s="1151"/>
      <c r="O118" s="1151"/>
      <c r="P118" s="2630"/>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30"/>
      <c r="Q119" s="503"/>
    </row>
    <row r="120" spans="1:17" s="470" customFormat="1" ht="28.5" thickTop="1">
      <c r="A120" s="592"/>
      <c r="B120" s="537" t="s">
        <v>2578</v>
      </c>
      <c r="C120" s="553"/>
      <c r="D120" s="553"/>
      <c r="E120" s="553"/>
      <c r="F120" s="553"/>
      <c r="G120" s="553"/>
      <c r="H120" s="553"/>
      <c r="I120" s="553"/>
      <c r="J120" s="553"/>
      <c r="K120" s="553"/>
      <c r="L120" s="579"/>
      <c r="M120" s="580"/>
      <c r="N120" s="1153"/>
      <c r="O120" s="1153"/>
      <c r="P120" s="2631"/>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31"/>
      <c r="Q121" s="558"/>
    </row>
    <row r="122" spans="1:17" ht="15" thickTop="1">
      <c r="A122" s="598"/>
      <c r="B122" s="537" t="s">
        <v>2624</v>
      </c>
      <c r="C122" s="553"/>
      <c r="D122" s="553"/>
      <c r="E122" s="553"/>
      <c r="F122" s="582"/>
      <c r="G122" s="582"/>
      <c r="H122" s="582"/>
      <c r="I122" s="582"/>
      <c r="J122" s="582"/>
      <c r="K122" s="583"/>
      <c r="L122" s="584"/>
      <c r="M122" s="585"/>
      <c r="N122" s="1151"/>
      <c r="O122" s="1151"/>
      <c r="P122" s="2630"/>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30"/>
      <c r="Q123" s="503"/>
    </row>
    <row r="124" spans="1:17" ht="15" thickTop="1">
      <c r="A124" s="598"/>
      <c r="B124" s="537" t="s">
        <v>2625</v>
      </c>
      <c r="C124" s="577" t="s">
        <v>2601</v>
      </c>
      <c r="D124" s="577" t="s">
        <v>2602</v>
      </c>
      <c r="E124" s="577" t="s">
        <v>2603</v>
      </c>
      <c r="F124" s="577" t="s">
        <v>2604</v>
      </c>
      <c r="G124" s="577" t="s">
        <v>2605</v>
      </c>
      <c r="H124" s="538"/>
      <c r="I124" s="538"/>
      <c r="J124" s="538"/>
      <c r="K124" s="539"/>
      <c r="L124" s="540"/>
      <c r="M124" s="541"/>
      <c r="N124" s="1151"/>
      <c r="O124" s="1151"/>
      <c r="P124" s="263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30"/>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31"/>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31"/>
      <c r="Q127" s="558"/>
    </row>
    <row r="128" spans="1:17" ht="15" thickTop="1">
      <c r="A128" s="598"/>
      <c r="B128" s="537">
        <f>B45</f>
        <v>111</v>
      </c>
      <c r="C128" s="553"/>
      <c r="D128" s="553"/>
      <c r="E128" s="553"/>
      <c r="F128" s="553"/>
      <c r="G128" s="582"/>
      <c r="H128" s="582"/>
      <c r="I128" s="582"/>
      <c r="J128" s="582"/>
      <c r="K128" s="583"/>
      <c r="L128" s="584"/>
      <c r="M128" s="585"/>
      <c r="N128" s="1151"/>
      <c r="O128" s="1151"/>
      <c r="P128" s="2630"/>
      <c r="Q128" s="503"/>
    </row>
    <row r="129" spans="1:17" ht="15.75" thickBot="1">
      <c r="A129" s="533"/>
      <c r="B129" s="542"/>
      <c r="C129" s="559"/>
      <c r="D129" s="559"/>
      <c r="E129" s="559"/>
      <c r="F129" s="559"/>
      <c r="G129" s="535"/>
      <c r="H129" s="535"/>
      <c r="I129" s="535"/>
      <c r="J129" s="535"/>
      <c r="K129" s="535"/>
      <c r="L129" s="535"/>
      <c r="M129" s="536"/>
      <c r="N129" s="1152"/>
      <c r="O129" s="1152"/>
      <c r="P129" s="2630"/>
      <c r="Q129" s="503"/>
    </row>
    <row r="130" spans="1:17" ht="15" thickTop="1">
      <c r="A130" s="598"/>
      <c r="B130" s="545">
        <f>B46</f>
        <v>111</v>
      </c>
      <c r="C130" s="553"/>
      <c r="D130" s="553"/>
      <c r="E130" s="553"/>
      <c r="F130" s="553"/>
      <c r="G130" s="586"/>
      <c r="H130" s="586"/>
      <c r="I130" s="586"/>
      <c r="J130" s="586"/>
      <c r="K130" s="522"/>
      <c r="L130" s="523"/>
      <c r="M130" s="589"/>
      <c r="N130" s="1151"/>
      <c r="O130" s="1151"/>
      <c r="P130" s="2630"/>
      <c r="Q130" s="503"/>
    </row>
    <row r="131" spans="1:17" ht="15.75" thickBot="1">
      <c r="A131" s="2636"/>
      <c r="B131" s="568"/>
      <c r="C131" s="569"/>
      <c r="D131" s="569"/>
      <c r="E131" s="569"/>
      <c r="F131" s="569"/>
      <c r="G131" s="590"/>
      <c r="H131" s="590"/>
      <c r="I131" s="590"/>
      <c r="J131" s="590"/>
      <c r="K131" s="590"/>
      <c r="L131" s="590"/>
      <c r="M131" s="591"/>
      <c r="N131" s="1152"/>
      <c r="O131" s="1152"/>
      <c r="P131" s="2630"/>
      <c r="Q131" s="503"/>
    </row>
    <row r="136" spans="1:17" ht="15" thickBot="1">
      <c r="B136" s="2637" t="s">
        <v>2626</v>
      </c>
    </row>
    <row r="137" spans="1:17" ht="15">
      <c r="B137" s="2638" t="s">
        <v>2627</v>
      </c>
      <c r="C137" s="2639"/>
      <c r="D137" s="2639"/>
      <c r="E137" s="2639"/>
      <c r="F137" s="2639"/>
      <c r="G137" s="2640"/>
      <c r="H137" s="2641"/>
      <c r="I137" s="2642" t="s">
        <v>2628</v>
      </c>
      <c r="J137" s="2639"/>
      <c r="K137" s="2643"/>
    </row>
    <row r="138" spans="1:17" ht="15">
      <c r="B138" s="2644"/>
      <c r="C138" s="145" t="s">
        <v>2629</v>
      </c>
      <c r="D138" s="145" t="s">
        <v>2630</v>
      </c>
      <c r="E138" s="2645" t="s">
        <v>2631</v>
      </c>
      <c r="F138" s="2646" t="s">
        <v>2632</v>
      </c>
      <c r="G138" s="145" t="s">
        <v>2630</v>
      </c>
      <c r="H138" s="146" t="s">
        <v>2631</v>
      </c>
      <c r="I138" s="2647"/>
      <c r="J138" s="145" t="s">
        <v>2633</v>
      </c>
      <c r="K138" s="146" t="s">
        <v>2634</v>
      </c>
    </row>
    <row r="139" spans="1:17" ht="15">
      <c r="B139" s="1083">
        <v>6</v>
      </c>
      <c r="C139" s="1084">
        <v>96</v>
      </c>
      <c r="D139" s="2648" t="s">
        <v>2635</v>
      </c>
      <c r="E139" s="1085">
        <v>100</v>
      </c>
      <c r="F139" s="1086">
        <v>102.5</v>
      </c>
      <c r="G139" s="2648" t="s">
        <v>2635</v>
      </c>
      <c r="H139" s="1087">
        <v>105</v>
      </c>
      <c r="I139" s="2649" t="s">
        <v>2636</v>
      </c>
      <c r="J139" s="1084">
        <v>20</v>
      </c>
      <c r="K139" s="1088">
        <f>C145/(J139-2)</f>
        <v>4.0555555555555553E-3</v>
      </c>
    </row>
    <row r="140" spans="1:17" ht="15">
      <c r="B140" s="1089">
        <v>5</v>
      </c>
      <c r="C140" s="1090">
        <v>100</v>
      </c>
      <c r="D140" s="1090"/>
      <c r="E140" s="1091"/>
      <c r="F140" s="1092">
        <v>102</v>
      </c>
      <c r="G140" s="1090"/>
      <c r="H140" s="1093"/>
      <c r="I140" s="2650" t="s">
        <v>2637</v>
      </c>
      <c r="J140" s="314">
        <f>ROUNDUP((J139-1)/2,0)</f>
        <v>10</v>
      </c>
      <c r="K140" s="1094">
        <v>100</v>
      </c>
    </row>
    <row r="141" spans="1:17" ht="15">
      <c r="B141" s="1089">
        <v>4</v>
      </c>
      <c r="C141" s="1090">
        <v>102</v>
      </c>
      <c r="D141" s="1090"/>
      <c r="E141" s="1091"/>
      <c r="F141" s="1092">
        <v>101.5</v>
      </c>
      <c r="G141" s="1090"/>
      <c r="H141" s="1093"/>
      <c r="I141" s="2650" t="s">
        <v>2638</v>
      </c>
      <c r="J141" s="314">
        <v>1</v>
      </c>
      <c r="K141" s="1095">
        <f>ROUND(100+(J141-J140)*K139*100,1)</f>
        <v>96.4</v>
      </c>
    </row>
    <row r="142" spans="1:17" ht="15">
      <c r="B142" s="1089">
        <v>3</v>
      </c>
      <c r="C142" s="1090">
        <v>103</v>
      </c>
      <c r="D142" s="1090"/>
      <c r="E142" s="1091"/>
      <c r="F142" s="1092">
        <v>101</v>
      </c>
      <c r="G142" s="1090"/>
      <c r="H142" s="1093"/>
      <c r="I142" s="2650" t="s">
        <v>2639</v>
      </c>
      <c r="J142" s="314">
        <f>J139</f>
        <v>20</v>
      </c>
      <c r="K142" s="1096">
        <v>95</v>
      </c>
    </row>
    <row r="143" spans="1:17" ht="15">
      <c r="B143" s="1089">
        <v>2</v>
      </c>
      <c r="C143" s="1090">
        <v>100</v>
      </c>
      <c r="D143" s="1090"/>
      <c r="E143" s="1091"/>
      <c r="F143" s="1092">
        <v>100.5</v>
      </c>
      <c r="G143" s="1090"/>
      <c r="H143" s="1093"/>
      <c r="I143" s="2650" t="s">
        <v>2640</v>
      </c>
      <c r="J143" s="1090">
        <v>15</v>
      </c>
      <c r="K143" s="1095">
        <f>ROUND(100+(J143-J140)*K139*100,1)</f>
        <v>102</v>
      </c>
    </row>
    <row r="144" spans="1:17" ht="15">
      <c r="B144" s="1089">
        <v>1</v>
      </c>
      <c r="C144" s="1090">
        <v>98</v>
      </c>
      <c r="D144" s="2651" t="s">
        <v>2641</v>
      </c>
      <c r="E144" s="1091">
        <v>102</v>
      </c>
      <c r="F144" s="1097">
        <v>100</v>
      </c>
      <c r="G144" s="2651" t="s">
        <v>2641</v>
      </c>
      <c r="H144" s="1093">
        <v>105</v>
      </c>
      <c r="I144" s="2650" t="s">
        <v>2640</v>
      </c>
      <c r="J144" s="1090">
        <v>18</v>
      </c>
      <c r="K144" s="1095">
        <f>ROUND(100+(J144-J140)*K139*100,1)</f>
        <v>103.2</v>
      </c>
    </row>
    <row r="145" spans="2:11" ht="15.75" thickBot="1">
      <c r="B145" s="2652" t="s">
        <v>2642</v>
      </c>
      <c r="C145" s="1098">
        <f>ROUND(MAX(C139:C144)/MIN(C139:C144)-1,3)</f>
        <v>7.2999999999999995E-2</v>
      </c>
      <c r="D145" s="1099"/>
      <c r="E145" s="1099"/>
      <c r="F145" s="2653" t="s">
        <v>2643</v>
      </c>
      <c r="G145" s="2654"/>
      <c r="H145" s="2655"/>
      <c r="I145" s="2656" t="s">
        <v>2640</v>
      </c>
      <c r="J145" s="1100">
        <v>8</v>
      </c>
      <c r="K145" s="1101">
        <f>ROUND(100+(J145-J140)*K139*100,1)</f>
        <v>99.2</v>
      </c>
    </row>
    <row r="147" spans="2:11">
      <c r="B147" s="2637" t="s">
        <v>2644</v>
      </c>
    </row>
    <row r="148" spans="2:11">
      <c r="B148" s="2637" t="s">
        <v>2645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8" priority="15" stopIfTrue="1" operator="containsText" text="超过">
      <formula>NOT(ISERROR(SEARCH("超过",F52)))</formula>
    </cfRule>
  </conditionalFormatting>
  <conditionalFormatting sqref="J54">
    <cfRule type="containsText" dxfId="167" priority="14" stopIfTrue="1" operator="containsText" text="超过">
      <formula>NOT(ISERROR(SEARCH("超过",J54)))</formula>
    </cfRule>
  </conditionalFormatting>
  <conditionalFormatting sqref="H54">
    <cfRule type="containsText" dxfId="166" priority="13" stopIfTrue="1" operator="containsText" text="超过">
      <formula>NOT(ISERROR(SEARCH("超过",H54)))</formula>
    </cfRule>
  </conditionalFormatting>
  <conditionalFormatting sqref="F54">
    <cfRule type="containsText" dxfId="165" priority="12" stopIfTrue="1" operator="containsText" text="超过">
      <formula>NOT(ISERROR(SEARCH("超过",F54)))</formula>
    </cfRule>
  </conditionalFormatting>
  <conditionalFormatting sqref="F53 H53 J53">
    <cfRule type="containsText" dxfId="164" priority="11" stopIfTrue="1" operator="containsText" text="超过">
      <formula>NOT(ISERROR(SEARCH("超过",F53)))</formula>
    </cfRule>
  </conditionalFormatting>
  <conditionalFormatting sqref="E52">
    <cfRule type="expression" dxfId="163" priority="10" stopIfTrue="1">
      <formula>$F$52="超过30%"</formula>
    </cfRule>
  </conditionalFormatting>
  <conditionalFormatting sqref="G54">
    <cfRule type="expression" dxfId="162" priority="8" stopIfTrue="1">
      <formula>$H$54="超过30%"</formula>
    </cfRule>
  </conditionalFormatting>
  <conditionalFormatting sqref="E53">
    <cfRule type="expression" dxfId="161" priority="7" stopIfTrue="1">
      <formula>$F$53="超过20%"</formula>
    </cfRule>
  </conditionalFormatting>
  <conditionalFormatting sqref="E54">
    <cfRule type="expression" dxfId="160" priority="6" stopIfTrue="1">
      <formula>$F$54="超过30%"</formula>
    </cfRule>
  </conditionalFormatting>
  <conditionalFormatting sqref="G52">
    <cfRule type="expression" dxfId="159" priority="5" stopIfTrue="1">
      <formula>$H$52="超过30%"</formula>
    </cfRule>
  </conditionalFormatting>
  <conditionalFormatting sqref="G53">
    <cfRule type="expression" dxfId="158" priority="4" stopIfTrue="1">
      <formula>$H$53="超过20%"</formula>
    </cfRule>
  </conditionalFormatting>
  <conditionalFormatting sqref="I52">
    <cfRule type="expression" dxfId="157" priority="3" stopIfTrue="1">
      <formula>$J$52="超过30%"</formula>
    </cfRule>
  </conditionalFormatting>
  <conditionalFormatting sqref="I53">
    <cfRule type="expression" dxfId="156" priority="2" stopIfTrue="1">
      <formula>$J$53="超过20%"</formula>
    </cfRule>
  </conditionalFormatting>
  <conditionalFormatting sqref="I54">
    <cfRule type="expression" dxfId="15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4" zoomScale="90" zoomScaleNormal="90" workbookViewId="0">
      <selection activeCell="K28" sqref="K28"/>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2532</v>
      </c>
      <c r="B1" s="2669" t="s">
        <v>2690</v>
      </c>
      <c r="C1" s="1619" t="s">
        <v>2534</v>
      </c>
      <c r="D1" s="1620"/>
      <c r="E1" s="1629"/>
      <c r="F1" s="2584" t="s">
        <v>3286</v>
      </c>
      <c r="G1" s="1630" t="s">
        <v>2536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1394</v>
      </c>
      <c r="B2" s="1417">
        <f>IF(C2="——",ROUND(C50*D3/10000,0),ROUND(C50*D3/10000,0)-D2)</f>
        <v>8</v>
      </c>
      <c r="C2" s="2586" t="s">
        <v>70</v>
      </c>
      <c r="D2" s="1364" t="e">
        <f ca="1">SUMIF(INDIRECT("'"&amp;F2&amp;"'"&amp;"!A:A"),"承租人权益价值",INDIRECT("'"&amp;F2&amp;"'"&amp;"!c:c"))</f>
        <v>#REF!</v>
      </c>
      <c r="E2" s="2587" t="s">
        <v>2332</v>
      </c>
      <c r="F2" s="2588"/>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1395</v>
      </c>
      <c r="B3" s="608">
        <f>IF(C2="——",C50,ROUND(B2*10000/D3,0))</f>
        <v>5.5</v>
      </c>
      <c r="C3" s="399" t="s">
        <v>2538</v>
      </c>
      <c r="D3" s="398">
        <f>IF(D1="",'数据-汇总表'!E3,SUMIF('数据-汇总表'!$C19:$C33,D1,'数据-汇总表'!$E19:$E33))</f>
        <v>14974.55</v>
      </c>
      <c r="E3" s="2663"/>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0" t="s">
        <v>2539</v>
      </c>
      <c r="B4" s="401"/>
      <c r="C4" s="3235" t="s">
        <v>2540</v>
      </c>
      <c r="D4" s="3236"/>
      <c r="E4" s="3237" t="s">
        <v>2541</v>
      </c>
      <c r="F4" s="3238"/>
      <c r="G4" s="3235" t="s">
        <v>2542</v>
      </c>
      <c r="H4" s="3236"/>
      <c r="I4" s="3235" t="s">
        <v>2543</v>
      </c>
      <c r="J4" s="3236"/>
      <c r="K4" s="609" t="s">
        <v>2544</v>
      </c>
      <c r="L4" s="1129"/>
      <c r="M4" s="1130"/>
      <c r="N4" s="1130"/>
      <c r="O4" s="1130"/>
      <c r="P4" s="3239" t="s">
        <v>2545</v>
      </c>
      <c r="Q4" s="3240"/>
      <c r="R4" s="3245" t="s">
        <v>2541</v>
      </c>
      <c r="S4" s="3246"/>
      <c r="T4" s="3245" t="s">
        <v>2542</v>
      </c>
      <c r="U4" s="3246"/>
      <c r="V4" s="3251" t="s">
        <v>2543</v>
      </c>
      <c r="W4" s="3251"/>
      <c r="X4" s="2969"/>
      <c r="Y4" s="3245" t="s">
        <v>2545</v>
      </c>
      <c r="Z4" s="3246"/>
      <c r="AA4" s="3264" t="s">
        <v>2541</v>
      </c>
      <c r="AB4" s="3264" t="s">
        <v>2542</v>
      </c>
      <c r="AC4" s="3232" t="s">
        <v>2543</v>
      </c>
    </row>
    <row r="5" spans="1:29" ht="15">
      <c r="A5" s="403"/>
      <c r="B5" s="404"/>
      <c r="C5" s="3261" t="s">
        <v>2546</v>
      </c>
      <c r="D5" s="3256"/>
      <c r="E5" s="3301" t="s">
        <v>3318</v>
      </c>
      <c r="F5" s="3302"/>
      <c r="G5" s="3255" t="s">
        <v>3285</v>
      </c>
      <c r="H5" s="3256"/>
      <c r="I5" s="3255" t="s">
        <v>3287</v>
      </c>
      <c r="J5" s="3256"/>
      <c r="K5" s="609"/>
      <c r="L5" s="1129"/>
      <c r="M5" s="1130"/>
      <c r="N5" s="1130"/>
      <c r="O5" s="1130"/>
      <c r="P5" s="3241"/>
      <c r="Q5" s="3242"/>
      <c r="R5" s="3247"/>
      <c r="S5" s="3248"/>
      <c r="T5" s="3247"/>
      <c r="U5" s="3248"/>
      <c r="V5" s="3252"/>
      <c r="W5" s="3252"/>
      <c r="X5" s="2967"/>
      <c r="Y5" s="3247"/>
      <c r="Z5" s="3248"/>
      <c r="AA5" s="3265"/>
      <c r="AB5" s="3265"/>
      <c r="AC5" s="3233"/>
    </row>
    <row r="6" spans="1:29" ht="15.75" customHeight="1" thickBot="1">
      <c r="A6" s="405"/>
      <c r="B6" s="406"/>
      <c r="C6" s="3253" t="s">
        <v>2550</v>
      </c>
      <c r="D6" s="3254"/>
      <c r="E6" s="3303" t="s">
        <v>3319</v>
      </c>
      <c r="F6" s="3304"/>
      <c r="G6" s="3303" t="s">
        <v>3288</v>
      </c>
      <c r="H6" s="3304"/>
      <c r="I6" s="3303" t="s">
        <v>3289</v>
      </c>
      <c r="J6" s="3304"/>
      <c r="K6" s="609" t="s">
        <v>2551</v>
      </c>
      <c r="L6" s="1129"/>
      <c r="M6" s="1130"/>
      <c r="N6" s="1130"/>
      <c r="O6" s="1130"/>
      <c r="P6" s="3243"/>
      <c r="Q6" s="3244"/>
      <c r="R6" s="3247"/>
      <c r="S6" s="3248"/>
      <c r="T6" s="3249"/>
      <c r="U6" s="3250"/>
      <c r="V6" s="3252"/>
      <c r="W6" s="3252"/>
      <c r="X6" s="2967"/>
      <c r="Y6" s="3249"/>
      <c r="Z6" s="3250"/>
      <c r="AA6" s="3266"/>
      <c r="AB6" s="3266"/>
      <c r="AC6" s="3234"/>
    </row>
    <row r="7" spans="1:29" s="116" customFormat="1" ht="15.75" thickBot="1">
      <c r="A7" s="407" t="s">
        <v>2552</v>
      </c>
      <c r="B7" s="408"/>
      <c r="C7" s="409">
        <f>'数据-取费表'!B2</f>
        <v>43252</v>
      </c>
      <c r="D7" s="410">
        <v>100</v>
      </c>
      <c r="E7" s="411">
        <v>43252</v>
      </c>
      <c r="F7" s="412">
        <f>SUMIF(59:59,YEAR(E7)&amp;"-"&amp;MONTH(E7),60:60)</f>
        <v>100</v>
      </c>
      <c r="G7" s="411">
        <v>43252</v>
      </c>
      <c r="H7" s="410">
        <f>SUMIF(59:59,YEAR(G7)&amp;"-"&amp;MONTH(G7),60:60)</f>
        <v>100</v>
      </c>
      <c r="I7" s="411">
        <v>43252</v>
      </c>
      <c r="J7" s="410">
        <f>SUMIF(59:59,YEAR(I7)&amp;"-"&amp;MONTH(I7),60:60)</f>
        <v>100</v>
      </c>
      <c r="K7" s="610"/>
      <c r="L7" s="1131"/>
      <c r="M7" s="1132"/>
      <c r="N7" s="1132"/>
      <c r="O7" s="1132"/>
      <c r="P7" s="3257" t="s">
        <v>2553</v>
      </c>
      <c r="Q7" s="3260"/>
      <c r="R7" s="769" t="s">
        <v>17</v>
      </c>
      <c r="S7" s="770">
        <f t="shared" ref="S7:S15" si="0">F7</f>
        <v>100</v>
      </c>
      <c r="T7" s="769" t="s">
        <v>17</v>
      </c>
      <c r="U7" s="770">
        <f t="shared" ref="U7:U15" si="1">H7</f>
        <v>100</v>
      </c>
      <c r="V7" s="769" t="s">
        <v>17</v>
      </c>
      <c r="W7" s="770">
        <f t="shared" ref="W7:W15" si="2">J7</f>
        <v>100</v>
      </c>
      <c r="X7" s="771"/>
      <c r="Y7" s="3259" t="s">
        <v>2553</v>
      </c>
      <c r="Z7" s="3258"/>
      <c r="AA7" s="772">
        <f>D7/F7</f>
        <v>1</v>
      </c>
      <c r="AB7" s="772">
        <f>D7/H7</f>
        <v>1</v>
      </c>
      <c r="AC7" s="2671">
        <f>D7/J7</f>
        <v>1</v>
      </c>
    </row>
    <row r="8" spans="1:29" s="116" customFormat="1" ht="15.75" thickBot="1">
      <c r="A8" s="407" t="s">
        <v>2554</v>
      </c>
      <c r="B8" s="408"/>
      <c r="C8" s="413" t="s">
        <v>2591</v>
      </c>
      <c r="D8" s="410">
        <v>100</v>
      </c>
      <c r="E8" s="413" t="s">
        <v>3070</v>
      </c>
      <c r="F8" s="412">
        <f>SUMIF(62:62,E8,63:63)-SUMIF(62:62,C8,63:63)+100</f>
        <v>100</v>
      </c>
      <c r="G8" s="413" t="s">
        <v>3070</v>
      </c>
      <c r="H8" s="410">
        <f>SUMIF(62:62,G8,63:63)-SUMIF(62:62,C8,63:63)+100</f>
        <v>100</v>
      </c>
      <c r="I8" s="413" t="s">
        <v>3070</v>
      </c>
      <c r="J8" s="410">
        <f>SUMIF(62:62,I8,63:63)-SUMIF(62:62,C8,63:63)+100</f>
        <v>100</v>
      </c>
      <c r="K8" s="610"/>
      <c r="L8" s="1131"/>
      <c r="M8" s="1132"/>
      <c r="N8" s="1132"/>
      <c r="O8" s="1132"/>
      <c r="P8" s="3257" t="s">
        <v>2556</v>
      </c>
      <c r="Q8" s="3258"/>
      <c r="R8" s="769" t="s">
        <v>17</v>
      </c>
      <c r="S8" s="770">
        <f t="shared" si="0"/>
        <v>100</v>
      </c>
      <c r="T8" s="769" t="s">
        <v>17</v>
      </c>
      <c r="U8" s="770">
        <f t="shared" si="1"/>
        <v>100</v>
      </c>
      <c r="V8" s="769" t="s">
        <v>17</v>
      </c>
      <c r="W8" s="770">
        <f t="shared" si="2"/>
        <v>100</v>
      </c>
      <c r="X8" s="771"/>
      <c r="Y8" s="3259" t="s">
        <v>2556</v>
      </c>
      <c r="Z8" s="3258"/>
      <c r="AA8" s="772">
        <f t="shared" ref="AA8:AA47" si="3">D8/F8</f>
        <v>1</v>
      </c>
      <c r="AB8" s="772">
        <f t="shared" ref="AB8:AB47" si="4">D8/H8</f>
        <v>1</v>
      </c>
      <c r="AC8" s="2671">
        <f t="shared" ref="AC8:AC47" si="5">D8/J8</f>
        <v>1</v>
      </c>
    </row>
    <row r="9" spans="1:29" s="116" customFormat="1">
      <c r="A9" s="414" t="s">
        <v>2557</v>
      </c>
      <c r="B9" s="71" t="s">
        <v>2558</v>
      </c>
      <c r="C9" s="2986" t="s">
        <v>3290</v>
      </c>
      <c r="D9" s="134">
        <v>100</v>
      </c>
      <c r="E9" s="2986" t="s">
        <v>3290</v>
      </c>
      <c r="F9" s="134">
        <f>SUMIF(64:64,E9,65:65)-SUMIF(64:64,C9,65:65)+100</f>
        <v>100</v>
      </c>
      <c r="G9" s="2986" t="s">
        <v>3290</v>
      </c>
      <c r="H9" s="134">
        <f>SUMIF(64:64,G9,65:65)-SUMIF(64:64,C9,65:65)+100</f>
        <v>100</v>
      </c>
      <c r="I9" s="2986" t="s">
        <v>3290</v>
      </c>
      <c r="J9" s="134">
        <f>SUMIF(64:64,I9,65:65)-SUMIF(64:64,C9,65:65)+100</f>
        <v>100</v>
      </c>
      <c r="K9" s="610"/>
      <c r="L9" s="1131"/>
      <c r="M9" s="1132"/>
      <c r="N9" s="1132"/>
      <c r="O9" s="1132"/>
      <c r="P9" s="3217" t="s">
        <v>2559</v>
      </c>
      <c r="Q9" s="2942" t="str">
        <f t="shared" ref="Q9:Q15" si="6">B9</f>
        <v>用途</v>
      </c>
      <c r="R9" s="769" t="s">
        <v>17</v>
      </c>
      <c r="S9" s="770">
        <f t="shared" si="0"/>
        <v>100</v>
      </c>
      <c r="T9" s="769" t="s">
        <v>17</v>
      </c>
      <c r="U9" s="770">
        <f t="shared" si="1"/>
        <v>100</v>
      </c>
      <c r="V9" s="769" t="s">
        <v>17</v>
      </c>
      <c r="W9" s="770">
        <f t="shared" si="2"/>
        <v>100</v>
      </c>
      <c r="X9" s="771"/>
      <c r="Y9" s="3052" t="s">
        <v>2560</v>
      </c>
      <c r="Z9" s="2944" t="str">
        <f t="shared" ref="Z9:Z15" si="7">Q9</f>
        <v>用途</v>
      </c>
      <c r="AA9" s="772">
        <f t="shared" si="3"/>
        <v>1</v>
      </c>
      <c r="AB9" s="772">
        <f t="shared" si="4"/>
        <v>1</v>
      </c>
      <c r="AC9" s="2671">
        <f t="shared" si="5"/>
        <v>1</v>
      </c>
    </row>
    <row r="10" spans="1:29" s="426" customFormat="1" ht="27">
      <c r="A10" s="420"/>
      <c r="B10" s="2954" t="s">
        <v>2561</v>
      </c>
      <c r="C10" s="422" t="s">
        <v>3291</v>
      </c>
      <c r="D10" s="135">
        <v>100</v>
      </c>
      <c r="E10" s="422" t="s">
        <v>3291</v>
      </c>
      <c r="F10" s="135">
        <f>SUMIF(66:66,E10,67:67)-SUMIF(66:66,C10,67:67)+100</f>
        <v>100</v>
      </c>
      <c r="G10" s="422" t="s">
        <v>3291</v>
      </c>
      <c r="H10" s="135">
        <f>SUMIF(66:66,G10,67:67)-SUMIF(66:66,C10,67:67)+100</f>
        <v>100</v>
      </c>
      <c r="I10" s="422" t="s">
        <v>3291</v>
      </c>
      <c r="J10" s="135">
        <f>SUMIF(66:66,I10,67:67)-SUMIF(66:66,C10,67:67)+100</f>
        <v>100</v>
      </c>
      <c r="K10" s="611">
        <v>1</v>
      </c>
      <c r="L10" s="1134"/>
      <c r="M10" s="1135"/>
      <c r="N10" s="1135"/>
      <c r="O10" s="1135"/>
      <c r="P10" s="3217"/>
      <c r="Q10" s="2942" t="str">
        <f t="shared" si="6"/>
        <v>土地使用年限（年）</v>
      </c>
      <c r="R10" s="769" t="s">
        <v>17</v>
      </c>
      <c r="S10" s="770">
        <f t="shared" si="0"/>
        <v>100</v>
      </c>
      <c r="T10" s="769" t="s">
        <v>17</v>
      </c>
      <c r="U10" s="770">
        <f t="shared" si="1"/>
        <v>100</v>
      </c>
      <c r="V10" s="769" t="s">
        <v>17</v>
      </c>
      <c r="W10" s="770">
        <f t="shared" si="2"/>
        <v>100</v>
      </c>
      <c r="X10" s="771"/>
      <c r="Y10" s="3052"/>
      <c r="Z10" s="2944" t="str">
        <f t="shared" si="7"/>
        <v>土地使用年限（年）</v>
      </c>
      <c r="AA10" s="772">
        <f t="shared" si="3"/>
        <v>1</v>
      </c>
      <c r="AB10" s="772">
        <f t="shared" si="4"/>
        <v>1</v>
      </c>
      <c r="AC10" s="2671">
        <f t="shared" si="5"/>
        <v>1</v>
      </c>
    </row>
    <row r="11" spans="1:29" ht="15">
      <c r="A11" s="427"/>
      <c r="B11" s="2954" t="s">
        <v>2562</v>
      </c>
      <c r="C11" s="428"/>
      <c r="D11" s="135">
        <v>100</v>
      </c>
      <c r="E11" s="428"/>
      <c r="F11" s="135">
        <f>LOOKUP(E11,69:69,70:70)-LOOKUP(C11,69:69,70:70)+100</f>
        <v>100</v>
      </c>
      <c r="G11" s="429"/>
      <c r="H11" s="135">
        <f>LOOKUP(G11,69:69,70:70)-LOOKUP(C11,69:69,70:70)+100</f>
        <v>100</v>
      </c>
      <c r="I11" s="428"/>
      <c r="J11" s="135">
        <f>LOOKUP(I11,69:69,70:70)-LOOKUP(C11,69:69,70:70)+100</f>
        <v>100</v>
      </c>
      <c r="K11" s="611">
        <v>1</v>
      </c>
      <c r="L11" s="1137"/>
      <c r="M11" s="1130"/>
      <c r="N11" s="1130"/>
      <c r="O11" s="1130"/>
      <c r="P11" s="3217"/>
      <c r="Q11" s="2942" t="str">
        <f t="shared" si="6"/>
        <v>容积率</v>
      </c>
      <c r="R11" s="769" t="s">
        <v>17</v>
      </c>
      <c r="S11" s="770">
        <f t="shared" si="0"/>
        <v>100</v>
      </c>
      <c r="T11" s="769" t="s">
        <v>17</v>
      </c>
      <c r="U11" s="770">
        <f t="shared" si="1"/>
        <v>100</v>
      </c>
      <c r="V11" s="769" t="s">
        <v>17</v>
      </c>
      <c r="W11" s="770">
        <f t="shared" si="2"/>
        <v>100</v>
      </c>
      <c r="X11" s="771"/>
      <c r="Y11" s="3052"/>
      <c r="Z11" s="2944" t="str">
        <f t="shared" si="7"/>
        <v>容积率</v>
      </c>
      <c r="AA11" s="772">
        <f t="shared" si="3"/>
        <v>1</v>
      </c>
      <c r="AB11" s="772">
        <f t="shared" si="4"/>
        <v>1</v>
      </c>
      <c r="AC11" s="2671">
        <f t="shared" si="5"/>
        <v>1</v>
      </c>
    </row>
    <row r="12" spans="1:29" s="116" customFormat="1" ht="15">
      <c r="A12" s="430"/>
      <c r="B12" s="2600">
        <v>111</v>
      </c>
      <c r="C12" s="431"/>
      <c r="D12" s="432">
        <v>100</v>
      </c>
      <c r="E12" s="431"/>
      <c r="F12" s="135">
        <f>SUMIF(71:71,E12,72:72)-SUMIF(71:71,C12,72:72)+100</f>
        <v>100</v>
      </c>
      <c r="G12" s="2672"/>
      <c r="H12" s="135">
        <f>SUMIF(71:71,G12,72:72)-SUMIF(71:71,C12,72:72)+100</f>
        <v>100</v>
      </c>
      <c r="I12" s="431"/>
      <c r="J12" s="135">
        <f>SUMIF(71:71,I12,72:72)-SUMIF(71:71,C12,72:72)+100</f>
        <v>100</v>
      </c>
      <c r="K12" s="612"/>
      <c r="L12" s="1131"/>
      <c r="M12" s="1132"/>
      <c r="N12" s="1132"/>
      <c r="O12" s="1132"/>
      <c r="P12" s="3217"/>
      <c r="Q12" s="2942">
        <f t="shared" si="6"/>
        <v>111</v>
      </c>
      <c r="R12" s="769" t="s">
        <v>17</v>
      </c>
      <c r="S12" s="770">
        <f t="shared" si="0"/>
        <v>100</v>
      </c>
      <c r="T12" s="769" t="s">
        <v>17</v>
      </c>
      <c r="U12" s="770">
        <f t="shared" si="1"/>
        <v>100</v>
      </c>
      <c r="V12" s="769" t="s">
        <v>17</v>
      </c>
      <c r="W12" s="770">
        <f t="shared" si="2"/>
        <v>100</v>
      </c>
      <c r="X12" s="771"/>
      <c r="Y12" s="3052"/>
      <c r="Z12" s="2944">
        <f t="shared" si="7"/>
        <v>111</v>
      </c>
      <c r="AA12" s="772">
        <f>D12/F12</f>
        <v>1</v>
      </c>
      <c r="AB12" s="772">
        <f>D12/H12</f>
        <v>1</v>
      </c>
      <c r="AC12" s="2671">
        <f>D12/J12</f>
        <v>1</v>
      </c>
    </row>
    <row r="13" spans="1:29" ht="15">
      <c r="A13" s="427"/>
      <c r="B13" s="2600">
        <v>111</v>
      </c>
      <c r="C13" s="433"/>
      <c r="D13" s="434">
        <v>100</v>
      </c>
      <c r="E13" s="431"/>
      <c r="F13" s="135">
        <f>SUMIF(73:73,E13,74:74)-SUMIF(73:73,C13,74:74)+100</f>
        <v>100</v>
      </c>
      <c r="G13" s="2672"/>
      <c r="H13" s="434">
        <f>SUMIF(73:73,G13,74:74)-SUMIF(73:73,C13,74:74)+100</f>
        <v>100</v>
      </c>
      <c r="I13" s="431"/>
      <c r="J13" s="434">
        <f>SUMIF(73:73,I13,74:74)-SUMIF(73:73,C13,74:74)+100</f>
        <v>100</v>
      </c>
      <c r="K13" s="612"/>
      <c r="L13" s="1139"/>
      <c r="M13" s="1130"/>
      <c r="N13" s="1130"/>
      <c r="O13" s="1130"/>
      <c r="P13" s="3217"/>
      <c r="Q13" s="2942">
        <f t="shared" si="6"/>
        <v>111</v>
      </c>
      <c r="R13" s="769" t="s">
        <v>17</v>
      </c>
      <c r="S13" s="770">
        <f t="shared" si="0"/>
        <v>100</v>
      </c>
      <c r="T13" s="769" t="s">
        <v>17</v>
      </c>
      <c r="U13" s="770">
        <f t="shared" si="1"/>
        <v>100</v>
      </c>
      <c r="V13" s="769" t="s">
        <v>17</v>
      </c>
      <c r="W13" s="770">
        <f t="shared" si="2"/>
        <v>100</v>
      </c>
      <c r="X13" s="771"/>
      <c r="Y13" s="3052"/>
      <c r="Z13" s="2944">
        <f t="shared" si="7"/>
        <v>111</v>
      </c>
      <c r="AA13" s="772">
        <f t="shared" si="3"/>
        <v>1</v>
      </c>
      <c r="AB13" s="772">
        <f t="shared" si="4"/>
        <v>1</v>
      </c>
      <c r="AC13" s="2671">
        <f t="shared" si="5"/>
        <v>1</v>
      </c>
    </row>
    <row r="14" spans="1:29" ht="15.75" thickBot="1">
      <c r="A14" s="435"/>
      <c r="B14" s="2602">
        <v>111</v>
      </c>
      <c r="C14" s="436"/>
      <c r="D14" s="437">
        <v>100</v>
      </c>
      <c r="E14" s="627"/>
      <c r="F14" s="437">
        <f>SUMIF(75:75,E14,76:76)-SUMIF(75:75,C14,76:76)+100</f>
        <v>100</v>
      </c>
      <c r="G14" s="2672"/>
      <c r="H14" s="437">
        <f>SUMIF(75:75,G14,76:76)-SUMIF(75:75,C14,76:76)+100</f>
        <v>100</v>
      </c>
      <c r="I14" s="431"/>
      <c r="J14" s="437">
        <f>SUMIF(75:75,I14,76:76)-SUMIF(75:75,C14,76:76)+100</f>
        <v>100</v>
      </c>
      <c r="K14" s="612"/>
      <c r="L14" s="1139"/>
      <c r="M14" s="1130"/>
      <c r="N14" s="1130"/>
      <c r="O14" s="1130"/>
      <c r="P14" s="3217"/>
      <c r="Q14" s="2942">
        <f t="shared" si="6"/>
        <v>111</v>
      </c>
      <c r="R14" s="769" t="s">
        <v>17</v>
      </c>
      <c r="S14" s="770">
        <f t="shared" si="0"/>
        <v>100</v>
      </c>
      <c r="T14" s="769" t="s">
        <v>17</v>
      </c>
      <c r="U14" s="770">
        <f t="shared" si="1"/>
        <v>100</v>
      </c>
      <c r="V14" s="769" t="s">
        <v>17</v>
      </c>
      <c r="W14" s="770">
        <f t="shared" si="2"/>
        <v>100</v>
      </c>
      <c r="X14" s="771"/>
      <c r="Y14" s="3052"/>
      <c r="Z14" s="2944">
        <f t="shared" si="7"/>
        <v>111</v>
      </c>
      <c r="AA14" s="772">
        <f t="shared" si="3"/>
        <v>1</v>
      </c>
      <c r="AB14" s="772">
        <f t="shared" si="4"/>
        <v>1</v>
      </c>
      <c r="AC14" s="2671">
        <f t="shared" si="5"/>
        <v>1</v>
      </c>
    </row>
    <row r="15" spans="1:29" ht="71.25">
      <c r="A15" s="439" t="s">
        <v>2563</v>
      </c>
      <c r="B15" s="628" t="s">
        <v>2691</v>
      </c>
      <c r="C15" s="2673"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v>3</v>
      </c>
      <c r="L15" s="1139"/>
      <c r="M15" s="1130"/>
      <c r="N15" s="1130"/>
      <c r="O15" s="1130"/>
      <c r="P15" s="3223" t="s">
        <v>2564</v>
      </c>
      <c r="Q15" s="2965" t="str">
        <f t="shared" si="6"/>
        <v>办公集聚程度</v>
      </c>
      <c r="R15" s="773" t="s">
        <v>17</v>
      </c>
      <c r="S15" s="774">
        <f t="shared" si="0"/>
        <v>100</v>
      </c>
      <c r="T15" s="773" t="s">
        <v>17</v>
      </c>
      <c r="U15" s="774">
        <f t="shared" si="1"/>
        <v>100</v>
      </c>
      <c r="V15" s="773" t="s">
        <v>17</v>
      </c>
      <c r="W15" s="774">
        <f t="shared" si="2"/>
        <v>100</v>
      </c>
      <c r="X15" s="2967"/>
      <c r="Y15" s="3225" t="s">
        <v>2564</v>
      </c>
      <c r="Z15" s="2968" t="str">
        <f t="shared" si="7"/>
        <v>办公集聚程度</v>
      </c>
      <c r="AA15" s="2966">
        <f t="shared" si="3"/>
        <v>1</v>
      </c>
      <c r="AB15" s="2966">
        <f t="shared" si="4"/>
        <v>1</v>
      </c>
      <c r="AC15" s="2674">
        <f t="shared" si="5"/>
        <v>1</v>
      </c>
    </row>
    <row r="16" spans="1:29" ht="15">
      <c r="A16" s="427"/>
      <c r="B16" s="629"/>
      <c r="C16" s="2611" t="s">
        <v>3292</v>
      </c>
      <c r="D16" s="447"/>
      <c r="E16" s="2611" t="s">
        <v>3292</v>
      </c>
      <c r="F16" s="447"/>
      <c r="G16" s="2611" t="s">
        <v>3292</v>
      </c>
      <c r="H16" s="449"/>
      <c r="I16" s="2611" t="s">
        <v>3292</v>
      </c>
      <c r="J16" s="447"/>
      <c r="K16" s="614"/>
      <c r="L16" s="1139"/>
      <c r="M16" s="1130"/>
      <c r="N16" s="1130"/>
      <c r="O16" s="1130"/>
      <c r="P16" s="3224"/>
      <c r="Q16" s="2965"/>
      <c r="R16" s="773"/>
      <c r="S16" s="774"/>
      <c r="T16" s="773"/>
      <c r="U16" s="774"/>
      <c r="V16" s="773"/>
      <c r="W16" s="774"/>
      <c r="X16" s="2967"/>
      <c r="Y16" s="3226"/>
      <c r="Z16" s="2968"/>
      <c r="AA16" s="2966">
        <v>1</v>
      </c>
      <c r="AB16" s="2966">
        <v>1</v>
      </c>
      <c r="AC16" s="2674">
        <v>1</v>
      </c>
    </row>
    <row r="17" spans="1:29" ht="71.25">
      <c r="A17" s="427"/>
      <c r="B17" s="630" t="s">
        <v>2100</v>
      </c>
      <c r="C17" s="2675"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v>3</v>
      </c>
      <c r="L17" s="1139"/>
      <c r="M17" s="1130"/>
      <c r="N17" s="1130"/>
      <c r="O17" s="1130"/>
      <c r="P17" s="3224"/>
      <c r="Q17" s="2965" t="str">
        <f>B17</f>
        <v>交通便捷度</v>
      </c>
      <c r="R17" s="773" t="s">
        <v>17</v>
      </c>
      <c r="S17" s="774">
        <f>F17</f>
        <v>100</v>
      </c>
      <c r="T17" s="773" t="s">
        <v>17</v>
      </c>
      <c r="U17" s="774">
        <f>H17</f>
        <v>100</v>
      </c>
      <c r="V17" s="773" t="s">
        <v>17</v>
      </c>
      <c r="W17" s="774">
        <f>J17</f>
        <v>100</v>
      </c>
      <c r="X17" s="2967"/>
      <c r="Y17" s="3226"/>
      <c r="Z17" s="2968" t="str">
        <f>Q17</f>
        <v>交通便捷度</v>
      </c>
      <c r="AA17" s="2966">
        <f t="shared" si="3"/>
        <v>1</v>
      </c>
      <c r="AB17" s="2966">
        <f t="shared" si="4"/>
        <v>1</v>
      </c>
      <c r="AC17" s="2674">
        <f t="shared" si="5"/>
        <v>1</v>
      </c>
    </row>
    <row r="18" spans="1:29" ht="15">
      <c r="A18" s="427"/>
      <c r="B18" s="631"/>
      <c r="C18" s="2611" t="s">
        <v>3292</v>
      </c>
      <c r="D18" s="449"/>
      <c r="E18" s="2611" t="s">
        <v>3292</v>
      </c>
      <c r="F18" s="449"/>
      <c r="G18" s="2611" t="s">
        <v>3292</v>
      </c>
      <c r="H18" s="447"/>
      <c r="I18" s="2611" t="s">
        <v>3292</v>
      </c>
      <c r="J18" s="447"/>
      <c r="K18" s="614"/>
      <c r="L18" s="1139"/>
      <c r="M18" s="1130"/>
      <c r="N18" s="1130"/>
      <c r="O18" s="1130"/>
      <c r="P18" s="3224"/>
      <c r="Q18" s="2965"/>
      <c r="R18" s="773"/>
      <c r="S18" s="774"/>
      <c r="T18" s="773"/>
      <c r="U18" s="774"/>
      <c r="V18" s="773"/>
      <c r="W18" s="774"/>
      <c r="X18" s="2967"/>
      <c r="Y18" s="3226"/>
      <c r="Z18" s="2968"/>
      <c r="AA18" s="2966">
        <v>1</v>
      </c>
      <c r="AB18" s="2966">
        <v>1</v>
      </c>
      <c r="AC18" s="2674">
        <v>1</v>
      </c>
    </row>
    <row r="19" spans="1:29" ht="42.75">
      <c r="A19" s="427"/>
      <c r="B19" s="630" t="s">
        <v>2692</v>
      </c>
      <c r="C19" s="2675"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v>3</v>
      </c>
      <c r="L19" s="1139"/>
      <c r="M19" s="1130"/>
      <c r="N19" s="1130"/>
      <c r="O19" s="1130"/>
      <c r="P19" s="3224"/>
      <c r="Q19" s="2965" t="str">
        <f>B19</f>
        <v>公共配套设施</v>
      </c>
      <c r="R19" s="773" t="s">
        <v>17</v>
      </c>
      <c r="S19" s="774">
        <f>F19</f>
        <v>100</v>
      </c>
      <c r="T19" s="773" t="s">
        <v>17</v>
      </c>
      <c r="U19" s="774">
        <f>H19</f>
        <v>100</v>
      </c>
      <c r="V19" s="773" t="s">
        <v>17</v>
      </c>
      <c r="W19" s="774">
        <f>J19</f>
        <v>100</v>
      </c>
      <c r="X19" s="2967"/>
      <c r="Y19" s="3226"/>
      <c r="Z19" s="2968" t="str">
        <f>Q19</f>
        <v>公共配套设施</v>
      </c>
      <c r="AA19" s="2966">
        <f t="shared" si="3"/>
        <v>1</v>
      </c>
      <c r="AB19" s="2966">
        <f t="shared" si="4"/>
        <v>1</v>
      </c>
      <c r="AC19" s="2674">
        <f t="shared" si="5"/>
        <v>1</v>
      </c>
    </row>
    <row r="20" spans="1:29" ht="15">
      <c r="A20" s="427"/>
      <c r="B20" s="631"/>
      <c r="C20" s="2611" t="s">
        <v>3292</v>
      </c>
      <c r="D20" s="447"/>
      <c r="E20" s="2611" t="s">
        <v>3292</v>
      </c>
      <c r="F20" s="447"/>
      <c r="G20" s="2611" t="s">
        <v>3292</v>
      </c>
      <c r="H20" s="447"/>
      <c r="I20" s="2611" t="s">
        <v>3292</v>
      </c>
      <c r="J20" s="447"/>
      <c r="K20" s="614"/>
      <c r="L20" s="1139"/>
      <c r="M20" s="1130"/>
      <c r="N20" s="1130"/>
      <c r="O20" s="1130"/>
      <c r="P20" s="3224"/>
      <c r="Q20" s="2965"/>
      <c r="R20" s="773"/>
      <c r="S20" s="774"/>
      <c r="T20" s="773"/>
      <c r="U20" s="774"/>
      <c r="V20" s="773"/>
      <c r="W20" s="774"/>
      <c r="X20" s="2967"/>
      <c r="Y20" s="3226"/>
      <c r="Z20" s="2968"/>
      <c r="AA20" s="2966">
        <v>1</v>
      </c>
      <c r="AB20" s="2966">
        <v>1</v>
      </c>
      <c r="AC20" s="2674">
        <v>1</v>
      </c>
    </row>
    <row r="21" spans="1:29" ht="28.5">
      <c r="A21" s="427"/>
      <c r="B21" s="632" t="s">
        <v>2693</v>
      </c>
      <c r="C21" s="2675"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v>2</v>
      </c>
      <c r="L21" s="1139"/>
      <c r="M21" s="1130"/>
      <c r="N21" s="1130"/>
      <c r="O21" s="1130"/>
      <c r="P21" s="3224"/>
      <c r="Q21" s="2965" t="str">
        <f>B21</f>
        <v>基础设施水平</v>
      </c>
      <c r="R21" s="773" t="s">
        <v>17</v>
      </c>
      <c r="S21" s="774">
        <f>F21</f>
        <v>100</v>
      </c>
      <c r="T21" s="773" t="s">
        <v>17</v>
      </c>
      <c r="U21" s="774">
        <f>H21</f>
        <v>100</v>
      </c>
      <c r="V21" s="773" t="s">
        <v>17</v>
      </c>
      <c r="W21" s="774">
        <f>J21</f>
        <v>100</v>
      </c>
      <c r="X21" s="2967"/>
      <c r="Y21" s="3226"/>
      <c r="Z21" s="2968" t="str">
        <f>Q21</f>
        <v>基础设施水平</v>
      </c>
      <c r="AA21" s="2966">
        <f t="shared" ref="AA21" si="8">D21/F21</f>
        <v>1</v>
      </c>
      <c r="AB21" s="2966">
        <f t="shared" ref="AB21" si="9">D21/H21</f>
        <v>1</v>
      </c>
      <c r="AC21" s="2674">
        <f t="shared" ref="AC21" si="10">D21/J21</f>
        <v>1</v>
      </c>
    </row>
    <row r="22" spans="1:29" ht="15">
      <c r="A22" s="427"/>
      <c r="B22" s="632"/>
      <c r="C22" s="2676" t="s">
        <v>3294</v>
      </c>
      <c r="D22" s="447"/>
      <c r="E22" s="2676" t="s">
        <v>3294</v>
      </c>
      <c r="F22" s="447"/>
      <c r="G22" s="2676" t="s">
        <v>3294</v>
      </c>
      <c r="H22" s="447"/>
      <c r="I22" s="2676" t="s">
        <v>3294</v>
      </c>
      <c r="J22" s="447"/>
      <c r="K22" s="1382"/>
      <c r="L22" s="1139"/>
      <c r="M22" s="1130"/>
      <c r="N22" s="1130"/>
      <c r="O22" s="1130"/>
      <c r="P22" s="3224"/>
      <c r="Q22" s="2965"/>
      <c r="R22" s="773"/>
      <c r="S22" s="774"/>
      <c r="T22" s="773"/>
      <c r="U22" s="774"/>
      <c r="V22" s="773"/>
      <c r="W22" s="774"/>
      <c r="X22" s="2967"/>
      <c r="Y22" s="3226"/>
      <c r="Z22" s="2968"/>
      <c r="AA22" s="2966">
        <v>1</v>
      </c>
      <c r="AB22" s="2966">
        <v>1</v>
      </c>
      <c r="AC22" s="2674">
        <v>1</v>
      </c>
    </row>
    <row r="23" spans="1:29" ht="42.75">
      <c r="A23" s="427"/>
      <c r="B23" s="630" t="s">
        <v>2694</v>
      </c>
      <c r="C23" s="2675"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v>3</v>
      </c>
      <c r="L23" s="1139"/>
      <c r="M23" s="1130"/>
      <c r="N23" s="1130"/>
      <c r="O23" s="1130"/>
      <c r="P23" s="3224"/>
      <c r="Q23" s="2965" t="str">
        <f>B23</f>
        <v>环境质量</v>
      </c>
      <c r="R23" s="773" t="s">
        <v>17</v>
      </c>
      <c r="S23" s="774">
        <f>F23</f>
        <v>100</v>
      </c>
      <c r="T23" s="773" t="s">
        <v>17</v>
      </c>
      <c r="U23" s="774">
        <f>H23</f>
        <v>100</v>
      </c>
      <c r="V23" s="773" t="s">
        <v>17</v>
      </c>
      <c r="W23" s="774">
        <f>J23</f>
        <v>100</v>
      </c>
      <c r="X23" s="2967"/>
      <c r="Y23" s="3226"/>
      <c r="Z23" s="2968" t="str">
        <f>Q23</f>
        <v>环境质量</v>
      </c>
      <c r="AA23" s="2966">
        <f t="shared" si="3"/>
        <v>1</v>
      </c>
      <c r="AB23" s="2966">
        <f t="shared" si="4"/>
        <v>1</v>
      </c>
      <c r="AC23" s="2674">
        <f t="shared" si="5"/>
        <v>1</v>
      </c>
    </row>
    <row r="24" spans="1:29" ht="15">
      <c r="A24" s="427"/>
      <c r="B24" s="632"/>
      <c r="C24" s="2611" t="s">
        <v>3292</v>
      </c>
      <c r="D24" s="447"/>
      <c r="E24" s="2611" t="s">
        <v>3292</v>
      </c>
      <c r="F24" s="447"/>
      <c r="G24" s="2611" t="s">
        <v>3292</v>
      </c>
      <c r="H24" s="447"/>
      <c r="I24" s="2611" t="s">
        <v>3292</v>
      </c>
      <c r="J24" s="447"/>
      <c r="K24" s="614"/>
      <c r="L24" s="1139"/>
      <c r="M24" s="1130"/>
      <c r="N24" s="1130"/>
      <c r="O24" s="1130"/>
      <c r="P24" s="3224"/>
      <c r="Q24" s="2965"/>
      <c r="R24" s="773"/>
      <c r="S24" s="774"/>
      <c r="T24" s="773"/>
      <c r="U24" s="774"/>
      <c r="V24" s="773"/>
      <c r="W24" s="774"/>
      <c r="X24" s="2967"/>
      <c r="Y24" s="3226"/>
      <c r="Z24" s="2968"/>
      <c r="AA24" s="2966">
        <v>1</v>
      </c>
      <c r="AB24" s="2966">
        <v>1</v>
      </c>
      <c r="AC24" s="2674">
        <v>1</v>
      </c>
    </row>
    <row r="25" spans="1:29" ht="28.5">
      <c r="A25" s="403"/>
      <c r="B25" s="630" t="s">
        <v>2695</v>
      </c>
      <c r="C25" s="2615" t="s">
        <v>3296</v>
      </c>
      <c r="D25" s="434">
        <v>100</v>
      </c>
      <c r="E25" s="2615" t="s">
        <v>3297</v>
      </c>
      <c r="F25" s="434">
        <f>SUMIF(87:87,E26,88:88)-SUMIF(87:87,C26,88:88)+100</f>
        <v>100</v>
      </c>
      <c r="G25" s="2615" t="s">
        <v>3298</v>
      </c>
      <c r="H25" s="434">
        <f>SUMIF(87:87,G26,88:88)-SUMIF(87:87,C26,88:88)+100</f>
        <v>100</v>
      </c>
      <c r="I25" s="2615" t="s">
        <v>3299</v>
      </c>
      <c r="J25" s="434">
        <f>SUMIF(87:87,I26,88:88)-SUMIF(87:87,C26,88:88)+100</f>
        <v>100</v>
      </c>
      <c r="K25" s="613">
        <v>2</v>
      </c>
      <c r="L25" s="1139"/>
      <c r="M25" s="1130"/>
      <c r="N25" s="1130"/>
      <c r="O25" s="1130"/>
      <c r="P25" s="3224"/>
      <c r="Q25" s="2965" t="str">
        <f>B25</f>
        <v>毗邻道路的类型与等级</v>
      </c>
      <c r="R25" s="773" t="s">
        <v>17</v>
      </c>
      <c r="S25" s="774">
        <f>F25</f>
        <v>100</v>
      </c>
      <c r="T25" s="773" t="s">
        <v>17</v>
      </c>
      <c r="U25" s="774">
        <f>H25</f>
        <v>100</v>
      </c>
      <c r="V25" s="773" t="s">
        <v>17</v>
      </c>
      <c r="W25" s="774">
        <f>J25</f>
        <v>100</v>
      </c>
      <c r="X25" s="2967"/>
      <c r="Y25" s="3226"/>
      <c r="Z25" s="2968" t="str">
        <f>Q25</f>
        <v>毗邻道路的类型与等级</v>
      </c>
      <c r="AA25" s="2966">
        <f t="shared" si="3"/>
        <v>1</v>
      </c>
      <c r="AB25" s="2966">
        <f t="shared" si="4"/>
        <v>1</v>
      </c>
      <c r="AC25" s="2674">
        <f t="shared" si="5"/>
        <v>1</v>
      </c>
    </row>
    <row r="26" spans="1:29" ht="15">
      <c r="A26" s="403"/>
      <c r="B26" s="631"/>
      <c r="C26" s="633" t="s">
        <v>3300</v>
      </c>
      <c r="D26" s="434"/>
      <c r="E26" s="615" t="s">
        <v>3300</v>
      </c>
      <c r="F26" s="434"/>
      <c r="G26" s="633" t="s">
        <v>3300</v>
      </c>
      <c r="H26" s="434"/>
      <c r="I26" s="615" t="s">
        <v>3300</v>
      </c>
      <c r="J26" s="434"/>
      <c r="K26" s="614"/>
      <c r="L26" s="1139"/>
      <c r="M26" s="1130"/>
      <c r="N26" s="1130"/>
      <c r="O26" s="1130"/>
      <c r="P26" s="3224"/>
      <c r="Q26" s="2965"/>
      <c r="R26" s="773"/>
      <c r="S26" s="774"/>
      <c r="T26" s="773"/>
      <c r="U26" s="774"/>
      <c r="V26" s="773"/>
      <c r="W26" s="774"/>
      <c r="X26" s="2967"/>
      <c r="Y26" s="3226"/>
      <c r="Z26" s="2968"/>
      <c r="AA26" s="2966">
        <v>1</v>
      </c>
      <c r="AB26" s="2966">
        <v>1</v>
      </c>
      <c r="AC26" s="2674">
        <v>1</v>
      </c>
    </row>
    <row r="27" spans="1:29" ht="15">
      <c r="A27" s="427"/>
      <c r="B27" s="631" t="s">
        <v>2663</v>
      </c>
      <c r="C27" s="633" t="s">
        <v>3542</v>
      </c>
      <c r="D27" s="434">
        <v>100</v>
      </c>
      <c r="E27" s="615" t="s">
        <v>3544</v>
      </c>
      <c r="F27" s="434">
        <f>SUMIF(89:89,E27,90:90)-SUMIF(89:89,C27,90:90)+100</f>
        <v>102</v>
      </c>
      <c r="G27" s="633" t="s">
        <v>3542</v>
      </c>
      <c r="H27" s="434">
        <f>SUMIF(89:89,G27,90:90)-SUMIF(89:89,C27,90:90)+100</f>
        <v>100</v>
      </c>
      <c r="I27" s="615" t="s">
        <v>3544</v>
      </c>
      <c r="J27" s="434">
        <f>SUMIF(89:89,I27,90:90)-SUMIF(89:89,C27,90:90)+100</f>
        <v>102</v>
      </c>
      <c r="K27" s="611">
        <v>2</v>
      </c>
      <c r="L27" s="1139"/>
      <c r="M27" s="1130"/>
      <c r="N27" s="1130"/>
      <c r="O27" s="1130"/>
      <c r="P27" s="3224"/>
      <c r="Q27" s="2965" t="str">
        <f t="shared" ref="Q27:Q47" si="11">B27</f>
        <v>楼层</v>
      </c>
      <c r="R27" s="773" t="s">
        <v>17</v>
      </c>
      <c r="S27" s="774">
        <f>F27</f>
        <v>102</v>
      </c>
      <c r="T27" s="773" t="s">
        <v>17</v>
      </c>
      <c r="U27" s="774">
        <f>H27</f>
        <v>100</v>
      </c>
      <c r="V27" s="773" t="s">
        <v>17</v>
      </c>
      <c r="W27" s="774">
        <f>J27</f>
        <v>102</v>
      </c>
      <c r="X27" s="2967"/>
      <c r="Y27" s="3226"/>
      <c r="Z27" s="2968" t="str">
        <f>Q27</f>
        <v>楼层</v>
      </c>
      <c r="AA27" s="2966">
        <f t="shared" si="3"/>
        <v>0.98039215686274506</v>
      </c>
      <c r="AB27" s="2966">
        <f t="shared" si="4"/>
        <v>1</v>
      </c>
      <c r="AC27" s="2674">
        <f t="shared" si="5"/>
        <v>0.98039215686274506</v>
      </c>
    </row>
    <row r="28" spans="1:29" s="116" customFormat="1" ht="15">
      <c r="A28" s="430"/>
      <c r="B28" s="630" t="s">
        <v>2696</v>
      </c>
      <c r="C28" s="2677"/>
      <c r="D28" s="461">
        <v>100</v>
      </c>
      <c r="E28" s="2665"/>
      <c r="F28" s="461">
        <f>SUMIF(91:91,E28,92:92)-SUMIF(91:91,C28,92:92)+100</f>
        <v>100</v>
      </c>
      <c r="G28" s="2677"/>
      <c r="H28" s="461">
        <f>SUMIF(91:91,G28,92:92)-SUMIF(91:91,C28,92:92)+100</f>
        <v>100</v>
      </c>
      <c r="I28" s="2665"/>
      <c r="J28" s="461">
        <f>SUMIF(91:91,I28,92:92)-SUMIF(91:91,C28,92:92)+100</f>
        <v>100</v>
      </c>
      <c r="K28" s="611">
        <v>2</v>
      </c>
      <c r="L28" s="1131"/>
      <c r="M28" s="1132"/>
      <c r="N28" s="1132"/>
      <c r="O28" s="1132"/>
      <c r="P28" s="3224"/>
      <c r="Q28" s="2942" t="str">
        <f t="shared" si="11"/>
        <v>朝向</v>
      </c>
      <c r="R28" s="769" t="s">
        <v>17</v>
      </c>
      <c r="S28" s="770">
        <f>F28</f>
        <v>100</v>
      </c>
      <c r="T28" s="769" t="s">
        <v>17</v>
      </c>
      <c r="U28" s="770">
        <f>H28</f>
        <v>100</v>
      </c>
      <c r="V28" s="769" t="s">
        <v>17</v>
      </c>
      <c r="W28" s="770">
        <f>J28</f>
        <v>100</v>
      </c>
      <c r="X28" s="771"/>
      <c r="Y28" s="3226"/>
      <c r="Z28" s="2944" t="str">
        <f>Q28</f>
        <v>朝向</v>
      </c>
      <c r="AA28" s="2966">
        <f>D28/F28</f>
        <v>1</v>
      </c>
      <c r="AB28" s="2966">
        <f>D28/H28</f>
        <v>1</v>
      </c>
      <c r="AC28" s="2674">
        <f>D28/J28</f>
        <v>1</v>
      </c>
    </row>
    <row r="29" spans="1:29" ht="15">
      <c r="A29" s="427"/>
      <c r="B29" s="2678">
        <v>111</v>
      </c>
      <c r="C29" s="2615"/>
      <c r="D29" s="434">
        <v>100</v>
      </c>
      <c r="E29" s="431"/>
      <c r="F29" s="434">
        <f>SUMIF(93:93,E29,94:94)-SUMIF(93:93,C29,94:94)+100</f>
        <v>100</v>
      </c>
      <c r="G29" s="2672"/>
      <c r="H29" s="434">
        <f>SUMIF(93:93,G29,94:94)-SUMIF(93:93,C29,94:94)+100</f>
        <v>100</v>
      </c>
      <c r="I29" s="431"/>
      <c r="J29" s="434">
        <f>SUMIF(93:93,I29,94:94)-SUMIF(93:93,C29,94:94)+100</f>
        <v>100</v>
      </c>
      <c r="K29" s="612"/>
      <c r="L29" s="1139"/>
      <c r="M29" s="1130"/>
      <c r="N29" s="1130"/>
      <c r="O29" s="1130"/>
      <c r="P29" s="3224"/>
      <c r="Q29" s="2965">
        <f t="shared" si="11"/>
        <v>111</v>
      </c>
      <c r="R29" s="773" t="s">
        <v>17</v>
      </c>
      <c r="S29" s="774">
        <f t="shared" ref="S29:S47" si="12">F29</f>
        <v>100</v>
      </c>
      <c r="T29" s="773" t="s">
        <v>17</v>
      </c>
      <c r="U29" s="774">
        <f t="shared" ref="U29:U47" si="13">H29</f>
        <v>100</v>
      </c>
      <c r="V29" s="773" t="s">
        <v>17</v>
      </c>
      <c r="W29" s="774">
        <f t="shared" ref="W29:W47" si="14">J29</f>
        <v>100</v>
      </c>
      <c r="X29" s="2967"/>
      <c r="Y29" s="3226"/>
      <c r="Z29" s="2968">
        <f t="shared" ref="Z29:Z47" si="15">Q29</f>
        <v>111</v>
      </c>
      <c r="AA29" s="2966">
        <f t="shared" si="3"/>
        <v>1</v>
      </c>
      <c r="AB29" s="2966">
        <f t="shared" si="4"/>
        <v>1</v>
      </c>
      <c r="AC29" s="2674">
        <f t="shared" si="5"/>
        <v>1</v>
      </c>
    </row>
    <row r="30" spans="1:29" ht="15">
      <c r="A30" s="427"/>
      <c r="B30" s="2678">
        <v>111</v>
      </c>
      <c r="C30" s="2615"/>
      <c r="D30" s="434">
        <v>100</v>
      </c>
      <c r="E30" s="431"/>
      <c r="F30" s="434">
        <f>SUMIF(95:95,E30,96:96)-SUMIF(95:95,C30,96:96)+100</f>
        <v>100</v>
      </c>
      <c r="G30" s="2672"/>
      <c r="H30" s="434">
        <f>SUMIF(95:95,G30,96:96)-SUMIF(95:95,C30,96:96)+100</f>
        <v>100</v>
      </c>
      <c r="I30" s="431"/>
      <c r="J30" s="434">
        <f>SUMIF(95:95,I30,96:96)-SUMIF(95:95,C30,96:96)+100</f>
        <v>100</v>
      </c>
      <c r="K30" s="612"/>
      <c r="L30" s="1139"/>
      <c r="M30" s="1130"/>
      <c r="N30" s="1130"/>
      <c r="O30" s="1130"/>
      <c r="P30" s="3224"/>
      <c r="Q30" s="2965">
        <f t="shared" si="11"/>
        <v>111</v>
      </c>
      <c r="R30" s="773" t="s">
        <v>17</v>
      </c>
      <c r="S30" s="774">
        <f t="shared" si="12"/>
        <v>100</v>
      </c>
      <c r="T30" s="773" t="s">
        <v>17</v>
      </c>
      <c r="U30" s="774">
        <f t="shared" si="13"/>
        <v>100</v>
      </c>
      <c r="V30" s="773" t="s">
        <v>17</v>
      </c>
      <c r="W30" s="774">
        <f t="shared" si="14"/>
        <v>100</v>
      </c>
      <c r="X30" s="2967"/>
      <c r="Y30" s="3226"/>
      <c r="Z30" s="2968">
        <f t="shared" si="15"/>
        <v>111</v>
      </c>
      <c r="AA30" s="2966">
        <f t="shared" si="3"/>
        <v>1</v>
      </c>
      <c r="AB30" s="2966">
        <f t="shared" si="4"/>
        <v>1</v>
      </c>
      <c r="AC30" s="2674">
        <f t="shared" si="5"/>
        <v>1</v>
      </c>
    </row>
    <row r="31" spans="1:29" ht="15">
      <c r="A31" s="427"/>
      <c r="B31" s="2678">
        <v>111</v>
      </c>
      <c r="C31" s="2615"/>
      <c r="D31" s="434">
        <v>100</v>
      </c>
      <c r="E31" s="431"/>
      <c r="F31" s="434">
        <f>SUMIF(97:97,E31,98:98)-SUMIF(97:97,C31,98:98)+100</f>
        <v>100</v>
      </c>
      <c r="G31" s="2672"/>
      <c r="H31" s="434">
        <f>SUMIF(97:97,G31,98:98)-SUMIF(97:97,C31,98:98)+100</f>
        <v>100</v>
      </c>
      <c r="I31" s="431"/>
      <c r="J31" s="434">
        <f>SUMIF(97:97,I31,98:98)-SUMIF(97:97,C31,98:98)+100</f>
        <v>100</v>
      </c>
      <c r="K31" s="612"/>
      <c r="L31" s="1139"/>
      <c r="M31" s="1130"/>
      <c r="N31" s="1130"/>
      <c r="O31" s="1130"/>
      <c r="P31" s="3224"/>
      <c r="Q31" s="2965">
        <f t="shared" si="11"/>
        <v>111</v>
      </c>
      <c r="R31" s="773" t="s">
        <v>17</v>
      </c>
      <c r="S31" s="774">
        <f t="shared" si="12"/>
        <v>100</v>
      </c>
      <c r="T31" s="773" t="s">
        <v>17</v>
      </c>
      <c r="U31" s="774">
        <f t="shared" si="13"/>
        <v>100</v>
      </c>
      <c r="V31" s="773" t="s">
        <v>17</v>
      </c>
      <c r="W31" s="774">
        <f t="shared" si="14"/>
        <v>100</v>
      </c>
      <c r="X31" s="2967"/>
      <c r="Y31" s="3226"/>
      <c r="Z31" s="2968">
        <f t="shared" si="15"/>
        <v>111</v>
      </c>
      <c r="AA31" s="2966">
        <f t="shared" si="3"/>
        <v>1</v>
      </c>
      <c r="AB31" s="2966">
        <f t="shared" si="4"/>
        <v>1</v>
      </c>
      <c r="AC31" s="2674">
        <f t="shared" si="5"/>
        <v>1</v>
      </c>
    </row>
    <row r="32" spans="1:29" ht="15.75" thickBot="1">
      <c r="A32" s="435"/>
      <c r="B32" s="634">
        <v>111</v>
      </c>
      <c r="C32" s="2616"/>
      <c r="D32" s="437">
        <v>100</v>
      </c>
      <c r="E32" s="627"/>
      <c r="F32" s="437">
        <f>SUMIF(99:99,E32,100:100)-SUMIF(99:99,C32,100:100)+100</f>
        <v>100</v>
      </c>
      <c r="G32" s="2672"/>
      <c r="H32" s="437">
        <f>SUMIF(99:99,G32,100:100)-SUMIF(99:99,C32,100:100)+100</f>
        <v>100</v>
      </c>
      <c r="I32" s="431"/>
      <c r="J32" s="437">
        <f>SUMIF(99:99,I32,100:100)-SUMIF(99:99,C32,100:100)+100</f>
        <v>100</v>
      </c>
      <c r="K32" s="612"/>
      <c r="L32" s="1139"/>
      <c r="M32" s="1130"/>
      <c r="N32" s="1130"/>
      <c r="O32" s="1130"/>
      <c r="P32" s="3224"/>
      <c r="Q32" s="2965">
        <f t="shared" si="11"/>
        <v>111</v>
      </c>
      <c r="R32" s="773" t="s">
        <v>17</v>
      </c>
      <c r="S32" s="774">
        <f t="shared" si="12"/>
        <v>100</v>
      </c>
      <c r="T32" s="773" t="s">
        <v>17</v>
      </c>
      <c r="U32" s="774">
        <f t="shared" si="13"/>
        <v>100</v>
      </c>
      <c r="V32" s="773" t="s">
        <v>17</v>
      </c>
      <c r="W32" s="774">
        <f t="shared" si="14"/>
        <v>100</v>
      </c>
      <c r="X32" s="2967"/>
      <c r="Y32" s="3226"/>
      <c r="Z32" s="2968">
        <f t="shared" si="15"/>
        <v>111</v>
      </c>
      <c r="AA32" s="2966">
        <f t="shared" si="3"/>
        <v>1</v>
      </c>
      <c r="AB32" s="2966">
        <f t="shared" si="4"/>
        <v>1</v>
      </c>
      <c r="AC32" s="2674">
        <f t="shared" si="5"/>
        <v>1</v>
      </c>
    </row>
    <row r="33" spans="1:29" ht="15">
      <c r="A33" s="439" t="s">
        <v>2567</v>
      </c>
      <c r="B33" s="71" t="s">
        <v>2697</v>
      </c>
      <c r="C33" s="2679" t="s">
        <v>3301</v>
      </c>
      <c r="D33" s="466">
        <v>100</v>
      </c>
      <c r="E33" s="2679" t="s">
        <v>3301</v>
      </c>
      <c r="F33" s="460">
        <f>SUMIF(101:101,E33,102:102)-SUMIF(101:101,C33,102:102)+100</f>
        <v>100</v>
      </c>
      <c r="G33" s="2679" t="s">
        <v>3301</v>
      </c>
      <c r="H33" s="434">
        <f>SUMIF(101:101,G33,102:102)-SUMIF(101:101,C33,102:102)+100</f>
        <v>100</v>
      </c>
      <c r="I33" s="2679" t="s">
        <v>3301</v>
      </c>
      <c r="J33" s="466">
        <f>SUMIF(101:101,I33,102:102)-SUMIF(101:101,C33,102:102)+100</f>
        <v>100</v>
      </c>
      <c r="K33" s="611">
        <v>1</v>
      </c>
      <c r="L33" s="1139"/>
      <c r="M33" s="1130"/>
      <c r="N33" s="1130"/>
      <c r="O33" s="1130"/>
      <c r="P33" s="3227" t="s">
        <v>2569</v>
      </c>
      <c r="Q33" s="2965" t="str">
        <f t="shared" si="11"/>
        <v>建筑类型</v>
      </c>
      <c r="R33" s="773" t="s">
        <v>17</v>
      </c>
      <c r="S33" s="774">
        <f t="shared" si="12"/>
        <v>100</v>
      </c>
      <c r="T33" s="773" t="s">
        <v>17</v>
      </c>
      <c r="U33" s="774">
        <f t="shared" si="13"/>
        <v>100</v>
      </c>
      <c r="V33" s="773" t="s">
        <v>17</v>
      </c>
      <c r="W33" s="774">
        <f t="shared" si="14"/>
        <v>100</v>
      </c>
      <c r="X33" s="2967"/>
      <c r="Y33" s="3230" t="s">
        <v>2569</v>
      </c>
      <c r="Z33" s="2968" t="str">
        <f t="shared" si="15"/>
        <v>建筑类型</v>
      </c>
      <c r="AA33" s="2966">
        <f t="shared" si="3"/>
        <v>1</v>
      </c>
      <c r="AB33" s="2966">
        <f t="shared" si="4"/>
        <v>1</v>
      </c>
      <c r="AC33" s="2674">
        <f t="shared" si="5"/>
        <v>1</v>
      </c>
    </row>
    <row r="34" spans="1:29" s="470" customFormat="1" ht="15">
      <c r="A34" s="467"/>
      <c r="B34" s="2954" t="s">
        <v>2570</v>
      </c>
      <c r="C34" s="468">
        <f>'比较法-办公'!C34</f>
        <v>521.33000000000004</v>
      </c>
      <c r="D34" s="135">
        <v>100</v>
      </c>
      <c r="E34" s="429">
        <v>200</v>
      </c>
      <c r="F34" s="424">
        <f>LOOKUP(E34,104:104,105:105)-LOOKUP(C34,104:104,105:105)+100</f>
        <v>99</v>
      </c>
      <c r="G34" s="428">
        <v>2114</v>
      </c>
      <c r="H34" s="135">
        <f>LOOKUP(G34,104:104,105:105)-LOOKUP(C34,104:104,105:105)+100</f>
        <v>96</v>
      </c>
      <c r="I34" s="428">
        <v>345</v>
      </c>
      <c r="J34" s="135">
        <f>LOOKUP(I34,104:104,105:105)-LOOKUP(C34,104:104,105:105)+100</f>
        <v>99</v>
      </c>
      <c r="K34" s="612"/>
      <c r="L34" s="1137"/>
      <c r="M34" s="1140"/>
      <c r="N34" s="1140"/>
      <c r="O34" s="1140"/>
      <c r="P34" s="3228"/>
      <c r="Q34" s="775" t="str">
        <f t="shared" si="11"/>
        <v>项目建筑规模</v>
      </c>
      <c r="R34" s="776" t="s">
        <v>17</v>
      </c>
      <c r="S34" s="777">
        <f t="shared" si="12"/>
        <v>99</v>
      </c>
      <c r="T34" s="776" t="s">
        <v>17</v>
      </c>
      <c r="U34" s="777">
        <f t="shared" si="13"/>
        <v>96</v>
      </c>
      <c r="V34" s="776" t="s">
        <v>17</v>
      </c>
      <c r="W34" s="777">
        <f t="shared" si="14"/>
        <v>99</v>
      </c>
      <c r="X34" s="778"/>
      <c r="Y34" s="3230"/>
      <c r="Z34" s="779" t="str">
        <f t="shared" si="15"/>
        <v>项目建筑规模</v>
      </c>
      <c r="AA34" s="2966">
        <f t="shared" si="3"/>
        <v>1.0101010101010102</v>
      </c>
      <c r="AB34" s="2966">
        <f t="shared" si="4"/>
        <v>1.0416666666666667</v>
      </c>
      <c r="AC34" s="2674">
        <f t="shared" si="5"/>
        <v>1.0101010101010102</v>
      </c>
    </row>
    <row r="35" spans="1:29" ht="15">
      <c r="A35" s="471"/>
      <c r="B35" s="2954" t="s">
        <v>2571</v>
      </c>
      <c r="C35" s="459" t="s">
        <v>3107</v>
      </c>
      <c r="D35" s="434">
        <v>100</v>
      </c>
      <c r="E35" s="459" t="s">
        <v>3107</v>
      </c>
      <c r="F35" s="460">
        <f>SUMIF(106:106,E35,107:107)-SUMIF(106:106,C35,107:107)+100</f>
        <v>100</v>
      </c>
      <c r="G35" s="459" t="s">
        <v>3107</v>
      </c>
      <c r="H35" s="434">
        <f>SUMIF(106:106,G35,107:107)-SUMIF(106:106,C35,107:107)+100</f>
        <v>100</v>
      </c>
      <c r="I35" s="459" t="s">
        <v>3107</v>
      </c>
      <c r="J35" s="434">
        <f>SUMIF(106:106,I35,107:107)-SUMIF(106:106,C35,107:107)+100</f>
        <v>100</v>
      </c>
      <c r="K35" s="611">
        <v>2</v>
      </c>
      <c r="L35" s="1139"/>
      <c r="M35" s="1130"/>
      <c r="N35" s="1130"/>
      <c r="O35" s="1130"/>
      <c r="P35" s="3228"/>
      <c r="Q35" s="2965" t="str">
        <f t="shared" si="11"/>
        <v>建筑结构</v>
      </c>
      <c r="R35" s="773" t="s">
        <v>17</v>
      </c>
      <c r="S35" s="774">
        <f t="shared" si="12"/>
        <v>100</v>
      </c>
      <c r="T35" s="773" t="s">
        <v>17</v>
      </c>
      <c r="U35" s="774">
        <f t="shared" si="13"/>
        <v>100</v>
      </c>
      <c r="V35" s="773" t="s">
        <v>17</v>
      </c>
      <c r="W35" s="774">
        <f t="shared" si="14"/>
        <v>100</v>
      </c>
      <c r="X35" s="2967"/>
      <c r="Y35" s="3230"/>
      <c r="Z35" s="2968" t="str">
        <f t="shared" si="15"/>
        <v>建筑结构</v>
      </c>
      <c r="AA35" s="2966">
        <f t="shared" si="3"/>
        <v>1</v>
      </c>
      <c r="AB35" s="2966">
        <f t="shared" si="4"/>
        <v>1</v>
      </c>
      <c r="AC35" s="2674">
        <f t="shared" si="5"/>
        <v>1</v>
      </c>
    </row>
    <row r="36" spans="1:29" ht="15">
      <c r="A36" s="471"/>
      <c r="B36" s="2954" t="s">
        <v>2665</v>
      </c>
      <c r="C36" s="459" t="s">
        <v>3302</v>
      </c>
      <c r="D36" s="434">
        <v>100</v>
      </c>
      <c r="E36" s="459" t="s">
        <v>3302</v>
      </c>
      <c r="F36" s="460">
        <f>SUMIF(108:108,E36,109:109)-SUMIF(108:108,C36,109:109)+100</f>
        <v>100</v>
      </c>
      <c r="G36" s="459" t="s">
        <v>3302</v>
      </c>
      <c r="H36" s="434">
        <f>SUMIF(108:108,G36,109:109)-SUMIF(108:108,C36,109:109)+100</f>
        <v>100</v>
      </c>
      <c r="I36" s="459" t="s">
        <v>3302</v>
      </c>
      <c r="J36" s="434">
        <f>SUMIF(108:108,I36,109:109)-SUMIF(108:108,C36,109:109)+100</f>
        <v>100</v>
      </c>
      <c r="K36" s="611">
        <v>3</v>
      </c>
      <c r="L36" s="1139"/>
      <c r="M36" s="1130"/>
      <c r="N36" s="1130"/>
      <c r="O36" s="1130"/>
      <c r="P36" s="3228"/>
      <c r="Q36" s="2965" t="str">
        <f t="shared" si="11"/>
        <v>公共部分装修</v>
      </c>
      <c r="R36" s="773" t="s">
        <v>17</v>
      </c>
      <c r="S36" s="774">
        <f t="shared" si="12"/>
        <v>100</v>
      </c>
      <c r="T36" s="773" t="s">
        <v>17</v>
      </c>
      <c r="U36" s="774">
        <f t="shared" si="13"/>
        <v>100</v>
      </c>
      <c r="V36" s="773" t="s">
        <v>17</v>
      </c>
      <c r="W36" s="774">
        <f t="shared" si="14"/>
        <v>100</v>
      </c>
      <c r="X36" s="2967"/>
      <c r="Y36" s="3230"/>
      <c r="Z36" s="2968" t="str">
        <f t="shared" si="15"/>
        <v>公共部分装修</v>
      </c>
      <c r="AA36" s="2966">
        <f t="shared" si="3"/>
        <v>1</v>
      </c>
      <c r="AB36" s="2966">
        <f t="shared" si="4"/>
        <v>1</v>
      </c>
      <c r="AC36" s="2674">
        <f t="shared" si="5"/>
        <v>1</v>
      </c>
    </row>
    <row r="37" spans="1:29" ht="15">
      <c r="A37" s="471"/>
      <c r="B37" s="2954" t="s">
        <v>2666</v>
      </c>
      <c r="C37" s="473">
        <v>1</v>
      </c>
      <c r="D37" s="434">
        <v>100</v>
      </c>
      <c r="E37" s="473">
        <v>0.92</v>
      </c>
      <c r="F37" s="460">
        <f>LOOKUP(E37,111:111,112:112)-LOOKUP(C37,111:111,112:112)+100</f>
        <v>100</v>
      </c>
      <c r="G37" s="473">
        <v>0.9</v>
      </c>
      <c r="H37" s="460">
        <f>LOOKUP(G37,111:111,112:112)-LOOKUP(C37,111:111,112:112)+100</f>
        <v>100</v>
      </c>
      <c r="I37" s="473">
        <v>0.95</v>
      </c>
      <c r="J37" s="434">
        <f>LOOKUP(I37,111:111,112:112)-LOOKUP(C37,111:111,112:112)+100</f>
        <v>100</v>
      </c>
      <c r="K37" s="611">
        <v>2</v>
      </c>
      <c r="L37" s="1139"/>
      <c r="M37" s="1130"/>
      <c r="N37" s="1130"/>
      <c r="O37" s="1130"/>
      <c r="P37" s="3228"/>
      <c r="Q37" s="2965" t="str">
        <f t="shared" si="11"/>
        <v>成新度</v>
      </c>
      <c r="R37" s="773" t="s">
        <v>17</v>
      </c>
      <c r="S37" s="774">
        <f t="shared" si="12"/>
        <v>100</v>
      </c>
      <c r="T37" s="773" t="s">
        <v>17</v>
      </c>
      <c r="U37" s="774">
        <f t="shared" si="13"/>
        <v>100</v>
      </c>
      <c r="V37" s="773" t="s">
        <v>17</v>
      </c>
      <c r="W37" s="774">
        <f t="shared" si="14"/>
        <v>100</v>
      </c>
      <c r="X37" s="2967"/>
      <c r="Y37" s="3230"/>
      <c r="Z37" s="2968" t="str">
        <f t="shared" si="15"/>
        <v>成新度</v>
      </c>
      <c r="AA37" s="2966">
        <f t="shared" si="3"/>
        <v>1</v>
      </c>
      <c r="AB37" s="2966">
        <f t="shared" si="4"/>
        <v>1</v>
      </c>
      <c r="AC37" s="2674">
        <f t="shared" si="5"/>
        <v>1</v>
      </c>
    </row>
    <row r="38" spans="1:29" s="116" customFormat="1" ht="15">
      <c r="A38" s="472"/>
      <c r="B38" s="2954" t="s">
        <v>2698</v>
      </c>
      <c r="C38" s="459" t="s">
        <v>3303</v>
      </c>
      <c r="D38" s="135">
        <v>100</v>
      </c>
      <c r="E38" s="459" t="s">
        <v>3303</v>
      </c>
      <c r="F38" s="460">
        <f>SUMIF(113:113,E38,114:114)-SUMIF(113:113,C38,114:114)+100</f>
        <v>100</v>
      </c>
      <c r="G38" s="459" t="s">
        <v>3303</v>
      </c>
      <c r="H38" s="434">
        <f>SUMIF(113:113,G38,114:114)-SUMIF(113:113,C38,114:114)+100</f>
        <v>100</v>
      </c>
      <c r="I38" s="459" t="s">
        <v>3303</v>
      </c>
      <c r="J38" s="434">
        <f>SUMIF(113:113,I38,114:114)-SUMIF(113:113,C38,114:114)+100</f>
        <v>100</v>
      </c>
      <c r="K38" s="611">
        <v>3</v>
      </c>
      <c r="L38" s="1131"/>
      <c r="M38" s="1132"/>
      <c r="N38" s="1132"/>
      <c r="O38" s="1132"/>
      <c r="P38" s="3228"/>
      <c r="Q38" s="2942" t="str">
        <f t="shared" si="11"/>
        <v>写字楼等级</v>
      </c>
      <c r="R38" s="769" t="s">
        <v>17</v>
      </c>
      <c r="S38" s="770">
        <f t="shared" si="12"/>
        <v>100</v>
      </c>
      <c r="T38" s="769" t="s">
        <v>17</v>
      </c>
      <c r="U38" s="770">
        <f t="shared" si="13"/>
        <v>100</v>
      </c>
      <c r="V38" s="769" t="s">
        <v>17</v>
      </c>
      <c r="W38" s="770">
        <f t="shared" si="14"/>
        <v>100</v>
      </c>
      <c r="X38" s="771"/>
      <c r="Y38" s="3230"/>
      <c r="Z38" s="2944" t="str">
        <f t="shared" si="15"/>
        <v>写字楼等级</v>
      </c>
      <c r="AA38" s="772">
        <f t="shared" si="3"/>
        <v>1</v>
      </c>
      <c r="AB38" s="772">
        <f t="shared" si="4"/>
        <v>1</v>
      </c>
      <c r="AC38" s="2671">
        <f t="shared" si="5"/>
        <v>1</v>
      </c>
    </row>
    <row r="39" spans="1:29" ht="15">
      <c r="A39" s="471"/>
      <c r="B39" s="2954" t="s">
        <v>2699</v>
      </c>
      <c r="C39" s="459" t="s">
        <v>3304</v>
      </c>
      <c r="D39" s="434">
        <v>100</v>
      </c>
      <c r="E39" s="459" t="s">
        <v>3304</v>
      </c>
      <c r="F39" s="460">
        <f>SUMIF(115:115,E39,116:116)-SUMIF(115:115,C39,116:116)+100</f>
        <v>100</v>
      </c>
      <c r="G39" s="459" t="s">
        <v>3304</v>
      </c>
      <c r="H39" s="434">
        <f>SUMIF(115:115,G39,116:116)-SUMIF(115:115,C39,116:116)+100</f>
        <v>100</v>
      </c>
      <c r="I39" s="459" t="s">
        <v>3304</v>
      </c>
      <c r="J39" s="434">
        <f>SUMIF(115:115,I39,116:116)-SUMIF(115:115,C39,116:116)+100</f>
        <v>100</v>
      </c>
      <c r="K39" s="611">
        <v>3</v>
      </c>
      <c r="L39" s="1139"/>
      <c r="M39" s="1130"/>
      <c r="N39" s="1130"/>
      <c r="O39" s="1130"/>
      <c r="P39" s="3228" t="s">
        <v>2569</v>
      </c>
      <c r="Q39" s="2965" t="str">
        <f t="shared" si="11"/>
        <v>物业管理</v>
      </c>
      <c r="R39" s="773" t="s">
        <v>17</v>
      </c>
      <c r="S39" s="774">
        <f t="shared" si="12"/>
        <v>100</v>
      </c>
      <c r="T39" s="773" t="s">
        <v>17</v>
      </c>
      <c r="U39" s="774">
        <f t="shared" si="13"/>
        <v>100</v>
      </c>
      <c r="V39" s="773" t="s">
        <v>17</v>
      </c>
      <c r="W39" s="774">
        <f t="shared" si="14"/>
        <v>100</v>
      </c>
      <c r="X39" s="2967"/>
      <c r="Y39" s="3230" t="s">
        <v>2569</v>
      </c>
      <c r="Z39" s="2968" t="str">
        <f t="shared" si="15"/>
        <v>物业管理</v>
      </c>
      <c r="AA39" s="2966">
        <f t="shared" si="3"/>
        <v>1</v>
      </c>
      <c r="AB39" s="2966">
        <f t="shared" si="4"/>
        <v>1</v>
      </c>
      <c r="AC39" s="2674">
        <f t="shared" si="5"/>
        <v>1</v>
      </c>
    </row>
    <row r="40" spans="1:29" ht="15">
      <c r="A40" s="471"/>
      <c r="B40" s="2954" t="s">
        <v>2667</v>
      </c>
      <c r="C40" s="459" t="s">
        <v>3294</v>
      </c>
      <c r="D40" s="434">
        <v>100</v>
      </c>
      <c r="E40" s="459" t="s">
        <v>3309</v>
      </c>
      <c r="F40" s="460">
        <f>SUMIF(117:117,E40,118:118)-SUMIF(117:117,C40,118:118)+100</f>
        <v>99</v>
      </c>
      <c r="G40" s="459" t="s">
        <v>3309</v>
      </c>
      <c r="H40" s="434">
        <f>SUMIF(117:117,G40,118:118)-SUMIF(117:117,C40,118:118)+100</f>
        <v>99</v>
      </c>
      <c r="I40" s="459" t="s">
        <v>3309</v>
      </c>
      <c r="J40" s="434">
        <f>SUMIF(117:117,I40,118:118)-SUMIF(117:117,C40,118:118)+100</f>
        <v>99</v>
      </c>
      <c r="K40" s="611">
        <v>1</v>
      </c>
      <c r="L40" s="1139"/>
      <c r="M40" s="1130"/>
      <c r="N40" s="1130"/>
      <c r="O40" s="1130"/>
      <c r="P40" s="3228"/>
      <c r="Q40" s="2965" t="str">
        <f t="shared" si="11"/>
        <v>市政基础设施</v>
      </c>
      <c r="R40" s="773" t="s">
        <v>17</v>
      </c>
      <c r="S40" s="774">
        <f t="shared" si="12"/>
        <v>99</v>
      </c>
      <c r="T40" s="773" t="s">
        <v>17</v>
      </c>
      <c r="U40" s="774">
        <f t="shared" si="13"/>
        <v>99</v>
      </c>
      <c r="V40" s="773" t="s">
        <v>17</v>
      </c>
      <c r="W40" s="774">
        <f t="shared" si="14"/>
        <v>99</v>
      </c>
      <c r="X40" s="2967"/>
      <c r="Y40" s="3230"/>
      <c r="Z40" s="2968" t="str">
        <f t="shared" si="15"/>
        <v>市政基础设施</v>
      </c>
      <c r="AA40" s="2966">
        <f t="shared" si="3"/>
        <v>1.0101010101010102</v>
      </c>
      <c r="AB40" s="2966">
        <f t="shared" si="4"/>
        <v>1.0101010101010102</v>
      </c>
      <c r="AC40" s="2674">
        <f t="shared" si="5"/>
        <v>1.0101010101010102</v>
      </c>
    </row>
    <row r="41" spans="1:29" ht="15">
      <c r="A41" s="471"/>
      <c r="B41" s="2954" t="s">
        <v>2669</v>
      </c>
      <c r="C41" s="615" t="s">
        <v>3305</v>
      </c>
      <c r="D41" s="434">
        <v>100</v>
      </c>
      <c r="E41" s="615" t="s">
        <v>3305</v>
      </c>
      <c r="F41" s="460">
        <f>SUMIF(119:119,E41,120:120)-SUMIF(119:119,C41,120:120)+100</f>
        <v>100</v>
      </c>
      <c r="G41" s="615" t="s">
        <v>3305</v>
      </c>
      <c r="H41" s="434">
        <f>SUMIF(119:119,G41,120:120)-SUMIF(119:119,C41,120:120)+100</f>
        <v>100</v>
      </c>
      <c r="I41" s="615" t="s">
        <v>3305</v>
      </c>
      <c r="J41" s="434">
        <f>SUMIF(119:119,I41,120:120)-SUMIF(119:119,C41,120:120)+100</f>
        <v>100</v>
      </c>
      <c r="K41" s="611">
        <v>2</v>
      </c>
      <c r="L41" s="1139"/>
      <c r="M41" s="1130"/>
      <c r="N41" s="1130"/>
      <c r="O41" s="1130"/>
      <c r="P41" s="3228"/>
      <c r="Q41" s="2965" t="str">
        <f t="shared" si="11"/>
        <v>层高</v>
      </c>
      <c r="R41" s="773" t="s">
        <v>17</v>
      </c>
      <c r="S41" s="774">
        <f t="shared" si="12"/>
        <v>100</v>
      </c>
      <c r="T41" s="773" t="s">
        <v>17</v>
      </c>
      <c r="U41" s="774">
        <f t="shared" si="13"/>
        <v>100</v>
      </c>
      <c r="V41" s="773" t="s">
        <v>17</v>
      </c>
      <c r="W41" s="774">
        <f t="shared" si="14"/>
        <v>100</v>
      </c>
      <c r="X41" s="2967"/>
      <c r="Y41" s="3230"/>
      <c r="Z41" s="2968" t="str">
        <f t="shared" si="15"/>
        <v>层高</v>
      </c>
      <c r="AA41" s="2966">
        <f t="shared" si="3"/>
        <v>1</v>
      </c>
      <c r="AB41" s="2966">
        <f t="shared" si="4"/>
        <v>1</v>
      </c>
      <c r="AC41" s="2674">
        <f t="shared" si="5"/>
        <v>1</v>
      </c>
    </row>
    <row r="42" spans="1:29" s="470" customFormat="1" ht="15">
      <c r="A42" s="467"/>
      <c r="B42" s="2964" t="s">
        <v>2700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28"/>
      <c r="Q42" s="775" t="str">
        <f t="shared" si="11"/>
        <v>单套建筑面积</v>
      </c>
      <c r="R42" s="776" t="s">
        <v>17</v>
      </c>
      <c r="S42" s="777">
        <f t="shared" si="12"/>
        <v>100</v>
      </c>
      <c r="T42" s="776" t="s">
        <v>17</v>
      </c>
      <c r="U42" s="777">
        <f t="shared" si="13"/>
        <v>100</v>
      </c>
      <c r="V42" s="776" t="s">
        <v>17</v>
      </c>
      <c r="W42" s="777">
        <f t="shared" si="14"/>
        <v>100</v>
      </c>
      <c r="X42" s="778"/>
      <c r="Y42" s="3230"/>
      <c r="Z42" s="779" t="str">
        <f t="shared" si="15"/>
        <v>单套建筑面积</v>
      </c>
      <c r="AA42" s="2966">
        <f t="shared" si="3"/>
        <v>1</v>
      </c>
      <c r="AB42" s="2966">
        <f t="shared" si="4"/>
        <v>1</v>
      </c>
      <c r="AC42" s="2674">
        <f t="shared" si="5"/>
        <v>1</v>
      </c>
    </row>
    <row r="43" spans="1:29" ht="15">
      <c r="A43" s="471"/>
      <c r="B43" s="2954" t="s">
        <v>2672</v>
      </c>
      <c r="C43" s="459" t="s">
        <v>3306</v>
      </c>
      <c r="D43" s="434">
        <v>100</v>
      </c>
      <c r="E43" s="459" t="s">
        <v>3310</v>
      </c>
      <c r="F43" s="460">
        <f>SUMIF(123:123,E43,124:124)-SUMIF(123:123,C43,124:124)+100</f>
        <v>101</v>
      </c>
      <c r="G43" s="459" t="s">
        <v>3310</v>
      </c>
      <c r="H43" s="434">
        <f>SUMIF(123:123,G43,124:124)-SUMIF(123:123,C43,124:124)+100</f>
        <v>101</v>
      </c>
      <c r="I43" s="459" t="s">
        <v>3310</v>
      </c>
      <c r="J43" s="434">
        <f>SUMIF(123:123,I43,124:124)-SUMIF(123:123,C43,124:124)+100</f>
        <v>101</v>
      </c>
      <c r="K43" s="611">
        <v>1</v>
      </c>
      <c r="L43" s="1139"/>
      <c r="M43" s="1130"/>
      <c r="N43" s="1130"/>
      <c r="O43" s="1130"/>
      <c r="P43" s="3228"/>
      <c r="Q43" s="2965" t="str">
        <f t="shared" si="11"/>
        <v>内部装修</v>
      </c>
      <c r="R43" s="773" t="s">
        <v>17</v>
      </c>
      <c r="S43" s="774">
        <f t="shared" si="12"/>
        <v>101</v>
      </c>
      <c r="T43" s="773" t="s">
        <v>17</v>
      </c>
      <c r="U43" s="774">
        <f t="shared" si="13"/>
        <v>101</v>
      </c>
      <c r="V43" s="773" t="s">
        <v>17</v>
      </c>
      <c r="W43" s="774">
        <f t="shared" si="14"/>
        <v>101</v>
      </c>
      <c r="X43" s="2967"/>
      <c r="Y43" s="3230"/>
      <c r="Z43" s="2968" t="str">
        <f t="shared" si="15"/>
        <v>内部装修</v>
      </c>
      <c r="AA43" s="2966">
        <f t="shared" si="3"/>
        <v>0.99009900990099009</v>
      </c>
      <c r="AB43" s="2966">
        <f t="shared" si="4"/>
        <v>0.99009900990099009</v>
      </c>
      <c r="AC43" s="2674">
        <f t="shared" si="5"/>
        <v>0.99009900990099009</v>
      </c>
    </row>
    <row r="44" spans="1:29" ht="15">
      <c r="A44" s="471"/>
      <c r="B44" s="2954" t="s">
        <v>2580</v>
      </c>
      <c r="C44" s="459" t="s">
        <v>3293</v>
      </c>
      <c r="D44" s="434">
        <v>100</v>
      </c>
      <c r="E44" s="2613" t="s">
        <v>3293</v>
      </c>
      <c r="F44" s="460">
        <f>SUMIF(125:125,E44,126:126)-SUMIF(125:125,C44,126:126)+100</f>
        <v>100</v>
      </c>
      <c r="G44" s="2613" t="s">
        <v>3293</v>
      </c>
      <c r="H44" s="434">
        <f>SUMIF(125:125,G44,126:126)-SUMIF(125:125,C44,126:126)+100</f>
        <v>100</v>
      </c>
      <c r="I44" s="2613" t="s">
        <v>3293</v>
      </c>
      <c r="J44" s="434">
        <f>SUMIF(125:125,I44,126:126)-SUMIF(125:125,C44,126:126)+100</f>
        <v>100</v>
      </c>
      <c r="K44" s="611">
        <v>2</v>
      </c>
      <c r="L44" s="1139"/>
      <c r="M44" s="1130"/>
      <c r="N44" s="1130"/>
      <c r="O44" s="1130"/>
      <c r="P44" s="3228"/>
      <c r="Q44" s="2965" t="str">
        <f t="shared" si="11"/>
        <v>内部装修维护情况</v>
      </c>
      <c r="R44" s="773" t="s">
        <v>17</v>
      </c>
      <c r="S44" s="774">
        <f t="shared" si="12"/>
        <v>100</v>
      </c>
      <c r="T44" s="773" t="s">
        <v>17</v>
      </c>
      <c r="U44" s="774">
        <f t="shared" si="13"/>
        <v>100</v>
      </c>
      <c r="V44" s="773" t="s">
        <v>17</v>
      </c>
      <c r="W44" s="774">
        <f t="shared" si="14"/>
        <v>100</v>
      </c>
      <c r="X44" s="2967"/>
      <c r="Y44" s="3230"/>
      <c r="Z44" s="2968" t="str">
        <f t="shared" si="15"/>
        <v>内部装修维护情况</v>
      </c>
      <c r="AA44" s="2966">
        <f t="shared" si="3"/>
        <v>1</v>
      </c>
      <c r="AB44" s="2966">
        <f t="shared" si="4"/>
        <v>1</v>
      </c>
      <c r="AC44" s="2674">
        <f t="shared" si="5"/>
        <v>1</v>
      </c>
    </row>
    <row r="45" spans="1:29" s="116" customFormat="1" ht="15">
      <c r="A45" s="472"/>
      <c r="B45" s="2987" t="s">
        <v>3308</v>
      </c>
      <c r="C45" s="468" t="s">
        <v>3307</v>
      </c>
      <c r="D45" s="135">
        <v>100</v>
      </c>
      <c r="E45" s="431" t="s">
        <v>3312</v>
      </c>
      <c r="F45" s="424">
        <f>SUMIF(127:127,E45,128:128)-SUMIF(127:127,C45,128:128)+100</f>
        <v>97</v>
      </c>
      <c r="G45" s="431" t="s">
        <v>3312</v>
      </c>
      <c r="H45" s="135">
        <f>SUMIF(127:127,G45,128:128)-SUMIF(127:127,C45,128:128)+100</f>
        <v>97</v>
      </c>
      <c r="I45" s="431" t="s">
        <v>3312</v>
      </c>
      <c r="J45" s="135">
        <f>SUMIF(127:127,I45,128:128)-SUMIF(127:127,C45,128:128)+100</f>
        <v>97</v>
      </c>
      <c r="K45" s="612"/>
      <c r="L45" s="1131"/>
      <c r="M45" s="1132"/>
      <c r="N45" s="1132"/>
      <c r="O45" s="1132"/>
      <c r="P45" s="3228"/>
      <c r="Q45" s="2942" t="str">
        <f t="shared" si="11"/>
        <v>智能环保系统</v>
      </c>
      <c r="R45" s="769" t="s">
        <v>17</v>
      </c>
      <c r="S45" s="770">
        <f t="shared" si="12"/>
        <v>97</v>
      </c>
      <c r="T45" s="769" t="s">
        <v>17</v>
      </c>
      <c r="U45" s="770">
        <f t="shared" si="13"/>
        <v>97</v>
      </c>
      <c r="V45" s="769" t="s">
        <v>17</v>
      </c>
      <c r="W45" s="770">
        <f t="shared" si="14"/>
        <v>97</v>
      </c>
      <c r="X45" s="771"/>
      <c r="Y45" s="3230"/>
      <c r="Z45" s="2944" t="str">
        <f t="shared" si="15"/>
        <v>智能环保系统</v>
      </c>
      <c r="AA45" s="772">
        <f t="shared" si="3"/>
        <v>1.0309278350515463</v>
      </c>
      <c r="AB45" s="772">
        <f t="shared" si="4"/>
        <v>1.0309278350515463</v>
      </c>
      <c r="AC45" s="2671">
        <f t="shared" si="5"/>
        <v>1.0309278350515463</v>
      </c>
    </row>
    <row r="46" spans="1:29" ht="15">
      <c r="A46" s="471"/>
      <c r="B46" s="2987" t="s">
        <v>3314</v>
      </c>
      <c r="C46" s="2989" t="s">
        <v>3315</v>
      </c>
      <c r="D46" s="434">
        <v>100</v>
      </c>
      <c r="E46" s="2990" t="s">
        <v>3317</v>
      </c>
      <c r="F46" s="460">
        <f>SUMIF(129:129,E46,130:130)-SUMIF(129:129,C46,130:130)+100</f>
        <v>97</v>
      </c>
      <c r="G46" s="2990" t="s">
        <v>3315</v>
      </c>
      <c r="H46" s="434">
        <f>SUMIF(129:129,G46,130:130)-SUMIF(129:129,C46,130:130)+100</f>
        <v>100</v>
      </c>
      <c r="I46" s="2990" t="s">
        <v>3317</v>
      </c>
      <c r="J46" s="434">
        <f>SUMIF(129:129,I46,130:130)-SUMIF(129:129,C46,130:130)+100</f>
        <v>97</v>
      </c>
      <c r="K46" s="612"/>
      <c r="L46" s="1139"/>
      <c r="M46" s="1130"/>
      <c r="N46" s="1130"/>
      <c r="O46" s="1130"/>
      <c r="P46" s="3228"/>
      <c r="Q46" s="2965" t="str">
        <f t="shared" si="11"/>
        <v>建筑品质</v>
      </c>
      <c r="R46" s="773" t="s">
        <v>17</v>
      </c>
      <c r="S46" s="774">
        <f t="shared" si="12"/>
        <v>97</v>
      </c>
      <c r="T46" s="773" t="s">
        <v>17</v>
      </c>
      <c r="U46" s="774">
        <f t="shared" si="13"/>
        <v>100</v>
      </c>
      <c r="V46" s="773" t="s">
        <v>17</v>
      </c>
      <c r="W46" s="774">
        <f t="shared" si="14"/>
        <v>97</v>
      </c>
      <c r="X46" s="2967"/>
      <c r="Y46" s="3230"/>
      <c r="Z46" s="2968" t="str">
        <f t="shared" si="15"/>
        <v>建筑品质</v>
      </c>
      <c r="AA46" s="2966">
        <f t="shared" si="3"/>
        <v>1.0309278350515463</v>
      </c>
      <c r="AB46" s="2966">
        <f t="shared" si="4"/>
        <v>1</v>
      </c>
      <c r="AC46" s="2674">
        <f t="shared" si="5"/>
        <v>1.0309278350515463</v>
      </c>
    </row>
    <row r="47" spans="1:29" ht="15.75" thickBot="1">
      <c r="A47" s="477"/>
      <c r="B47" s="2602">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29"/>
      <c r="Q47" s="2965">
        <f t="shared" si="11"/>
        <v>111</v>
      </c>
      <c r="R47" s="773" t="s">
        <v>17</v>
      </c>
      <c r="S47" s="774">
        <f t="shared" si="12"/>
        <v>100</v>
      </c>
      <c r="T47" s="773" t="s">
        <v>17</v>
      </c>
      <c r="U47" s="774">
        <f t="shared" si="13"/>
        <v>100</v>
      </c>
      <c r="V47" s="773" t="s">
        <v>17</v>
      </c>
      <c r="W47" s="774">
        <f t="shared" si="14"/>
        <v>100</v>
      </c>
      <c r="X47" s="2967"/>
      <c r="Y47" s="3231"/>
      <c r="Z47" s="2968">
        <f t="shared" si="15"/>
        <v>111</v>
      </c>
      <c r="AA47" s="2966">
        <f t="shared" si="3"/>
        <v>1</v>
      </c>
      <c r="AB47" s="2966">
        <f t="shared" si="4"/>
        <v>1</v>
      </c>
      <c r="AC47" s="2674">
        <f t="shared" si="5"/>
        <v>1</v>
      </c>
    </row>
    <row r="48" spans="1:29" ht="15">
      <c r="A48" s="478" t="s">
        <v>2581</v>
      </c>
      <c r="B48" s="479"/>
      <c r="C48" s="1406" t="s">
        <v>1</v>
      </c>
      <c r="D48" s="1407"/>
      <c r="E48" s="1408">
        <v>4.9000000000000004</v>
      </c>
      <c r="F48" s="1409"/>
      <c r="G48" s="1410">
        <v>5.5</v>
      </c>
      <c r="H48" s="1411"/>
      <c r="I48" s="1408">
        <v>5</v>
      </c>
      <c r="J48" s="484"/>
      <c r="K48" s="782"/>
      <c r="L48" s="1142"/>
      <c r="M48" s="1130"/>
      <c r="N48" s="1130"/>
      <c r="O48" s="1130"/>
      <c r="P48" s="3217" t="str">
        <f>A48</f>
        <v>成交单价（元/平方米）</v>
      </c>
      <c r="Q48" s="3218"/>
      <c r="R48" s="3219">
        <f>E48</f>
        <v>4.9000000000000004</v>
      </c>
      <c r="S48" s="3219"/>
      <c r="T48" s="3219">
        <f>G48</f>
        <v>5.5</v>
      </c>
      <c r="U48" s="3219"/>
      <c r="V48" s="3219">
        <f>I48</f>
        <v>5</v>
      </c>
      <c r="W48" s="3219"/>
      <c r="X48" s="445"/>
      <c r="Y48" s="780"/>
      <c r="Z48" s="445"/>
      <c r="AA48" s="445"/>
      <c r="AB48" s="445"/>
      <c r="AC48" s="629"/>
    </row>
    <row r="49" spans="1:29" ht="15.75" thickBot="1">
      <c r="A49" s="485" t="s">
        <v>2582</v>
      </c>
      <c r="B49" s="486"/>
      <c r="C49" s="1412">
        <f>R50</f>
        <v>5.5</v>
      </c>
      <c r="D49" s="1413"/>
      <c r="E49" s="1414">
        <f>R49</f>
        <v>5.2</v>
      </c>
      <c r="F49" s="1414"/>
      <c r="G49" s="1412">
        <f>T49</f>
        <v>5.9</v>
      </c>
      <c r="H49" s="1413"/>
      <c r="I49" s="1414">
        <f>V49</f>
        <v>5.3</v>
      </c>
      <c r="J49" s="488"/>
      <c r="K49" s="783"/>
      <c r="L49" s="1142"/>
      <c r="M49" s="1130"/>
      <c r="N49" s="1130"/>
      <c r="O49" s="1130"/>
      <c r="P49" s="3217" t="str">
        <f>A49</f>
        <v>比较价值（元/平方米）</v>
      </c>
      <c r="Q49" s="3218"/>
      <c r="R49" s="3219">
        <f>IF(F1="售价",ROUND(PRODUCT(R48,AA7:AA47),0),ROUND(PRODUCT(R48,AA7:AA47),1))</f>
        <v>5.2</v>
      </c>
      <c r="S49" s="3219"/>
      <c r="T49" s="3219">
        <f>IF(F1="售价",ROUND(PRODUCT(T48,AB7:AB47),0),ROUND(PRODUCT(T48,AB7:AB47),1))</f>
        <v>5.9</v>
      </c>
      <c r="U49" s="3219"/>
      <c r="V49" s="3219">
        <f>IF(F1="售价",ROUND(PRODUCT(V48,AC7:AC47),0),ROUND(PRODUCT(V48,AC7:AC47),1))</f>
        <v>5.3</v>
      </c>
      <c r="W49" s="3219"/>
      <c r="X49" s="445"/>
      <c r="Y49" s="445"/>
      <c r="Z49" s="445"/>
      <c r="AA49" s="445"/>
      <c r="AB49" s="445"/>
      <c r="AC49" s="629"/>
    </row>
    <row r="50" spans="1:29" ht="15.75" thickBot="1">
      <c r="A50" s="491" t="s">
        <v>2583</v>
      </c>
      <c r="B50" s="492"/>
      <c r="C50" s="1416">
        <f>R50</f>
        <v>5.5</v>
      </c>
      <c r="D50" s="1416"/>
      <c r="E50" s="1416"/>
      <c r="F50" s="1416"/>
      <c r="G50" s="1416"/>
      <c r="H50" s="1416"/>
      <c r="I50" s="1416"/>
      <c r="J50" s="493"/>
      <c r="K50" s="784"/>
      <c r="L50" s="1142"/>
      <c r="M50" s="1130"/>
      <c r="N50" s="1130"/>
      <c r="O50" s="1130"/>
      <c r="P50" s="3220" t="str">
        <f>A50</f>
        <v>估价对象XX用房的比较价值（楼面单价，元/平方米）</v>
      </c>
      <c r="Q50" s="3221"/>
      <c r="R50" s="3222">
        <f>IF(F1="售价",ROUND(AVERAGE(R49:V49),0),ROUND(AVERAGE(R49:V49),1))</f>
        <v>5.5</v>
      </c>
      <c r="S50" s="3222"/>
      <c r="T50" s="3222"/>
      <c r="U50" s="3222"/>
      <c r="V50" s="3222"/>
      <c r="W50" s="3222"/>
      <c r="X50" s="2654"/>
      <c r="Y50" s="2654"/>
      <c r="Z50" s="2654"/>
      <c r="AA50" s="2654"/>
      <c r="AB50" s="2654"/>
      <c r="AC50" s="2655"/>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2584</v>
      </c>
      <c r="D53" s="497"/>
      <c r="E53" s="498">
        <f>IF(E48&lt;E49,E49/E48-1,E48/E49-1)</f>
        <v>6.1224489795918435E-2</v>
      </c>
      <c r="F53" s="499" t="str">
        <f>IF(OR(E53&gt;=0.3,E53&lt;=-0.3),"超过30%","")</f>
        <v/>
      </c>
      <c r="G53" s="498">
        <f>IF(G48&lt;G49,G49/G48-1,G48/G49-1)</f>
        <v>7.2727272727272751E-2</v>
      </c>
      <c r="H53" s="499" t="str">
        <f>IF(OR(G53&gt;=0.3,G53&lt;=-0.3),"超过30%","")</f>
        <v/>
      </c>
      <c r="I53" s="498">
        <f>IF(I48&lt;I49,I49/I48-1,I48/I49-1)</f>
        <v>6.0000000000000053E-2</v>
      </c>
      <c r="J53" s="499" t="str">
        <f>IF(OR(I53&gt;=0.3,I53&lt;=-0.3),"超过30%","")</f>
        <v/>
      </c>
      <c r="K53" s="1104"/>
      <c r="L53" s="1105"/>
      <c r="M53" s="1143"/>
      <c r="N53" s="1143"/>
      <c r="O53" s="1143"/>
    </row>
    <row r="54" spans="1:29" ht="13.5" customHeight="1">
      <c r="A54" s="1143"/>
      <c r="B54" s="1143"/>
      <c r="C54" s="496" t="s">
        <v>2585</v>
      </c>
      <c r="D54" s="500"/>
      <c r="E54" s="498">
        <f>IF(E49&lt;G49,G49/E49-1,E49/G49-1)</f>
        <v>0.13461538461538458</v>
      </c>
      <c r="F54" s="499" t="str">
        <f>IF(OR(E54&gt;=0.2,E54&lt;=-0.2),"超过20%","")</f>
        <v/>
      </c>
      <c r="G54" s="498">
        <f>IF(G49&lt;I49,I49/G49-1,G49/I49-1)</f>
        <v>0.11320754716981152</v>
      </c>
      <c r="H54" s="499" t="str">
        <f>IF(OR(G54&gt;=0.2,G54&lt;=-0.2),"超过20%","")</f>
        <v/>
      </c>
      <c r="I54" s="498">
        <f>IF(I49&lt;E49,E49/I49-1,I49/E49-1)</f>
        <v>1.9230769230769162E-2</v>
      </c>
      <c r="J54" s="499" t="str">
        <f>IF(OR(I54&gt;=0.2,I54&lt;=-0.2),"超过20%","")</f>
        <v/>
      </c>
      <c r="K54" s="1104"/>
      <c r="L54" s="1105"/>
      <c r="M54" s="1143"/>
      <c r="N54" s="1143"/>
      <c r="O54" s="1143"/>
    </row>
    <row r="55" spans="1:29" s="501" customFormat="1" ht="13.5" customHeight="1">
      <c r="A55" s="1144"/>
      <c r="B55" s="1144"/>
      <c r="C55" s="496" t="s">
        <v>2586</v>
      </c>
      <c r="D55" s="500"/>
      <c r="E55" s="498">
        <f>IF(E48&lt;G48,G48/E48-1,E48/G48-1)</f>
        <v>0.12244897959183665</v>
      </c>
      <c r="F55" s="499" t="str">
        <f>IF(OR(E55&gt;=0.3,E55&lt;=-0.3),"超过30%","")</f>
        <v/>
      </c>
      <c r="G55" s="498">
        <f>IF(G48&lt;I48,I48/G48-1,G48/I48-1)</f>
        <v>0.10000000000000009</v>
      </c>
      <c r="H55" s="499" t="str">
        <f>IF(OR(G55&gt;=0.3,G55&lt;=-0.3),"超过30%","")</f>
        <v/>
      </c>
      <c r="I55" s="498">
        <f>IF(I48&lt;E48,E48/I48-1,I48/E48-1)</f>
        <v>2.0408163265306145E-2</v>
      </c>
      <c r="J55" s="499" t="str">
        <f>IF(OR(I55&gt;=0.3,I55&lt;=-0.3),"超过30%","")</f>
        <v/>
      </c>
      <c r="K55" s="1147"/>
      <c r="L55" s="1148"/>
      <c r="M55" s="1144"/>
      <c r="N55" s="1144"/>
      <c r="O55" s="1144"/>
      <c r="P55" s="2680"/>
    </row>
    <row r="56" spans="1:29" s="501" customFormat="1">
      <c r="A56" s="1144"/>
      <c r="B56" s="1145"/>
      <c r="C56" s="1149"/>
      <c r="D56" s="1144"/>
      <c r="E56" s="1144"/>
      <c r="F56" s="1144"/>
      <c r="G56" s="1144"/>
      <c r="H56" s="1144"/>
      <c r="I56" s="1144"/>
      <c r="J56" s="1144"/>
      <c r="K56" s="1147"/>
      <c r="L56" s="1148"/>
      <c r="M56" s="1144"/>
      <c r="N56" s="1144"/>
      <c r="O56" s="1144"/>
      <c r="P56" s="2680"/>
    </row>
    <row r="57" spans="1:29">
      <c r="A57" s="1143"/>
      <c r="B57" s="1145"/>
      <c r="C57" s="1149"/>
      <c r="D57" s="1143"/>
      <c r="E57" s="1143"/>
      <c r="F57" s="1143"/>
      <c r="G57" s="1143"/>
      <c r="H57" s="1143"/>
      <c r="I57" s="1143"/>
      <c r="J57" s="1143"/>
      <c r="K57" s="1104"/>
      <c r="L57" s="1105"/>
      <c r="M57" s="1143"/>
      <c r="N57" s="1143"/>
      <c r="O57" s="1143"/>
    </row>
    <row r="58" spans="1:29" ht="21.75" thickBot="1">
      <c r="A58" s="762" t="s">
        <v>2587</v>
      </c>
      <c r="B58" s="758"/>
      <c r="C58" s="763"/>
      <c r="D58" s="763"/>
      <c r="E58" s="763"/>
      <c r="F58" s="764"/>
      <c r="G58" s="764"/>
      <c r="H58" s="763"/>
      <c r="I58" s="763"/>
      <c r="J58" s="763"/>
      <c r="K58" s="765"/>
      <c r="L58" s="1160"/>
      <c r="M58" s="1158"/>
      <c r="N58" s="1158"/>
      <c r="O58" s="1158"/>
      <c r="P58" s="2681"/>
      <c r="Q58" s="503"/>
    </row>
    <row r="59" spans="1:29" s="507" customFormat="1" ht="15">
      <c r="A59" s="504" t="s">
        <v>2552</v>
      </c>
      <c r="B59" s="505"/>
      <c r="C59" s="1573" t="str">
        <f>YEAR(C7)&amp;"-"&amp;MONTH(C7)</f>
        <v>2018-6</v>
      </c>
      <c r="D59" s="1574">
        <f>EDATE(C59,-1)</f>
        <v>43221</v>
      </c>
      <c r="E59" s="1574">
        <f>EDATE(D59,-1)</f>
        <v>43191</v>
      </c>
      <c r="F59" s="1574">
        <f t="shared" ref="F59:O59" si="16">EDATE(E59,-1)</f>
        <v>43160</v>
      </c>
      <c r="G59" s="1574">
        <f t="shared" si="16"/>
        <v>43132</v>
      </c>
      <c r="H59" s="1574">
        <f t="shared" si="16"/>
        <v>43101</v>
      </c>
      <c r="I59" s="1574">
        <f t="shared" si="16"/>
        <v>43070</v>
      </c>
      <c r="J59" s="1574">
        <f t="shared" si="16"/>
        <v>43040</v>
      </c>
      <c r="K59" s="1574">
        <f t="shared" si="16"/>
        <v>43009</v>
      </c>
      <c r="L59" s="1574">
        <f t="shared" si="16"/>
        <v>42979</v>
      </c>
      <c r="M59" s="1574">
        <f t="shared" si="16"/>
        <v>42948</v>
      </c>
      <c r="N59" s="1574">
        <f t="shared" si="16"/>
        <v>42917</v>
      </c>
      <c r="O59" s="1574">
        <f t="shared" si="16"/>
        <v>42887</v>
      </c>
      <c r="P59" s="1570"/>
    </row>
    <row r="60" spans="1:29" s="116" customFormat="1" ht="15">
      <c r="A60" s="508"/>
      <c r="B60" s="509"/>
      <c r="C60" s="1572">
        <v>100</v>
      </c>
      <c r="D60" s="511"/>
      <c r="E60" s="511"/>
      <c r="F60" s="511"/>
      <c r="G60" s="511"/>
      <c r="H60" s="511"/>
      <c r="I60" s="511"/>
      <c r="J60" s="511"/>
      <c r="K60" s="511"/>
      <c r="L60" s="511"/>
      <c r="M60" s="512"/>
      <c r="N60" s="511"/>
      <c r="O60" s="512"/>
      <c r="P60" s="2682"/>
    </row>
    <row r="61" spans="1:29" s="116" customFormat="1" ht="15.75" thickBot="1">
      <c r="A61" s="514" t="s">
        <v>2589</v>
      </c>
      <c r="B61" s="515"/>
      <c r="C61" s="516"/>
      <c r="D61" s="517"/>
      <c r="E61" s="517"/>
      <c r="F61" s="517"/>
      <c r="G61" s="517"/>
      <c r="H61" s="517"/>
      <c r="I61" s="517"/>
      <c r="J61" s="517"/>
      <c r="K61" s="517"/>
      <c r="L61" s="517"/>
      <c r="M61" s="518"/>
      <c r="N61" s="517"/>
      <c r="O61" s="518"/>
      <c r="P61" s="2682"/>
      <c r="Q61" s="503"/>
    </row>
    <row r="62" spans="1:29" s="116" customFormat="1" ht="15">
      <c r="A62" s="520" t="s">
        <v>2554</v>
      </c>
      <c r="B62" s="509"/>
      <c r="C62" s="521" t="s">
        <v>2591</v>
      </c>
      <c r="D62" s="522"/>
      <c r="E62" s="522"/>
      <c r="F62" s="522"/>
      <c r="G62" s="522"/>
      <c r="H62" s="522"/>
      <c r="I62" s="522"/>
      <c r="J62" s="522"/>
      <c r="K62" s="522"/>
      <c r="L62" s="523"/>
      <c r="M62" s="524"/>
      <c r="N62" s="1150"/>
      <c r="O62" s="1150"/>
      <c r="P62" s="2683"/>
      <c r="Q62" s="503"/>
    </row>
    <row r="63" spans="1:29" s="116" customFormat="1" ht="15.75" thickBot="1">
      <c r="A63" s="520"/>
      <c r="B63" s="509"/>
      <c r="C63" s="510">
        <v>100</v>
      </c>
      <c r="D63" s="511"/>
      <c r="E63" s="511"/>
      <c r="F63" s="511"/>
      <c r="G63" s="511"/>
      <c r="H63" s="511"/>
      <c r="I63" s="511"/>
      <c r="J63" s="511"/>
      <c r="K63" s="511"/>
      <c r="L63" s="511"/>
      <c r="M63" s="513"/>
      <c r="N63" s="1150"/>
      <c r="O63" s="1150"/>
      <c r="P63" s="2682"/>
      <c r="Q63" s="503"/>
    </row>
    <row r="64" spans="1:29">
      <c r="A64" s="526" t="s">
        <v>2592</v>
      </c>
      <c r="B64" s="527" t="s">
        <v>2558</v>
      </c>
      <c r="C64" s="528" t="str">
        <f>C9</f>
        <v>办公</v>
      </c>
      <c r="D64" s="529"/>
      <c r="E64" s="529"/>
      <c r="F64" s="529"/>
      <c r="G64" s="529"/>
      <c r="H64" s="529"/>
      <c r="I64" s="529"/>
      <c r="J64" s="529"/>
      <c r="K64" s="530"/>
      <c r="L64" s="531"/>
      <c r="M64" s="532"/>
      <c r="N64" s="1151"/>
      <c r="O64" s="1151"/>
      <c r="P64" s="2684"/>
      <c r="Q64" s="503"/>
    </row>
    <row r="65" spans="1:17" ht="15.75" thickBot="1">
      <c r="A65" s="533"/>
      <c r="B65" s="534"/>
      <c r="C65" s="535">
        <v>100</v>
      </c>
      <c r="D65" s="535"/>
      <c r="E65" s="535"/>
      <c r="F65" s="535"/>
      <c r="G65" s="535"/>
      <c r="H65" s="535"/>
      <c r="I65" s="535"/>
      <c r="J65" s="535"/>
      <c r="K65" s="535"/>
      <c r="L65" s="535"/>
      <c r="M65" s="536"/>
      <c r="N65" s="1152"/>
      <c r="O65" s="1152"/>
      <c r="P65" s="2684"/>
      <c r="Q65" s="503"/>
    </row>
    <row r="66" spans="1:17" ht="27.75" thickTop="1">
      <c r="A66" s="533"/>
      <c r="B66" s="537" t="s">
        <v>2561</v>
      </c>
      <c r="C66" s="538" t="s">
        <v>2593</v>
      </c>
      <c r="D66" s="538" t="s">
        <v>2594</v>
      </c>
      <c r="E66" s="538" t="s">
        <v>2595</v>
      </c>
      <c r="F66" s="538" t="s">
        <v>2596</v>
      </c>
      <c r="G66" s="538" t="s">
        <v>2597</v>
      </c>
      <c r="H66" s="538" t="s">
        <v>2598</v>
      </c>
      <c r="I66" s="538" t="s">
        <v>2599</v>
      </c>
      <c r="J66" s="538"/>
      <c r="K66" s="539"/>
      <c r="L66" s="540"/>
      <c r="M66" s="541"/>
      <c r="N66" s="1151"/>
      <c r="O66" s="1151"/>
      <c r="P66" s="2684"/>
      <c r="Q66" s="503"/>
    </row>
    <row r="67" spans="1:17" ht="15.75" thickBot="1">
      <c r="A67" s="533"/>
      <c r="B67" s="542"/>
      <c r="C67" s="543" t="s">
        <v>24</v>
      </c>
      <c r="D67" s="543" t="s">
        <v>25</v>
      </c>
      <c r="E67" s="543">
        <v>100</v>
      </c>
      <c r="F67" s="543">
        <f>E67-$K10</f>
        <v>99</v>
      </c>
      <c r="G67" s="543">
        <f>F67-$K10</f>
        <v>98</v>
      </c>
      <c r="H67" s="543">
        <f>G67-$K10</f>
        <v>97</v>
      </c>
      <c r="I67" s="543">
        <f>H67-$K10</f>
        <v>96</v>
      </c>
      <c r="J67" s="543"/>
      <c r="K67" s="543"/>
      <c r="L67" s="543"/>
      <c r="M67" s="544"/>
      <c r="N67" s="1152"/>
      <c r="O67" s="1152"/>
      <c r="P67" s="2684"/>
      <c r="Q67" s="503"/>
    </row>
    <row r="68" spans="1:17" ht="15.75" thickTop="1">
      <c r="A68" s="533"/>
      <c r="B68" s="545" t="s">
        <v>2562</v>
      </c>
      <c r="C68" s="546" t="str">
        <f>C69&amp;"（含）"&amp;"-"&amp;D69</f>
        <v>0（含）-1</v>
      </c>
      <c r="D68" s="546" t="str">
        <f t="shared" ref="D68:L68" si="17">D69&amp;"（含）"&amp;"-"&amp;E69</f>
        <v>1（含）-2</v>
      </c>
      <c r="E68" s="546" t="str">
        <f t="shared" si="17"/>
        <v>2（含）-3</v>
      </c>
      <c r="F68" s="546" t="str">
        <f t="shared" si="17"/>
        <v>3（含）-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84"/>
      <c r="Q68" s="503"/>
    </row>
    <row r="69" spans="1:17" ht="15">
      <c r="A69" s="533"/>
      <c r="B69" s="547"/>
      <c r="C69" s="548">
        <v>0</v>
      </c>
      <c r="D69" s="548">
        <v>1</v>
      </c>
      <c r="E69" s="548">
        <v>2</v>
      </c>
      <c r="F69" s="548">
        <v>3</v>
      </c>
      <c r="G69" s="548"/>
      <c r="H69" s="548"/>
      <c r="I69" s="548"/>
      <c r="J69" s="548"/>
      <c r="K69" s="549"/>
      <c r="L69" s="550"/>
      <c r="M69" s="551"/>
      <c r="N69" s="1151"/>
      <c r="O69" s="1151"/>
      <c r="P69" s="2684"/>
      <c r="Q69" s="503"/>
    </row>
    <row r="70" spans="1:17" ht="15.75" thickBot="1">
      <c r="A70" s="533"/>
      <c r="B70" s="534"/>
      <c r="C70" s="543">
        <v>100</v>
      </c>
      <c r="D70" s="543">
        <f t="shared" ref="D70:M70" si="18">C70-$K11</f>
        <v>99</v>
      </c>
      <c r="E70" s="543">
        <f t="shared" si="18"/>
        <v>98</v>
      </c>
      <c r="F70" s="543">
        <f t="shared" si="18"/>
        <v>97</v>
      </c>
      <c r="G70" s="543">
        <f t="shared" si="18"/>
        <v>96</v>
      </c>
      <c r="H70" s="543">
        <f t="shared" si="18"/>
        <v>95</v>
      </c>
      <c r="I70" s="543">
        <f t="shared" si="18"/>
        <v>94</v>
      </c>
      <c r="J70" s="543">
        <f t="shared" si="18"/>
        <v>93</v>
      </c>
      <c r="K70" s="543">
        <f t="shared" si="18"/>
        <v>92</v>
      </c>
      <c r="L70" s="543">
        <f t="shared" si="18"/>
        <v>91</v>
      </c>
      <c r="M70" s="544">
        <f t="shared" si="18"/>
        <v>90</v>
      </c>
      <c r="N70" s="1152"/>
      <c r="O70" s="1152"/>
      <c r="P70" s="2684"/>
      <c r="Q70" s="503"/>
    </row>
    <row r="71" spans="1:17" s="470" customFormat="1" ht="15.75" thickTop="1">
      <c r="A71" s="552"/>
      <c r="B71" s="537">
        <f>B12</f>
        <v>111</v>
      </c>
      <c r="C71" s="553"/>
      <c r="D71" s="553"/>
      <c r="E71" s="553"/>
      <c r="F71" s="553"/>
      <c r="G71" s="553"/>
      <c r="H71" s="554"/>
      <c r="I71" s="554"/>
      <c r="J71" s="554"/>
      <c r="K71" s="554"/>
      <c r="L71" s="555"/>
      <c r="M71" s="556"/>
      <c r="N71" s="1153"/>
      <c r="O71" s="1153"/>
      <c r="P71" s="2685"/>
      <c r="Q71" s="558"/>
    </row>
    <row r="72" spans="1:17" s="470" customFormat="1" ht="15.75" thickBot="1">
      <c r="A72" s="552"/>
      <c r="B72" s="542"/>
      <c r="C72" s="559"/>
      <c r="D72" s="535"/>
      <c r="E72" s="535"/>
      <c r="F72" s="535"/>
      <c r="G72" s="535"/>
      <c r="H72" s="535"/>
      <c r="I72" s="535"/>
      <c r="J72" s="535"/>
      <c r="K72" s="535"/>
      <c r="L72" s="535"/>
      <c r="M72" s="536"/>
      <c r="N72" s="1152"/>
      <c r="O72" s="1152"/>
      <c r="P72" s="2685"/>
      <c r="Q72" s="558"/>
    </row>
    <row r="73" spans="1:17" s="470" customFormat="1" ht="15.75" thickTop="1">
      <c r="A73" s="552"/>
      <c r="B73" s="537">
        <f>B13</f>
        <v>111</v>
      </c>
      <c r="C73" s="553"/>
      <c r="D73" s="553"/>
      <c r="E73" s="553"/>
      <c r="F73" s="553"/>
      <c r="G73" s="553"/>
      <c r="H73" s="554"/>
      <c r="I73" s="554"/>
      <c r="J73" s="554"/>
      <c r="K73" s="554"/>
      <c r="L73" s="555"/>
      <c r="M73" s="556"/>
      <c r="N73" s="1153"/>
      <c r="O73" s="1153"/>
      <c r="P73" s="2686"/>
      <c r="Q73" s="560"/>
    </row>
    <row r="74" spans="1:17" s="470" customFormat="1" ht="15.75" thickBot="1">
      <c r="A74" s="552"/>
      <c r="B74" s="542"/>
      <c r="C74" s="559"/>
      <c r="D74" s="559"/>
      <c r="E74" s="559"/>
      <c r="F74" s="559"/>
      <c r="G74" s="559"/>
      <c r="H74" s="561"/>
      <c r="I74" s="561"/>
      <c r="J74" s="561"/>
      <c r="K74" s="561"/>
      <c r="L74" s="561"/>
      <c r="M74" s="562"/>
      <c r="N74" s="1153"/>
      <c r="O74" s="1153"/>
      <c r="P74" s="2685"/>
      <c r="Q74" s="558"/>
    </row>
    <row r="75" spans="1:17" s="470" customFormat="1" ht="15.75" thickTop="1">
      <c r="A75" s="552"/>
      <c r="B75" s="545">
        <f>B14</f>
        <v>111</v>
      </c>
      <c r="C75" s="522"/>
      <c r="D75" s="522"/>
      <c r="E75" s="522"/>
      <c r="F75" s="522"/>
      <c r="G75" s="522"/>
      <c r="H75" s="563"/>
      <c r="I75" s="563"/>
      <c r="J75" s="563"/>
      <c r="K75" s="563"/>
      <c r="L75" s="564"/>
      <c r="M75" s="565"/>
      <c r="N75" s="1153"/>
      <c r="O75" s="1153"/>
      <c r="P75" s="2687"/>
      <c r="Q75" s="558"/>
    </row>
    <row r="76" spans="1:17" s="470" customFormat="1" ht="15.75" thickBot="1">
      <c r="A76" s="567"/>
      <c r="B76" s="568"/>
      <c r="C76" s="569"/>
      <c r="D76" s="569"/>
      <c r="E76" s="569"/>
      <c r="F76" s="569"/>
      <c r="G76" s="569"/>
      <c r="H76" s="570"/>
      <c r="I76" s="570"/>
      <c r="J76" s="570"/>
      <c r="K76" s="570"/>
      <c r="L76" s="570"/>
      <c r="M76" s="571"/>
      <c r="N76" s="1153"/>
      <c r="O76" s="1153"/>
      <c r="P76" s="2685"/>
      <c r="Q76" s="558"/>
    </row>
    <row r="77" spans="1:17">
      <c r="A77" s="526" t="s">
        <v>2563</v>
      </c>
      <c r="B77" s="527" t="s">
        <v>2701</v>
      </c>
      <c r="C77" s="572" t="s">
        <v>2601</v>
      </c>
      <c r="D77" s="572" t="s">
        <v>2602</v>
      </c>
      <c r="E77" s="572" t="s">
        <v>2603</v>
      </c>
      <c r="F77" s="572" t="s">
        <v>2604</v>
      </c>
      <c r="G77" s="572" t="s">
        <v>2605</v>
      </c>
      <c r="H77" s="528"/>
      <c r="I77" s="528"/>
      <c r="J77" s="528"/>
      <c r="K77" s="573"/>
      <c r="L77" s="574"/>
      <c r="M77" s="575"/>
      <c r="N77" s="1151"/>
      <c r="O77" s="1151"/>
      <c r="P77" s="2688"/>
      <c r="Q77" s="503"/>
    </row>
    <row r="78" spans="1:17" ht="15.75" thickBot="1">
      <c r="A78" s="533"/>
      <c r="B78" s="542"/>
      <c r="C78" s="543">
        <v>100</v>
      </c>
      <c r="D78" s="543">
        <f>C78-$K15</f>
        <v>97</v>
      </c>
      <c r="E78" s="543">
        <f>D78-$K15</f>
        <v>94</v>
      </c>
      <c r="F78" s="543">
        <f>E78-$K15</f>
        <v>91</v>
      </c>
      <c r="G78" s="543">
        <f>F78-$K15</f>
        <v>88</v>
      </c>
      <c r="H78" s="543"/>
      <c r="I78" s="543"/>
      <c r="J78" s="543"/>
      <c r="K78" s="543"/>
      <c r="L78" s="543"/>
      <c r="M78" s="544"/>
      <c r="N78" s="1152"/>
      <c r="O78" s="1152"/>
      <c r="P78" s="2684"/>
      <c r="Q78" s="503"/>
    </row>
    <row r="79" spans="1:17" ht="15.75" thickTop="1">
      <c r="A79" s="533"/>
      <c r="B79" s="537" t="s">
        <v>2606</v>
      </c>
      <c r="C79" s="577" t="s">
        <v>2601</v>
      </c>
      <c r="D79" s="577" t="s">
        <v>2602</v>
      </c>
      <c r="E79" s="577" t="s">
        <v>2603</v>
      </c>
      <c r="F79" s="577" t="s">
        <v>2604</v>
      </c>
      <c r="G79" s="577" t="s">
        <v>2605</v>
      </c>
      <c r="H79" s="538"/>
      <c r="I79" s="538"/>
      <c r="J79" s="538"/>
      <c r="K79" s="539"/>
      <c r="L79" s="540"/>
      <c r="M79" s="541"/>
      <c r="N79" s="1151"/>
      <c r="O79" s="1151"/>
      <c r="P79" s="2684"/>
      <c r="Q79" s="503"/>
    </row>
    <row r="80" spans="1:17" ht="15.75" thickBot="1">
      <c r="A80" s="533"/>
      <c r="B80" s="542"/>
      <c r="C80" s="543">
        <v>100</v>
      </c>
      <c r="D80" s="543">
        <f>C80-$K17</f>
        <v>97</v>
      </c>
      <c r="E80" s="543">
        <f>D80-$K17</f>
        <v>94</v>
      </c>
      <c r="F80" s="543">
        <f>E80-$K17</f>
        <v>91</v>
      </c>
      <c r="G80" s="543">
        <f>F80-$K17</f>
        <v>88</v>
      </c>
      <c r="H80" s="543"/>
      <c r="I80" s="543"/>
      <c r="J80" s="543"/>
      <c r="K80" s="543"/>
      <c r="L80" s="543"/>
      <c r="M80" s="544"/>
      <c r="N80" s="1152"/>
      <c r="O80" s="1152"/>
      <c r="P80" s="2684"/>
      <c r="Q80" s="503"/>
    </row>
    <row r="81" spans="1:17" ht="15.75" thickTop="1">
      <c r="A81" s="533"/>
      <c r="B81" s="537" t="s">
        <v>2607</v>
      </c>
      <c r="C81" s="577" t="s">
        <v>2601</v>
      </c>
      <c r="D81" s="577" t="s">
        <v>2602</v>
      </c>
      <c r="E81" s="577" t="s">
        <v>2603</v>
      </c>
      <c r="F81" s="577" t="s">
        <v>2604</v>
      </c>
      <c r="G81" s="577" t="s">
        <v>2605</v>
      </c>
      <c r="H81" s="538"/>
      <c r="I81" s="538"/>
      <c r="J81" s="538"/>
      <c r="K81" s="539"/>
      <c r="L81" s="540"/>
      <c r="M81" s="541"/>
      <c r="N81" s="1151"/>
      <c r="O81" s="1151"/>
      <c r="P81" s="2684"/>
      <c r="Q81" s="503"/>
    </row>
    <row r="82" spans="1:17" ht="15.75" thickBot="1">
      <c r="A82" s="533"/>
      <c r="B82" s="542"/>
      <c r="C82" s="543">
        <v>100</v>
      </c>
      <c r="D82" s="543">
        <f>C82-$K19</f>
        <v>97</v>
      </c>
      <c r="E82" s="543">
        <f>D82-$K19</f>
        <v>94</v>
      </c>
      <c r="F82" s="543">
        <f>E82-$K19</f>
        <v>91</v>
      </c>
      <c r="G82" s="543">
        <f>F82-$K19</f>
        <v>88</v>
      </c>
      <c r="H82" s="543"/>
      <c r="I82" s="543"/>
      <c r="J82" s="543"/>
      <c r="K82" s="543"/>
      <c r="L82" s="543"/>
      <c r="M82" s="544"/>
      <c r="N82" s="1152"/>
      <c r="O82" s="1152"/>
      <c r="P82" s="2684"/>
      <c r="Q82" s="503"/>
    </row>
    <row r="83" spans="1:17" ht="15.75" thickTop="1">
      <c r="A83" s="533"/>
      <c r="B83" s="545" t="s">
        <v>2693</v>
      </c>
      <c r="C83" s="659" t="s">
        <v>2679</v>
      </c>
      <c r="D83" s="659" t="s">
        <v>2680</v>
      </c>
      <c r="E83" s="659" t="s">
        <v>2681</v>
      </c>
      <c r="F83" s="659" t="s">
        <v>2682</v>
      </c>
      <c r="G83" s="659" t="s">
        <v>2683</v>
      </c>
      <c r="H83" s="538"/>
      <c r="I83" s="538"/>
      <c r="J83" s="538"/>
      <c r="K83" s="538"/>
      <c r="L83" s="538"/>
      <c r="M83" s="1381"/>
      <c r="N83" s="1152"/>
      <c r="O83" s="1152"/>
      <c r="P83" s="2684"/>
      <c r="Q83" s="503"/>
    </row>
    <row r="84" spans="1:17" ht="15.75" thickBot="1">
      <c r="A84" s="533"/>
      <c r="B84" s="545"/>
      <c r="C84" s="543">
        <v>100</v>
      </c>
      <c r="D84" s="543">
        <f>C84-$K21</f>
        <v>98</v>
      </c>
      <c r="E84" s="543">
        <f>D84-$K21</f>
        <v>96</v>
      </c>
      <c r="F84" s="543">
        <f>E84-$K21</f>
        <v>94</v>
      </c>
      <c r="G84" s="543">
        <f>F84-$K21</f>
        <v>92</v>
      </c>
      <c r="H84" s="659"/>
      <c r="I84" s="659"/>
      <c r="J84" s="659"/>
      <c r="K84" s="659"/>
      <c r="L84" s="659"/>
      <c r="M84" s="449"/>
      <c r="N84" s="1152"/>
      <c r="O84" s="1152"/>
      <c r="P84" s="2684"/>
      <c r="Q84" s="503"/>
    </row>
    <row r="85" spans="1:17" ht="15.75" thickTop="1">
      <c r="A85" s="533"/>
      <c r="B85" s="537" t="s">
        <v>2702</v>
      </c>
      <c r="C85" s="577" t="s">
        <v>2601</v>
      </c>
      <c r="D85" s="577" t="s">
        <v>2602</v>
      </c>
      <c r="E85" s="577" t="s">
        <v>2603</v>
      </c>
      <c r="F85" s="577" t="s">
        <v>2604</v>
      </c>
      <c r="G85" s="577" t="s">
        <v>2605</v>
      </c>
      <c r="H85" s="538"/>
      <c r="I85" s="538"/>
      <c r="J85" s="538"/>
      <c r="K85" s="539"/>
      <c r="L85" s="540"/>
      <c r="M85" s="541"/>
      <c r="N85" s="1151"/>
      <c r="O85" s="1151"/>
      <c r="P85" s="2684"/>
      <c r="Q85" s="503"/>
    </row>
    <row r="86" spans="1:17" ht="15.75" thickBot="1">
      <c r="A86" s="533"/>
      <c r="B86" s="542"/>
      <c r="C86" s="543">
        <v>100</v>
      </c>
      <c r="D86" s="543">
        <f>C86-$K23</f>
        <v>97</v>
      </c>
      <c r="E86" s="543">
        <f>D86-$K23</f>
        <v>94</v>
      </c>
      <c r="F86" s="543">
        <f>E86-$K23</f>
        <v>91</v>
      </c>
      <c r="G86" s="543">
        <f>F86-$K23</f>
        <v>88</v>
      </c>
      <c r="H86" s="543"/>
      <c r="I86" s="543"/>
      <c r="J86" s="543"/>
      <c r="K86" s="543"/>
      <c r="L86" s="543"/>
      <c r="M86" s="544"/>
      <c r="N86" s="1152"/>
      <c r="O86" s="1152"/>
      <c r="P86" s="2684"/>
      <c r="Q86" s="503"/>
    </row>
    <row r="87" spans="1:17" s="116" customFormat="1" ht="27.75" thickTop="1">
      <c r="A87" s="578"/>
      <c r="B87" s="537" t="s">
        <v>2703</v>
      </c>
      <c r="C87" s="2972" t="s">
        <v>3072</v>
      </c>
      <c r="D87" s="2972" t="s">
        <v>3073</v>
      </c>
      <c r="E87" s="2972" t="s">
        <v>3074</v>
      </c>
      <c r="F87" s="2972" t="s">
        <v>3075</v>
      </c>
      <c r="G87" s="2972" t="s">
        <v>3076</v>
      </c>
      <c r="H87" s="553"/>
      <c r="I87" s="553"/>
      <c r="J87" s="553"/>
      <c r="K87" s="553"/>
      <c r="L87" s="579"/>
      <c r="M87" s="580"/>
      <c r="N87" s="1150"/>
      <c r="O87" s="1150"/>
      <c r="P87" s="2684"/>
      <c r="Q87" s="503"/>
    </row>
    <row r="88" spans="1:17" s="116" customFormat="1" ht="15.75" thickBot="1">
      <c r="A88" s="578"/>
      <c r="B88" s="542"/>
      <c r="C88" s="581">
        <v>100</v>
      </c>
      <c r="D88" s="543">
        <f t="shared" ref="D88:M88" si="19">C88-$K25</f>
        <v>98</v>
      </c>
      <c r="E88" s="543">
        <f t="shared" si="19"/>
        <v>96</v>
      </c>
      <c r="F88" s="543">
        <f t="shared" si="19"/>
        <v>94</v>
      </c>
      <c r="G88" s="543">
        <f t="shared" si="19"/>
        <v>92</v>
      </c>
      <c r="H88" s="543">
        <f t="shared" si="19"/>
        <v>90</v>
      </c>
      <c r="I88" s="543">
        <f t="shared" si="19"/>
        <v>88</v>
      </c>
      <c r="J88" s="543">
        <f t="shared" si="19"/>
        <v>86</v>
      </c>
      <c r="K88" s="543">
        <f t="shared" si="19"/>
        <v>84</v>
      </c>
      <c r="L88" s="543">
        <f t="shared" si="19"/>
        <v>82</v>
      </c>
      <c r="M88" s="543">
        <f t="shared" si="19"/>
        <v>80</v>
      </c>
      <c r="N88" s="1152"/>
      <c r="O88" s="1152"/>
      <c r="P88" s="2684"/>
      <c r="Q88" s="503"/>
    </row>
    <row r="89" spans="1:17" s="116" customFormat="1" ht="15.75" thickTop="1">
      <c r="A89" s="578"/>
      <c r="B89" s="537" t="str">
        <f>B27</f>
        <v>楼层</v>
      </c>
      <c r="C89" s="2972" t="s">
        <v>3077</v>
      </c>
      <c r="D89" s="2972" t="s">
        <v>3078</v>
      </c>
      <c r="E89" s="2972" t="s">
        <v>3079</v>
      </c>
      <c r="F89" s="2972"/>
      <c r="G89" s="553"/>
      <c r="H89" s="553"/>
      <c r="I89" s="553"/>
      <c r="J89" s="553"/>
      <c r="K89" s="553"/>
      <c r="L89" s="553"/>
      <c r="M89" s="580"/>
      <c r="N89" s="1150"/>
      <c r="O89" s="1150"/>
      <c r="P89" s="2684"/>
      <c r="Q89" s="503"/>
    </row>
    <row r="90" spans="1:17" s="116" customFormat="1" ht="15.75" thickBot="1">
      <c r="A90" s="578"/>
      <c r="B90" s="542"/>
      <c r="C90" s="581">
        <v>100</v>
      </c>
      <c r="D90" s="543">
        <f>C90-$K27</f>
        <v>98</v>
      </c>
      <c r="E90" s="543">
        <f t="shared" ref="E90:M90" si="20">D90-$K27</f>
        <v>96</v>
      </c>
      <c r="F90" s="543">
        <f t="shared" si="20"/>
        <v>94</v>
      </c>
      <c r="G90" s="543">
        <f t="shared" si="20"/>
        <v>92</v>
      </c>
      <c r="H90" s="543">
        <f t="shared" si="20"/>
        <v>90</v>
      </c>
      <c r="I90" s="543">
        <f t="shared" si="20"/>
        <v>88</v>
      </c>
      <c r="J90" s="543">
        <f t="shared" si="20"/>
        <v>86</v>
      </c>
      <c r="K90" s="543">
        <f t="shared" si="20"/>
        <v>84</v>
      </c>
      <c r="L90" s="543">
        <f t="shared" si="20"/>
        <v>82</v>
      </c>
      <c r="M90" s="543">
        <f t="shared" si="20"/>
        <v>80</v>
      </c>
      <c r="N90" s="1152"/>
      <c r="O90" s="1152"/>
      <c r="P90" s="2684"/>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85"/>
      <c r="Q91" s="558"/>
    </row>
    <row r="92" spans="1:17" s="470" customFormat="1" ht="15.75" thickBot="1">
      <c r="A92" s="552"/>
      <c r="B92" s="542"/>
      <c r="C92" s="581">
        <v>100</v>
      </c>
      <c r="D92" s="543">
        <f t="shared" ref="D92:M92" si="21">C92-$K28</f>
        <v>98</v>
      </c>
      <c r="E92" s="543">
        <f t="shared" si="21"/>
        <v>96</v>
      </c>
      <c r="F92" s="543">
        <f t="shared" si="21"/>
        <v>94</v>
      </c>
      <c r="G92" s="543">
        <f t="shared" si="21"/>
        <v>92</v>
      </c>
      <c r="H92" s="543">
        <f t="shared" si="21"/>
        <v>90</v>
      </c>
      <c r="I92" s="543">
        <f t="shared" si="21"/>
        <v>88</v>
      </c>
      <c r="J92" s="543">
        <f t="shared" si="21"/>
        <v>86</v>
      </c>
      <c r="K92" s="543">
        <f t="shared" si="21"/>
        <v>84</v>
      </c>
      <c r="L92" s="543">
        <f t="shared" si="21"/>
        <v>82</v>
      </c>
      <c r="M92" s="543">
        <f t="shared" si="21"/>
        <v>80</v>
      </c>
      <c r="N92" s="1153"/>
      <c r="O92" s="1153"/>
      <c r="P92" s="2685"/>
      <c r="Q92" s="558"/>
    </row>
    <row r="93" spans="1:17" ht="15.75" thickTop="1">
      <c r="A93" s="533"/>
      <c r="B93" s="537">
        <f>B29</f>
        <v>111</v>
      </c>
      <c r="C93" s="553"/>
      <c r="D93" s="553"/>
      <c r="E93" s="553"/>
      <c r="F93" s="553"/>
      <c r="G93" s="553"/>
      <c r="H93" s="553"/>
      <c r="I93" s="553"/>
      <c r="J93" s="553"/>
      <c r="K93" s="553"/>
      <c r="L93" s="579"/>
      <c r="M93" s="580"/>
      <c r="N93" s="1151"/>
      <c r="O93" s="1151"/>
      <c r="P93" s="2684"/>
      <c r="Q93" s="503"/>
    </row>
    <row r="94" spans="1:17" ht="15.75" thickBot="1">
      <c r="A94" s="533"/>
      <c r="B94" s="542"/>
      <c r="C94" s="559"/>
      <c r="D94" s="535"/>
      <c r="E94" s="535"/>
      <c r="F94" s="535"/>
      <c r="G94" s="535"/>
      <c r="H94" s="535"/>
      <c r="I94" s="535"/>
      <c r="J94" s="535"/>
      <c r="K94" s="535"/>
      <c r="L94" s="535"/>
      <c r="M94" s="536"/>
      <c r="N94" s="1152"/>
      <c r="O94" s="1152"/>
      <c r="P94" s="2684"/>
      <c r="Q94" s="503"/>
    </row>
    <row r="95" spans="1:17" ht="15.75" thickTop="1">
      <c r="A95" s="533"/>
      <c r="B95" s="537">
        <f>B30</f>
        <v>111</v>
      </c>
      <c r="C95" s="553"/>
      <c r="D95" s="553"/>
      <c r="E95" s="553"/>
      <c r="F95" s="553"/>
      <c r="G95" s="582"/>
      <c r="H95" s="582"/>
      <c r="I95" s="582"/>
      <c r="J95" s="582"/>
      <c r="K95" s="583"/>
      <c r="L95" s="584"/>
      <c r="M95" s="585"/>
      <c r="N95" s="1151"/>
      <c r="O95" s="1151"/>
      <c r="P95" s="2684"/>
      <c r="Q95" s="503"/>
    </row>
    <row r="96" spans="1:17" ht="15.75" thickBot="1">
      <c r="A96" s="533"/>
      <c r="B96" s="542"/>
      <c r="C96" s="559"/>
      <c r="D96" s="559"/>
      <c r="E96" s="559"/>
      <c r="F96" s="559"/>
      <c r="G96" s="535"/>
      <c r="H96" s="535"/>
      <c r="I96" s="535"/>
      <c r="J96" s="535"/>
      <c r="K96" s="535"/>
      <c r="L96" s="535"/>
      <c r="M96" s="536"/>
      <c r="N96" s="1152"/>
      <c r="O96" s="1152"/>
      <c r="P96" s="2684"/>
      <c r="Q96" s="503"/>
    </row>
    <row r="97" spans="1:17" ht="15.75" thickTop="1">
      <c r="A97" s="533"/>
      <c r="B97" s="537">
        <f>B31</f>
        <v>111</v>
      </c>
      <c r="C97" s="553"/>
      <c r="D97" s="553"/>
      <c r="E97" s="553"/>
      <c r="F97" s="553"/>
      <c r="G97" s="582"/>
      <c r="H97" s="582"/>
      <c r="I97" s="582"/>
      <c r="J97" s="582"/>
      <c r="K97" s="583"/>
      <c r="L97" s="584"/>
      <c r="M97" s="585"/>
      <c r="N97" s="1151"/>
      <c r="O97" s="1151"/>
      <c r="P97" s="2684"/>
      <c r="Q97" s="503"/>
    </row>
    <row r="98" spans="1:17" ht="15.75" thickBot="1">
      <c r="A98" s="533"/>
      <c r="B98" s="542"/>
      <c r="C98" s="559"/>
      <c r="D98" s="535"/>
      <c r="E98" s="535"/>
      <c r="F98" s="535"/>
      <c r="G98" s="535"/>
      <c r="H98" s="535"/>
      <c r="I98" s="535"/>
      <c r="J98" s="535"/>
      <c r="K98" s="535"/>
      <c r="L98" s="535"/>
      <c r="M98" s="536"/>
      <c r="N98" s="1152"/>
      <c r="O98" s="1152"/>
      <c r="P98" s="2684"/>
      <c r="Q98" s="503"/>
    </row>
    <row r="99" spans="1:17" ht="15.75" thickTop="1">
      <c r="A99" s="533"/>
      <c r="B99" s="545">
        <f>B32</f>
        <v>111</v>
      </c>
      <c r="C99" s="522"/>
      <c r="D99" s="522"/>
      <c r="E99" s="522"/>
      <c r="F99" s="522"/>
      <c r="G99" s="586"/>
      <c r="H99" s="586"/>
      <c r="I99" s="586"/>
      <c r="J99" s="586"/>
      <c r="K99" s="587"/>
      <c r="L99" s="588"/>
      <c r="M99" s="589"/>
      <c r="N99" s="1151"/>
      <c r="O99" s="1151"/>
      <c r="P99" s="2684"/>
      <c r="Q99" s="503"/>
    </row>
    <row r="100" spans="1:17" ht="15.75" thickBot="1">
      <c r="A100" s="2636"/>
      <c r="B100" s="568"/>
      <c r="C100" s="569"/>
      <c r="D100" s="569"/>
      <c r="E100" s="569"/>
      <c r="F100" s="569"/>
      <c r="G100" s="590"/>
      <c r="H100" s="590"/>
      <c r="I100" s="590"/>
      <c r="J100" s="590"/>
      <c r="K100" s="590"/>
      <c r="L100" s="590"/>
      <c r="M100" s="591"/>
      <c r="N100" s="1152"/>
      <c r="O100" s="1152"/>
      <c r="P100" s="2684"/>
      <c r="Q100" s="503"/>
    </row>
    <row r="101" spans="1:17">
      <c r="A101" s="526" t="s">
        <v>2567</v>
      </c>
      <c r="B101" s="527" t="s">
        <v>2616</v>
      </c>
      <c r="C101" s="2973" t="s">
        <v>3080</v>
      </c>
      <c r="D101" s="2973" t="s">
        <v>3081</v>
      </c>
      <c r="E101" s="529"/>
      <c r="F101" s="529"/>
      <c r="G101" s="529"/>
      <c r="H101" s="529"/>
      <c r="I101" s="529"/>
      <c r="J101" s="529"/>
      <c r="K101" s="530"/>
      <c r="L101" s="531"/>
      <c r="M101" s="532"/>
      <c r="N101" s="1151"/>
      <c r="O101" s="1151"/>
      <c r="P101" s="2684"/>
      <c r="Q101" s="503"/>
    </row>
    <row r="102" spans="1:17" ht="15.75" thickBot="1">
      <c r="A102" s="533"/>
      <c r="B102" s="542"/>
      <c r="C102" s="543">
        <v>100</v>
      </c>
      <c r="D102" s="543">
        <f t="shared" ref="D102:M102" si="22">C102-$K33</f>
        <v>99</v>
      </c>
      <c r="E102" s="543">
        <f t="shared" si="22"/>
        <v>98</v>
      </c>
      <c r="F102" s="543">
        <f t="shared" si="22"/>
        <v>97</v>
      </c>
      <c r="G102" s="543">
        <f t="shared" si="22"/>
        <v>96</v>
      </c>
      <c r="H102" s="543">
        <f t="shared" si="22"/>
        <v>95</v>
      </c>
      <c r="I102" s="543">
        <f t="shared" si="22"/>
        <v>94</v>
      </c>
      <c r="J102" s="543">
        <f t="shared" si="22"/>
        <v>93</v>
      </c>
      <c r="K102" s="543">
        <f t="shared" si="22"/>
        <v>92</v>
      </c>
      <c r="L102" s="543">
        <f t="shared" si="22"/>
        <v>91</v>
      </c>
      <c r="M102" s="544">
        <f t="shared" si="22"/>
        <v>90</v>
      </c>
      <c r="N102" s="1152"/>
      <c r="O102" s="1152"/>
      <c r="P102" s="2684"/>
      <c r="Q102" s="503"/>
    </row>
    <row r="103" spans="1:17" ht="29.25" thickTop="1">
      <c r="A103" s="533"/>
      <c r="B103" s="537" t="s">
        <v>2617</v>
      </c>
      <c r="C103" s="577" t="str">
        <f>C104&amp;"(含)"&amp;"-"&amp;D104</f>
        <v>0(含)-200</v>
      </c>
      <c r="D103" s="577" t="str">
        <f t="shared" ref="D103:L103" si="23">D104&amp;"(含)"&amp;"-"&amp;E104</f>
        <v>200(含)-400</v>
      </c>
      <c r="E103" s="577" t="str">
        <f t="shared" si="23"/>
        <v>400(含)-600</v>
      </c>
      <c r="F103" s="577" t="str">
        <f t="shared" si="23"/>
        <v>600(含)-800</v>
      </c>
      <c r="G103" s="577" t="str">
        <f t="shared" si="23"/>
        <v>800(含)-1000</v>
      </c>
      <c r="H103" s="577" t="str">
        <f t="shared" si="23"/>
        <v>1000(含)-2000</v>
      </c>
      <c r="I103" s="577" t="str">
        <f t="shared" si="23"/>
        <v>2000(含)-5000</v>
      </c>
      <c r="J103" s="577" t="str">
        <f t="shared" si="23"/>
        <v>5000(含)-10000</v>
      </c>
      <c r="K103" s="577" t="str">
        <f t="shared" si="23"/>
        <v>10000(含)-20000</v>
      </c>
      <c r="L103" s="577" t="str">
        <f t="shared" si="23"/>
        <v>20000(含)-</v>
      </c>
      <c r="M103" s="621" t="str">
        <f>M104&amp;"(含)"&amp;"-"&amp;P104</f>
        <v>(含)-</v>
      </c>
      <c r="N103" s="1150"/>
      <c r="O103" s="1150"/>
      <c r="P103" s="2684"/>
      <c r="Q103" s="503"/>
    </row>
    <row r="104" spans="1:17" s="470" customFormat="1">
      <c r="A104" s="592"/>
      <c r="B104" s="593"/>
      <c r="C104" s="594">
        <v>0</v>
      </c>
      <c r="D104" s="594">
        <v>200</v>
      </c>
      <c r="E104" s="594">
        <v>400</v>
      </c>
      <c r="F104" s="594">
        <v>600</v>
      </c>
      <c r="G104" s="594">
        <v>800</v>
      </c>
      <c r="H104" s="594">
        <v>1000</v>
      </c>
      <c r="I104" s="594">
        <v>2000</v>
      </c>
      <c r="J104" s="595">
        <v>5000</v>
      </c>
      <c r="K104" s="595">
        <v>10000</v>
      </c>
      <c r="L104" s="596">
        <v>20000</v>
      </c>
      <c r="M104" s="597"/>
      <c r="N104" s="1153"/>
      <c r="O104" s="1153"/>
      <c r="P104" s="2685"/>
      <c r="Q104" s="558"/>
    </row>
    <row r="105" spans="1:17" s="470" customFormat="1" ht="15.75" thickBot="1">
      <c r="A105" s="552"/>
      <c r="B105" s="542"/>
      <c r="C105" s="559">
        <v>98</v>
      </c>
      <c r="D105" s="535">
        <v>99</v>
      </c>
      <c r="E105" s="535">
        <v>100</v>
      </c>
      <c r="F105" s="535">
        <v>99</v>
      </c>
      <c r="G105" s="535">
        <v>98</v>
      </c>
      <c r="H105" s="535">
        <v>97</v>
      </c>
      <c r="I105" s="535">
        <v>96</v>
      </c>
      <c r="J105" s="535">
        <v>95</v>
      </c>
      <c r="K105" s="535">
        <v>94</v>
      </c>
      <c r="L105" s="535">
        <v>93</v>
      </c>
      <c r="M105" s="536"/>
      <c r="N105" s="1152"/>
      <c r="O105" s="1152"/>
      <c r="P105" s="2685"/>
      <c r="Q105" s="558"/>
    </row>
    <row r="106" spans="1:17" ht="15" thickTop="1">
      <c r="A106" s="598"/>
      <c r="B106" s="537" t="s">
        <v>2618</v>
      </c>
      <c r="C106" s="2972" t="s">
        <v>3082</v>
      </c>
      <c r="D106" s="2972" t="s">
        <v>3083</v>
      </c>
      <c r="E106" s="2974" t="s">
        <v>3084</v>
      </c>
      <c r="F106" s="582"/>
      <c r="G106" s="582"/>
      <c r="H106" s="582"/>
      <c r="I106" s="582"/>
      <c r="J106" s="582"/>
      <c r="K106" s="583"/>
      <c r="L106" s="584"/>
      <c r="M106" s="585"/>
      <c r="N106" s="1151"/>
      <c r="O106" s="1151"/>
      <c r="P106" s="2684"/>
      <c r="Q106" s="503"/>
    </row>
    <row r="107" spans="1:17" ht="15.75" thickBot="1">
      <c r="A107" s="533"/>
      <c r="B107" s="542"/>
      <c r="C107" s="543">
        <v>100</v>
      </c>
      <c r="D107" s="543">
        <f t="shared" ref="D107:M107" si="24">C107-$K35</f>
        <v>98</v>
      </c>
      <c r="E107" s="543">
        <f t="shared" si="24"/>
        <v>96</v>
      </c>
      <c r="F107" s="543">
        <f t="shared" si="24"/>
        <v>94</v>
      </c>
      <c r="G107" s="543">
        <f t="shared" si="24"/>
        <v>92</v>
      </c>
      <c r="H107" s="543">
        <f t="shared" si="24"/>
        <v>90</v>
      </c>
      <c r="I107" s="543">
        <f t="shared" si="24"/>
        <v>88</v>
      </c>
      <c r="J107" s="543">
        <f t="shared" si="24"/>
        <v>86</v>
      </c>
      <c r="K107" s="543">
        <f t="shared" si="24"/>
        <v>84</v>
      </c>
      <c r="L107" s="543">
        <f t="shared" si="24"/>
        <v>82</v>
      </c>
      <c r="M107" s="544">
        <f t="shared" si="24"/>
        <v>80</v>
      </c>
      <c r="N107" s="1152"/>
      <c r="O107" s="1152"/>
      <c r="P107" s="2684"/>
      <c r="Q107" s="503"/>
    </row>
    <row r="108" spans="1:17" ht="15" thickTop="1">
      <c r="A108" s="598"/>
      <c r="B108" s="537" t="s">
        <v>2620</v>
      </c>
      <c r="C108" s="2972" t="s">
        <v>3085</v>
      </c>
      <c r="D108" s="2972" t="s">
        <v>3086</v>
      </c>
      <c r="E108" s="2972" t="s">
        <v>3087</v>
      </c>
      <c r="F108" s="2974" t="s">
        <v>3088</v>
      </c>
      <c r="G108" s="582"/>
      <c r="H108" s="582"/>
      <c r="I108" s="582"/>
      <c r="J108" s="582"/>
      <c r="K108" s="583"/>
      <c r="L108" s="584"/>
      <c r="M108" s="585"/>
      <c r="N108" s="1151"/>
      <c r="O108" s="1151"/>
      <c r="P108" s="2684"/>
      <c r="Q108" s="503"/>
    </row>
    <row r="109" spans="1:17" ht="15.75" thickBot="1">
      <c r="A109" s="533"/>
      <c r="B109" s="542"/>
      <c r="C109" s="543">
        <v>100</v>
      </c>
      <c r="D109" s="543">
        <f t="shared" ref="D109:M109" si="25">C109-$K36</f>
        <v>97</v>
      </c>
      <c r="E109" s="543">
        <f t="shared" si="25"/>
        <v>94</v>
      </c>
      <c r="F109" s="543">
        <f t="shared" si="25"/>
        <v>91</v>
      </c>
      <c r="G109" s="543">
        <f t="shared" si="25"/>
        <v>88</v>
      </c>
      <c r="H109" s="543">
        <f t="shared" si="25"/>
        <v>85</v>
      </c>
      <c r="I109" s="543">
        <f t="shared" si="25"/>
        <v>82</v>
      </c>
      <c r="J109" s="543">
        <f t="shared" si="25"/>
        <v>79</v>
      </c>
      <c r="K109" s="543">
        <f t="shared" si="25"/>
        <v>76</v>
      </c>
      <c r="L109" s="543">
        <f t="shared" si="25"/>
        <v>73</v>
      </c>
      <c r="M109" s="544">
        <f t="shared" si="25"/>
        <v>70</v>
      </c>
      <c r="N109" s="1152"/>
      <c r="O109" s="1152"/>
      <c r="P109" s="2684"/>
      <c r="Q109" s="503"/>
    </row>
    <row r="110" spans="1:17" ht="15" thickTop="1">
      <c r="A110" s="598"/>
      <c r="B110" s="537" t="s">
        <v>1998</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84"/>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84"/>
      <c r="Q111" s="503"/>
    </row>
    <row r="112" spans="1:17" ht="15.75" thickBot="1">
      <c r="A112" s="533"/>
      <c r="B112" s="542"/>
      <c r="C112" s="581">
        <v>100</v>
      </c>
      <c r="D112" s="543">
        <f>C112+$K37</f>
        <v>102</v>
      </c>
      <c r="E112" s="543">
        <f t="shared" ref="E112:M112" si="26">D112+$K37</f>
        <v>104</v>
      </c>
      <c r="F112" s="543">
        <f t="shared" si="26"/>
        <v>106</v>
      </c>
      <c r="G112" s="543">
        <f t="shared" si="26"/>
        <v>108</v>
      </c>
      <c r="H112" s="543">
        <f t="shared" si="26"/>
        <v>110</v>
      </c>
      <c r="I112" s="543">
        <f t="shared" si="26"/>
        <v>112</v>
      </c>
      <c r="J112" s="543">
        <f t="shared" si="26"/>
        <v>114</v>
      </c>
      <c r="K112" s="543">
        <f t="shared" si="26"/>
        <v>116</v>
      </c>
      <c r="L112" s="543">
        <f t="shared" si="26"/>
        <v>118</v>
      </c>
      <c r="M112" s="543">
        <f t="shared" si="26"/>
        <v>120</v>
      </c>
      <c r="N112" s="1152"/>
      <c r="O112" s="1152"/>
      <c r="P112" s="2684"/>
      <c r="Q112" s="503"/>
    </row>
    <row r="113" spans="1:17" s="470" customFormat="1" ht="15" thickTop="1">
      <c r="A113" s="592"/>
      <c r="B113" s="537" t="s">
        <v>2704</v>
      </c>
      <c r="C113" s="2972" t="s">
        <v>3089</v>
      </c>
      <c r="D113" s="2972" t="s">
        <v>3090</v>
      </c>
      <c r="E113" s="2972" t="s">
        <v>3091</v>
      </c>
      <c r="F113" s="553"/>
      <c r="G113" s="553"/>
      <c r="H113" s="582"/>
      <c r="I113" s="582"/>
      <c r="J113" s="582"/>
      <c r="K113" s="583"/>
      <c r="L113" s="584"/>
      <c r="M113" s="585"/>
      <c r="N113" s="1153"/>
      <c r="O113" s="1153"/>
      <c r="P113" s="2685"/>
      <c r="Q113" s="558"/>
    </row>
    <row r="114" spans="1:17" s="470" customFormat="1" ht="15.75" thickBot="1">
      <c r="A114" s="552"/>
      <c r="B114" s="542"/>
      <c r="C114" s="543">
        <v>100</v>
      </c>
      <c r="D114" s="543">
        <f>C114-$K38</f>
        <v>97</v>
      </c>
      <c r="E114" s="543">
        <f t="shared" ref="E114:M114" si="27">D114-$K38</f>
        <v>94</v>
      </c>
      <c r="F114" s="543">
        <f t="shared" si="27"/>
        <v>91</v>
      </c>
      <c r="G114" s="543">
        <f t="shared" si="27"/>
        <v>88</v>
      </c>
      <c r="H114" s="543">
        <f t="shared" si="27"/>
        <v>85</v>
      </c>
      <c r="I114" s="543">
        <f t="shared" si="27"/>
        <v>82</v>
      </c>
      <c r="J114" s="543">
        <f t="shared" si="27"/>
        <v>79</v>
      </c>
      <c r="K114" s="543">
        <f t="shared" si="27"/>
        <v>76</v>
      </c>
      <c r="L114" s="543">
        <f t="shared" si="27"/>
        <v>73</v>
      </c>
      <c r="M114" s="543">
        <f t="shared" si="27"/>
        <v>70</v>
      </c>
      <c r="N114" s="1153"/>
      <c r="O114" s="1153"/>
      <c r="P114" s="2685"/>
      <c r="Q114" s="558"/>
    </row>
    <row r="115" spans="1:17" ht="15" thickTop="1">
      <c r="A115" s="598"/>
      <c r="B115" s="537" t="s">
        <v>2621</v>
      </c>
      <c r="C115" s="2972" t="s">
        <v>3092</v>
      </c>
      <c r="D115" s="2972" t="s">
        <v>3093</v>
      </c>
      <c r="E115" s="582"/>
      <c r="F115" s="582"/>
      <c r="G115" s="582"/>
      <c r="H115" s="582"/>
      <c r="I115" s="582"/>
      <c r="J115" s="582"/>
      <c r="K115" s="583"/>
      <c r="L115" s="584"/>
      <c r="M115" s="585"/>
      <c r="N115" s="1151"/>
      <c r="O115" s="1151"/>
      <c r="P115" s="2684"/>
      <c r="Q115" s="503"/>
    </row>
    <row r="116" spans="1:17" ht="15.75" thickBot="1">
      <c r="A116" s="533"/>
      <c r="B116" s="542"/>
      <c r="C116" s="543">
        <v>100</v>
      </c>
      <c r="D116" s="543">
        <f t="shared" ref="D116:M116" si="28">C116-$K39</f>
        <v>97</v>
      </c>
      <c r="E116" s="543">
        <f t="shared" si="28"/>
        <v>94</v>
      </c>
      <c r="F116" s="543">
        <f t="shared" si="28"/>
        <v>91</v>
      </c>
      <c r="G116" s="543">
        <f t="shared" si="28"/>
        <v>88</v>
      </c>
      <c r="H116" s="543">
        <f t="shared" si="28"/>
        <v>85</v>
      </c>
      <c r="I116" s="543">
        <f t="shared" si="28"/>
        <v>82</v>
      </c>
      <c r="J116" s="543">
        <f t="shared" si="28"/>
        <v>79</v>
      </c>
      <c r="K116" s="543">
        <f t="shared" si="28"/>
        <v>76</v>
      </c>
      <c r="L116" s="543">
        <f t="shared" si="28"/>
        <v>73</v>
      </c>
      <c r="M116" s="544">
        <f t="shared" si="28"/>
        <v>70</v>
      </c>
      <c r="N116" s="1152"/>
      <c r="O116" s="1152"/>
      <c r="P116" s="2684"/>
      <c r="Q116" s="503"/>
    </row>
    <row r="117" spans="1:17" ht="15" thickTop="1">
      <c r="A117" s="598"/>
      <c r="B117" s="537" t="s">
        <v>2622</v>
      </c>
      <c r="C117" s="2972" t="s">
        <v>3094</v>
      </c>
      <c r="D117" s="2972" t="s">
        <v>3095</v>
      </c>
      <c r="E117" s="2972" t="s">
        <v>3096</v>
      </c>
      <c r="F117" s="2972" t="s">
        <v>3097</v>
      </c>
      <c r="G117" s="2972" t="s">
        <v>3098</v>
      </c>
      <c r="H117" s="582"/>
      <c r="I117" s="582"/>
      <c r="J117" s="582"/>
      <c r="K117" s="583"/>
      <c r="L117" s="584"/>
      <c r="M117" s="585"/>
      <c r="N117" s="1151"/>
      <c r="O117" s="1151"/>
      <c r="P117" s="2684"/>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52"/>
      <c r="O118" s="1152"/>
      <c r="P118" s="2684"/>
      <c r="Q118" s="503"/>
    </row>
    <row r="119" spans="1:17" ht="15" thickTop="1">
      <c r="A119" s="598"/>
      <c r="B119" s="635" t="s">
        <v>2705</v>
      </c>
      <c r="C119" s="2974" t="s">
        <v>3099</v>
      </c>
      <c r="D119" s="2974" t="s">
        <v>3100</v>
      </c>
      <c r="E119" s="582"/>
      <c r="F119" s="582"/>
      <c r="G119" s="582"/>
      <c r="H119" s="582"/>
      <c r="I119" s="582"/>
      <c r="J119" s="582"/>
      <c r="K119" s="582"/>
      <c r="L119" s="2689"/>
      <c r="M119" s="2690"/>
      <c r="N119" s="1152"/>
      <c r="O119" s="1152"/>
      <c r="P119" s="2691"/>
      <c r="Q119" s="637"/>
    </row>
    <row r="120" spans="1:17" ht="15.75" thickBot="1">
      <c r="A120" s="533"/>
      <c r="B120" s="542"/>
      <c r="C120" s="581">
        <v>100</v>
      </c>
      <c r="D120" s="543">
        <f>C120-$K41</f>
        <v>98</v>
      </c>
      <c r="E120" s="543">
        <f t="shared" ref="E120:M120" si="29">D120-$K41</f>
        <v>96</v>
      </c>
      <c r="F120" s="543">
        <f t="shared" si="29"/>
        <v>94</v>
      </c>
      <c r="G120" s="543">
        <f t="shared" si="29"/>
        <v>92</v>
      </c>
      <c r="H120" s="543">
        <f t="shared" si="29"/>
        <v>90</v>
      </c>
      <c r="I120" s="543">
        <f t="shared" si="29"/>
        <v>88</v>
      </c>
      <c r="J120" s="543">
        <f t="shared" si="29"/>
        <v>86</v>
      </c>
      <c r="K120" s="543">
        <f t="shared" si="29"/>
        <v>84</v>
      </c>
      <c r="L120" s="543">
        <f t="shared" si="29"/>
        <v>82</v>
      </c>
      <c r="M120" s="543">
        <f t="shared" si="29"/>
        <v>80</v>
      </c>
      <c r="N120" s="1152"/>
      <c r="O120" s="1152"/>
      <c r="P120" s="2684"/>
      <c r="Q120" s="503"/>
    </row>
    <row r="121" spans="1:17" s="470" customFormat="1" ht="15" thickTop="1">
      <c r="A121" s="592"/>
      <c r="B121" s="537" t="s">
        <v>2688</v>
      </c>
      <c r="C121" s="553"/>
      <c r="D121" s="553"/>
      <c r="E121" s="553"/>
      <c r="F121" s="582"/>
      <c r="G121" s="554"/>
      <c r="H121" s="554"/>
      <c r="I121" s="554"/>
      <c r="J121" s="554"/>
      <c r="K121" s="554"/>
      <c r="L121" s="555"/>
      <c r="M121" s="556"/>
      <c r="N121" s="1153"/>
      <c r="O121" s="1153"/>
      <c r="P121" s="2685"/>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85"/>
      <c r="Q122" s="558"/>
    </row>
    <row r="123" spans="1:17" ht="15" thickTop="1">
      <c r="A123" s="598"/>
      <c r="B123" s="537" t="s">
        <v>2624</v>
      </c>
      <c r="C123" s="2972" t="s">
        <v>3085</v>
      </c>
      <c r="D123" s="2972" t="s">
        <v>3086</v>
      </c>
      <c r="E123" s="2972" t="s">
        <v>3087</v>
      </c>
      <c r="F123" s="2974" t="s">
        <v>3088</v>
      </c>
      <c r="G123" s="582"/>
      <c r="H123" s="582"/>
      <c r="I123" s="582"/>
      <c r="J123" s="582"/>
      <c r="K123" s="583"/>
      <c r="L123" s="584"/>
      <c r="M123" s="585"/>
      <c r="N123" s="1151"/>
      <c r="O123" s="1151"/>
      <c r="P123" s="2684"/>
      <c r="Q123" s="503"/>
    </row>
    <row r="124" spans="1:17" ht="15.75" thickBot="1">
      <c r="A124" s="533"/>
      <c r="B124" s="542"/>
      <c r="C124" s="543">
        <v>100</v>
      </c>
      <c r="D124" s="543">
        <f t="shared" ref="D124:M124" si="30">C124-$K43</f>
        <v>99</v>
      </c>
      <c r="E124" s="543">
        <f t="shared" si="30"/>
        <v>98</v>
      </c>
      <c r="F124" s="543">
        <f t="shared" si="30"/>
        <v>97</v>
      </c>
      <c r="G124" s="543">
        <f t="shared" si="30"/>
        <v>96</v>
      </c>
      <c r="H124" s="543">
        <f t="shared" si="30"/>
        <v>95</v>
      </c>
      <c r="I124" s="543">
        <f t="shared" si="30"/>
        <v>94</v>
      </c>
      <c r="J124" s="543">
        <f t="shared" si="30"/>
        <v>93</v>
      </c>
      <c r="K124" s="543">
        <f t="shared" si="30"/>
        <v>92</v>
      </c>
      <c r="L124" s="543">
        <f t="shared" si="30"/>
        <v>91</v>
      </c>
      <c r="M124" s="544">
        <f t="shared" si="30"/>
        <v>90</v>
      </c>
      <c r="N124" s="1152"/>
      <c r="O124" s="1152"/>
      <c r="P124" s="2684"/>
      <c r="Q124" s="503"/>
    </row>
    <row r="125" spans="1:17" ht="15" thickTop="1">
      <c r="A125" s="598"/>
      <c r="B125" s="537" t="s">
        <v>2625</v>
      </c>
      <c r="C125" s="577" t="s">
        <v>2601</v>
      </c>
      <c r="D125" s="577" t="s">
        <v>2602</v>
      </c>
      <c r="E125" s="577" t="s">
        <v>2603</v>
      </c>
      <c r="F125" s="577" t="s">
        <v>2604</v>
      </c>
      <c r="G125" s="577" t="s">
        <v>2605</v>
      </c>
      <c r="H125" s="538"/>
      <c r="I125" s="538"/>
      <c r="J125" s="538"/>
      <c r="K125" s="539"/>
      <c r="L125" s="540"/>
      <c r="M125" s="541"/>
      <c r="N125" s="1151"/>
      <c r="O125" s="1151"/>
      <c r="P125" s="2685"/>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52"/>
      <c r="O126" s="1152"/>
      <c r="P126" s="2684"/>
      <c r="Q126" s="503"/>
    </row>
    <row r="127" spans="1:17" s="470" customFormat="1" ht="15" thickTop="1">
      <c r="A127" s="592"/>
      <c r="B127" s="537" t="str">
        <f>B45</f>
        <v>智能环保系统</v>
      </c>
      <c r="C127" s="2988" t="s">
        <v>3313</v>
      </c>
      <c r="D127" s="2988" t="s">
        <v>3311</v>
      </c>
      <c r="E127" s="553"/>
      <c r="F127" s="553"/>
      <c r="G127" s="553"/>
      <c r="H127" s="554"/>
      <c r="I127" s="554"/>
      <c r="J127" s="554"/>
      <c r="K127" s="554"/>
      <c r="L127" s="555"/>
      <c r="M127" s="556"/>
      <c r="N127" s="1153"/>
      <c r="O127" s="1153"/>
      <c r="P127" s="2685"/>
      <c r="Q127" s="558"/>
    </row>
    <row r="128" spans="1:17" s="470" customFormat="1" ht="15.75" thickBot="1">
      <c r="A128" s="552"/>
      <c r="B128" s="542"/>
      <c r="C128" s="559">
        <v>100</v>
      </c>
      <c r="D128" s="535">
        <v>97</v>
      </c>
      <c r="E128" s="535"/>
      <c r="F128" s="535"/>
      <c r="G128" s="559"/>
      <c r="H128" s="561"/>
      <c r="I128" s="561"/>
      <c r="J128" s="561"/>
      <c r="K128" s="561"/>
      <c r="L128" s="561"/>
      <c r="M128" s="562"/>
      <c r="N128" s="1153"/>
      <c r="O128" s="1153"/>
      <c r="P128" s="2685"/>
      <c r="Q128" s="558"/>
    </row>
    <row r="129" spans="1:17" ht="15" thickTop="1">
      <c r="A129" s="598"/>
      <c r="B129" s="537" t="str">
        <f>B46</f>
        <v>建筑品质</v>
      </c>
      <c r="C129" s="2988" t="s">
        <v>3315</v>
      </c>
      <c r="D129" s="2988" t="s">
        <v>3316</v>
      </c>
      <c r="E129" s="553"/>
      <c r="F129" s="553"/>
      <c r="G129" s="582"/>
      <c r="H129" s="582"/>
      <c r="I129" s="582"/>
      <c r="J129" s="582"/>
      <c r="K129" s="583"/>
      <c r="L129" s="584"/>
      <c r="M129" s="585"/>
      <c r="N129" s="1151"/>
      <c r="O129" s="1151"/>
      <c r="P129" s="2684"/>
      <c r="Q129" s="503"/>
    </row>
    <row r="130" spans="1:17" ht="15.75" thickBot="1">
      <c r="A130" s="533"/>
      <c r="B130" s="542"/>
      <c r="C130" s="559">
        <v>100</v>
      </c>
      <c r="D130" s="559">
        <v>97</v>
      </c>
      <c r="E130" s="559"/>
      <c r="F130" s="559"/>
      <c r="G130" s="535"/>
      <c r="H130" s="535"/>
      <c r="I130" s="535"/>
      <c r="J130" s="535"/>
      <c r="K130" s="535"/>
      <c r="L130" s="535"/>
      <c r="M130" s="536"/>
      <c r="N130" s="1152"/>
      <c r="O130" s="1152"/>
      <c r="P130" s="2684"/>
      <c r="Q130" s="503"/>
    </row>
    <row r="131" spans="1:17" ht="15" thickTop="1">
      <c r="A131" s="598"/>
      <c r="B131" s="545">
        <f>B47</f>
        <v>111</v>
      </c>
      <c r="C131" s="522"/>
      <c r="D131" s="522"/>
      <c r="E131" s="522"/>
      <c r="F131" s="522"/>
      <c r="G131" s="586"/>
      <c r="H131" s="586"/>
      <c r="I131" s="586"/>
      <c r="J131" s="586"/>
      <c r="K131" s="522"/>
      <c r="L131" s="523"/>
      <c r="M131" s="589"/>
      <c r="N131" s="1151"/>
      <c r="O131" s="1151"/>
      <c r="P131" s="2684"/>
      <c r="Q131" s="503"/>
    </row>
    <row r="132" spans="1:17" ht="15.75" thickBot="1">
      <c r="A132" s="2636"/>
      <c r="B132" s="568"/>
      <c r="C132" s="569"/>
      <c r="D132" s="569"/>
      <c r="E132" s="569"/>
      <c r="F132" s="569"/>
      <c r="G132" s="590"/>
      <c r="H132" s="590"/>
      <c r="I132" s="590"/>
      <c r="J132" s="590"/>
      <c r="K132" s="590"/>
      <c r="L132" s="590"/>
      <c r="M132" s="591"/>
      <c r="N132" s="1152"/>
      <c r="O132" s="1152"/>
      <c r="P132" s="2684"/>
      <c r="Q132" s="503"/>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154" priority="16" stopIfTrue="1" operator="containsText" text="超过">
      <formula>NOT(ISERROR(SEARCH("超过",F53)))</formula>
    </cfRule>
  </conditionalFormatting>
  <conditionalFormatting sqref="H55">
    <cfRule type="containsText" dxfId="153" priority="15" stopIfTrue="1" operator="containsText" text="超过">
      <formula>NOT(ISERROR(SEARCH("超过",H55)))</formula>
    </cfRule>
  </conditionalFormatting>
  <conditionalFormatting sqref="F55">
    <cfRule type="containsText" dxfId="152" priority="14" stopIfTrue="1" operator="containsText" text="超过">
      <formula>NOT(ISERROR(SEARCH("超过",F55)))</formula>
    </cfRule>
  </conditionalFormatting>
  <conditionalFormatting sqref="F54 H54">
    <cfRule type="containsText" dxfId="151" priority="13" stopIfTrue="1" operator="containsText" text="超过">
      <formula>NOT(ISERROR(SEARCH("超过",F54)))</formula>
    </cfRule>
  </conditionalFormatting>
  <conditionalFormatting sqref="E53">
    <cfRule type="expression" dxfId="150" priority="12" stopIfTrue="1">
      <formula>$F$53="超过30%"</formula>
    </cfRule>
  </conditionalFormatting>
  <conditionalFormatting sqref="E54">
    <cfRule type="expression" dxfId="149" priority="11" stopIfTrue="1">
      <formula>$F$54="超过20%"</formula>
    </cfRule>
  </conditionalFormatting>
  <conditionalFormatting sqref="E55">
    <cfRule type="expression" dxfId="148" priority="10" stopIfTrue="1">
      <formula>$F$55="超过30%"</formula>
    </cfRule>
  </conditionalFormatting>
  <conditionalFormatting sqref="G55">
    <cfRule type="expression" dxfId="147" priority="9" stopIfTrue="1">
      <formula>$H$55="超过30%"</formula>
    </cfRule>
  </conditionalFormatting>
  <conditionalFormatting sqref="G53">
    <cfRule type="expression" dxfId="146" priority="8" stopIfTrue="1">
      <formula>$H$53="超过30%"</formula>
    </cfRule>
  </conditionalFormatting>
  <conditionalFormatting sqref="G54">
    <cfRule type="expression" dxfId="145" priority="7" stopIfTrue="1">
      <formula>$H$54="超过20%"</formula>
    </cfRule>
  </conditionalFormatting>
  <conditionalFormatting sqref="J53">
    <cfRule type="containsText" dxfId="144" priority="6" stopIfTrue="1" operator="containsText" text="超过">
      <formula>NOT(ISERROR(SEARCH("超过",J53)))</formula>
    </cfRule>
  </conditionalFormatting>
  <conditionalFormatting sqref="J55">
    <cfRule type="containsText" dxfId="143" priority="5" stopIfTrue="1" operator="containsText" text="超过">
      <formula>NOT(ISERROR(SEARCH("超过",J55)))</formula>
    </cfRule>
  </conditionalFormatting>
  <conditionalFormatting sqref="J54">
    <cfRule type="containsText" dxfId="142" priority="4" stopIfTrue="1" operator="containsText" text="超过">
      <formula>NOT(ISERROR(SEARCH("超过",J54)))</formula>
    </cfRule>
  </conditionalFormatting>
  <conditionalFormatting sqref="I53">
    <cfRule type="expression" dxfId="141" priority="3" stopIfTrue="1">
      <formula>$J$53="超过30%"</formula>
    </cfRule>
  </conditionalFormatting>
  <conditionalFormatting sqref="I54">
    <cfRule type="expression" dxfId="140" priority="2" stopIfTrue="1">
      <formula>$J$53+$J$54="超过20%"</formula>
    </cfRule>
  </conditionalFormatting>
  <conditionalFormatting sqref="I55">
    <cfRule type="expression" dxfId="139"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E24" sqref="E24"/>
    </sheetView>
  </sheetViews>
  <sheetFormatPr defaultColWidth="12.625" defaultRowHeight="21.75" customHeight="1"/>
  <cols>
    <col min="1" max="2" width="12.625" style="2422"/>
    <col min="3" max="4" width="12.625" style="2422" customWidth="1"/>
    <col min="5" max="9" width="12.625" style="2422"/>
    <col min="10" max="11" width="12.625" style="794" customWidth="1"/>
    <col min="12" max="12" width="12.625" style="794"/>
    <col min="13" max="13" width="14.125" style="794" bestFit="1" customWidth="1"/>
    <col min="14" max="26" width="12.625" style="794"/>
    <col min="27" max="35" width="12.625" style="2421"/>
    <col min="36" max="16384" width="12.625" style="2422"/>
  </cols>
  <sheetData>
    <row r="1" spans="1:12" ht="21.75" customHeight="1" thickBot="1">
      <c r="A1" s="2223" t="s">
        <v>2121</v>
      </c>
      <c r="B1" s="2416"/>
      <c r="C1" s="2417" t="s">
        <v>1377</v>
      </c>
      <c r="D1" s="2416"/>
      <c r="E1" s="2416"/>
      <c r="F1" s="2418" t="s">
        <v>2122</v>
      </c>
      <c r="G1" s="2068" t="s">
        <v>3060</v>
      </c>
      <c r="H1" s="2419" t="str">
        <f>IF(G1="现房","——","估价对象范围")</f>
        <v>——</v>
      </c>
      <c r="I1" s="2420"/>
    </row>
    <row r="2" spans="1:12" ht="21.75" customHeight="1" thickBot="1">
      <c r="A2" s="3149" t="str">
        <f>项目基本情况!S2</f>
        <v>北京市房地产</v>
      </c>
      <c r="B2" s="3150"/>
      <c r="C2" s="3150"/>
      <c r="D2" s="3150"/>
      <c r="E2" s="3150"/>
      <c r="F2" s="3150"/>
      <c r="G2" s="3150"/>
      <c r="H2" s="3150"/>
      <c r="I2" s="3151"/>
    </row>
    <row r="3" spans="1:12" ht="12.75">
      <c r="A3" s="3153" t="s">
        <v>2123</v>
      </c>
      <c r="B3" s="3154"/>
      <c r="C3" s="3154"/>
      <c r="D3" s="3154"/>
      <c r="E3" s="3154"/>
      <c r="F3" s="3154"/>
      <c r="G3" s="3154"/>
      <c r="H3" s="3154"/>
      <c r="I3" s="3154"/>
    </row>
    <row r="4" spans="1:12" ht="14.25">
      <c r="A4" s="2423" t="s">
        <v>2124</v>
      </c>
      <c r="B4" s="2424" t="s">
        <v>2125</v>
      </c>
      <c r="C4" s="2425" t="s">
        <v>3425</v>
      </c>
      <c r="D4" s="2425" t="s">
        <v>3283</v>
      </c>
      <c r="E4" s="3146" t="s">
        <v>2126</v>
      </c>
      <c r="F4" s="3147"/>
      <c r="G4" s="3147"/>
      <c r="H4" s="3147"/>
      <c r="I4" s="3155"/>
      <c r="K4" s="2426" t="str">
        <f>IF(ISNUMBER(FIND("比较法",结果表商业!C4)),"比较法",IF(ISNUMBER(FIND("成本法",结果表商业!C4)),"成本法",IF(ISNUMBER(FIND("假设开发法",结果表商业!C4)),"假设开发法",IF(ISNUMBER(FIND("收益法",结果表商业!C4)),"收益法","基准地价系数修正法"))))</f>
        <v>比较法</v>
      </c>
      <c r="L4" s="2426"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129" t="s">
        <v>2127</v>
      </c>
      <c r="B5" s="3052">
        <v>25</v>
      </c>
      <c r="C5" s="3132"/>
      <c r="D5" s="3152"/>
      <c r="E5" s="139" t="s">
        <v>2128</v>
      </c>
      <c r="F5" s="2427"/>
      <c r="G5" s="2427"/>
      <c r="H5" s="2427"/>
      <c r="I5" s="1830"/>
    </row>
    <row r="6" spans="1:12" ht="12.75">
      <c r="A6" s="3129"/>
      <c r="B6" s="3052"/>
      <c r="C6" s="3133"/>
      <c r="D6" s="3152"/>
      <c r="E6" s="139" t="s">
        <v>2129</v>
      </c>
      <c r="F6" s="2427"/>
      <c r="G6" s="2427"/>
      <c r="H6" s="2427"/>
      <c r="I6" s="1830"/>
    </row>
    <row r="7" spans="1:12" ht="12.75">
      <c r="A7" s="3129"/>
      <c r="B7" s="3052"/>
      <c r="C7" s="3134"/>
      <c r="D7" s="3152"/>
      <c r="E7" s="139" t="s">
        <v>2130</v>
      </c>
      <c r="F7" s="2427"/>
      <c r="G7" s="2427"/>
      <c r="H7" s="2427"/>
      <c r="I7" s="1830"/>
    </row>
    <row r="8" spans="1:12" ht="12.75">
      <c r="A8" s="3129" t="s">
        <v>2131</v>
      </c>
      <c r="B8" s="3052">
        <v>15</v>
      </c>
      <c r="C8" s="3132"/>
      <c r="D8" s="3152"/>
      <c r="E8" s="139" t="s">
        <v>2132</v>
      </c>
      <c r="F8" s="2427"/>
      <c r="G8" s="2427"/>
      <c r="H8" s="2427"/>
      <c r="I8" s="1830"/>
    </row>
    <row r="9" spans="1:12" ht="12.75">
      <c r="A9" s="3129"/>
      <c r="B9" s="3052"/>
      <c r="C9" s="3134"/>
      <c r="D9" s="3152"/>
      <c r="E9" s="139" t="s">
        <v>2133</v>
      </c>
      <c r="F9" s="2427"/>
      <c r="G9" s="2427"/>
      <c r="H9" s="2427"/>
      <c r="I9" s="1830"/>
    </row>
    <row r="10" spans="1:12" ht="12.75">
      <c r="A10" s="3129" t="s">
        <v>2134</v>
      </c>
      <c r="B10" s="3052">
        <v>15</v>
      </c>
      <c r="C10" s="3132"/>
      <c r="D10" s="3152"/>
      <c r="E10" s="139" t="s">
        <v>2135</v>
      </c>
      <c r="F10" s="2427"/>
      <c r="G10" s="2427"/>
      <c r="H10" s="2427"/>
      <c r="I10" s="1830"/>
    </row>
    <row r="11" spans="1:12" ht="12.75">
      <c r="A11" s="3129"/>
      <c r="B11" s="3052"/>
      <c r="C11" s="3134"/>
      <c r="D11" s="3152"/>
      <c r="E11" s="139" t="s">
        <v>2136</v>
      </c>
      <c r="F11" s="2427"/>
      <c r="G11" s="2427"/>
      <c r="H11" s="2427"/>
      <c r="I11" s="1830"/>
    </row>
    <row r="12" spans="1:12" ht="12.75">
      <c r="A12" s="3129" t="s">
        <v>2137</v>
      </c>
      <c r="B12" s="3052">
        <v>15</v>
      </c>
      <c r="C12" s="3132"/>
      <c r="D12" s="3152"/>
      <c r="E12" s="139" t="s">
        <v>2138</v>
      </c>
      <c r="F12" s="2427"/>
      <c r="G12" s="2427"/>
      <c r="H12" s="2427"/>
      <c r="I12" s="1830"/>
    </row>
    <row r="13" spans="1:12" ht="12.75">
      <c r="A13" s="3129"/>
      <c r="B13" s="3052"/>
      <c r="C13" s="3134"/>
      <c r="D13" s="3152"/>
      <c r="E13" s="139" t="s">
        <v>2139</v>
      </c>
      <c r="F13" s="2427"/>
      <c r="G13" s="2427"/>
      <c r="H13" s="2427"/>
      <c r="I13" s="1830"/>
    </row>
    <row r="14" spans="1:12" ht="12.75">
      <c r="A14" s="3129" t="s">
        <v>2140</v>
      </c>
      <c r="B14" s="3052">
        <v>30</v>
      </c>
      <c r="C14" s="3132">
        <v>0.45</v>
      </c>
      <c r="D14" s="3152">
        <f>1-C14</f>
        <v>0.55000000000000004</v>
      </c>
      <c r="E14" s="139" t="s">
        <v>2141</v>
      </c>
      <c r="F14" s="2427"/>
      <c r="G14" s="2427"/>
      <c r="H14" s="2427"/>
      <c r="I14" s="1830"/>
    </row>
    <row r="15" spans="1:12" ht="12.75">
      <c r="A15" s="3129"/>
      <c r="B15" s="3052"/>
      <c r="C15" s="3133"/>
      <c r="D15" s="3152"/>
      <c r="E15" s="139" t="s">
        <v>2142</v>
      </c>
      <c r="F15" s="2427"/>
      <c r="G15" s="2427"/>
      <c r="H15" s="2427"/>
      <c r="I15" s="1830"/>
    </row>
    <row r="16" spans="1:12" ht="12.75">
      <c r="A16" s="3129"/>
      <c r="B16" s="3052"/>
      <c r="C16" s="3134"/>
      <c r="D16" s="3152"/>
      <c r="E16" s="139" t="s">
        <v>2143</v>
      </c>
      <c r="F16" s="2427"/>
      <c r="G16" s="2427"/>
      <c r="H16" s="2427"/>
      <c r="I16" s="1830"/>
    </row>
    <row r="17" spans="1:35" ht="15">
      <c r="A17" s="2428" t="s">
        <v>2144</v>
      </c>
      <c r="B17" s="64"/>
      <c r="C17" s="140">
        <f>SUM(C5:C16)</f>
        <v>0.45</v>
      </c>
      <c r="D17" s="140">
        <f>SUM(D5:D16)</f>
        <v>0.55000000000000004</v>
      </c>
      <c r="E17" s="137"/>
      <c r="F17" s="137"/>
      <c r="G17" s="137"/>
      <c r="H17" s="137"/>
      <c r="I17" s="137"/>
      <c r="K17" s="2426"/>
      <c r="L17" s="2429" t="s">
        <v>2145</v>
      </c>
      <c r="M17" s="2429" t="s">
        <v>2146</v>
      </c>
    </row>
    <row r="18" spans="1:35" ht="15.75" thickBot="1">
      <c r="A18" s="2430" t="s">
        <v>2147</v>
      </c>
      <c r="B18" s="2431"/>
      <c r="C18" s="141">
        <f>ROUND(C17/SUM(C17:D17),2)</f>
        <v>0.45</v>
      </c>
      <c r="D18" s="141">
        <f>1-C18</f>
        <v>0.55000000000000004</v>
      </c>
      <c r="E18" s="137"/>
      <c r="F18" s="137"/>
      <c r="G18" s="137"/>
      <c r="H18" s="137"/>
      <c r="I18" s="137"/>
      <c r="K18" s="2426" t="s">
        <v>2148</v>
      </c>
      <c r="L18" s="2426">
        <f>IF(C1="",'数据-汇总表'!E3,SUMIF(项目类型,C1,'数据-汇总表'!E17:E26)+SUMIF(项目类型,C1,'数据-汇总表'!I17:I26))</f>
        <v>0</v>
      </c>
      <c r="M18" s="2426">
        <f>IF(C1="",'数据-汇总表'!E3,SUMIF(项目类型,C1,'数据-汇总表'!E17:E26))</f>
        <v>0</v>
      </c>
    </row>
    <row r="19" spans="1:35" ht="15">
      <c r="A19" s="2432" t="s">
        <v>2149</v>
      </c>
      <c r="B19" s="2433" t="s">
        <v>2150</v>
      </c>
      <c r="C19" s="142">
        <f ca="1">SUMIF(INDIRECT("'"&amp;C4&amp;"'"&amp;"!A:A"),结果表商业!B19,INDIRECT("'"&amp;C4&amp;"'"&amp;"!B:B"))</f>
        <v>0</v>
      </c>
      <c r="D19" s="143" t="e">
        <f ca="1">SUMIF(INDIRECT("'"&amp;D4&amp;"'"&amp;"!A:A"),结果表商业!B19,INDIRECT("'"&amp;D4&amp;"'"&amp;"!B:B"))</f>
        <v>#N/A</v>
      </c>
      <c r="E19" s="2432" t="s">
        <v>2151</v>
      </c>
      <c r="F19" s="2433" t="s">
        <v>2150</v>
      </c>
      <c r="G19" s="144" t="e">
        <f ca="1">ROUND(C19*$C$18+D19*$D$18,0)</f>
        <v>#N/A</v>
      </c>
      <c r="H19" s="2434" t="s">
        <v>2152</v>
      </c>
      <c r="I19" s="137"/>
      <c r="K19" s="2426" t="s">
        <v>2153</v>
      </c>
      <c r="L19" s="2426">
        <f>IF(C1="",'数据-汇总表'!D3,SUMIF(项目类型,C1,'数据-汇总表'!D17:D26)+SUMIF(项目类型,C1,'数据-汇总表'!H17:H27))</f>
        <v>0</v>
      </c>
      <c r="M19" s="2426">
        <f>IF(C1="",'数据-汇总表'!D3,SUMIF(项目类型,C1,'数据-汇总表'!D17:D26))</f>
        <v>0</v>
      </c>
    </row>
    <row r="20" spans="1:35" ht="15">
      <c r="A20" s="2435"/>
      <c r="B20" s="1246" t="s">
        <v>2154</v>
      </c>
      <c r="C20" s="145">
        <f ca="1">SUMIF(INDIRECT("'"&amp;C4&amp;"'"&amp;"!A:A"),结果表商业!B20,INDIRECT("'"&amp;C4&amp;"'"&amp;"!B:B"))</f>
        <v>49680</v>
      </c>
      <c r="D20" s="146">
        <f ca="1">SUMIF(INDIRECT("'"&amp;D4&amp;"'"&amp;"!A:A"),结果表商业!B20,INDIRECT("'"&amp;D4&amp;"'"&amp;"!B:B"))</f>
        <v>0</v>
      </c>
      <c r="E20" s="2435"/>
      <c r="F20" s="1246" t="s">
        <v>2154</v>
      </c>
      <c r="G20" s="147">
        <f ca="1">ROUND(C20*$C$18+D20*$D$18,0)</f>
        <v>22356</v>
      </c>
      <c r="H20" s="979" t="s">
        <v>2155</v>
      </c>
      <c r="I20" s="137"/>
    </row>
    <row r="21" spans="1:35" ht="15" customHeight="1" thickBot="1">
      <c r="A21" s="999"/>
      <c r="B21" s="2436" t="s">
        <v>2156</v>
      </c>
      <c r="C21" s="788" t="e">
        <f ca="1">ROUND(C19*10000/L19,0)</f>
        <v>#DIV/0!</v>
      </c>
      <c r="D21" s="789" t="e">
        <f ca="1">ROUND(D19*10000/L19,0)</f>
        <v>#N/A</v>
      </c>
      <c r="E21" s="999"/>
      <c r="F21" s="2436" t="s">
        <v>2156</v>
      </c>
      <c r="G21" s="148" t="e">
        <f ca="1">ROUND(G19*10000/L19,0)</f>
        <v>#N/A</v>
      </c>
      <c r="H21" s="2437" t="s">
        <v>2155</v>
      </c>
      <c r="I21" s="137"/>
    </row>
    <row r="22" spans="1:35" ht="15" thickBot="1">
      <c r="A22" s="2278" t="s">
        <v>2157</v>
      </c>
      <c r="B22" s="2438"/>
      <c r="C22" s="2439"/>
      <c r="D22" s="790" t="e">
        <f ca="1">IF(C19&lt;D19,D19/C19-1,C19/D19-1)</f>
        <v>#N/A</v>
      </c>
      <c r="E22" s="137"/>
      <c r="F22" s="137"/>
      <c r="G22" s="137"/>
      <c r="H22" s="137"/>
      <c r="I22" s="137"/>
    </row>
    <row r="23" spans="1:35" ht="13.5" thickBot="1">
      <c r="A23" s="2416"/>
      <c r="B23" s="2416"/>
      <c r="C23" s="2416"/>
      <c r="D23" s="2416"/>
      <c r="E23" s="137"/>
      <c r="F23" s="137"/>
      <c r="G23" s="137"/>
      <c r="H23" s="137"/>
      <c r="I23" s="137"/>
    </row>
    <row r="24" spans="1:35" ht="14.25">
      <c r="A24" s="3123" t="s">
        <v>2158</v>
      </c>
      <c r="B24" s="2433" t="s">
        <v>2150</v>
      </c>
      <c r="C24" s="144">
        <f>IF(B30=0,0,D30)</f>
        <v>0</v>
      </c>
      <c r="D24" s="2440"/>
      <c r="E24" s="137"/>
      <c r="F24" s="137"/>
      <c r="G24" s="137"/>
      <c r="H24" s="137"/>
      <c r="I24" s="137"/>
    </row>
    <row r="25" spans="1:35" ht="14.25">
      <c r="A25" s="3124"/>
      <c r="B25" s="1246" t="s">
        <v>2154</v>
      </c>
      <c r="C25" s="149">
        <f>IF(B30=0,0,C30)</f>
        <v>0</v>
      </c>
      <c r="D25" s="2441"/>
      <c r="E25" s="137"/>
      <c r="F25" s="137"/>
      <c r="G25" s="137"/>
      <c r="H25" s="137"/>
      <c r="I25" s="137"/>
    </row>
    <row r="26" spans="1:35" ht="13.5" customHeight="1">
      <c r="A26" s="2442" t="s">
        <v>2159</v>
      </c>
      <c r="B26" s="150" t="s">
        <v>2160</v>
      </c>
      <c r="C26" s="150" t="s">
        <v>2161</v>
      </c>
      <c r="D26" s="151" t="s">
        <v>2162</v>
      </c>
      <c r="E26" s="137"/>
      <c r="F26" s="137"/>
      <c r="G26" s="137"/>
      <c r="H26" s="137"/>
      <c r="I26" s="137"/>
    </row>
    <row r="27" spans="1:35" ht="14.25">
      <c r="A27" s="2442"/>
      <c r="B27" s="150">
        <v>0</v>
      </c>
      <c r="C27" s="150">
        <v>0</v>
      </c>
      <c r="D27" s="151">
        <f>ROUND(C27*B27/10000,0)</f>
        <v>0</v>
      </c>
      <c r="E27" s="137"/>
      <c r="F27" s="137"/>
      <c r="G27" s="137"/>
      <c r="H27" s="137"/>
      <c r="I27" s="137"/>
    </row>
    <row r="28" spans="1:35" ht="14.25">
      <c r="A28" s="2442"/>
      <c r="B28" s="150"/>
      <c r="C28" s="150"/>
      <c r="D28" s="151"/>
      <c r="E28" s="137"/>
      <c r="F28" s="137"/>
      <c r="G28" s="137"/>
      <c r="H28" s="137"/>
      <c r="I28" s="137"/>
    </row>
    <row r="29" spans="1:35" ht="14.25">
      <c r="A29" s="2442"/>
      <c r="B29" s="150"/>
      <c r="C29" s="150"/>
      <c r="D29" s="151"/>
      <c r="E29" s="137"/>
      <c r="F29" s="137"/>
      <c r="G29" s="137"/>
      <c r="H29" s="137"/>
      <c r="I29" s="137"/>
    </row>
    <row r="30" spans="1:35" ht="14.25">
      <c r="A30" s="150" t="s">
        <v>2163</v>
      </c>
      <c r="B30" s="150"/>
      <c r="C30" s="150"/>
      <c r="D30" s="150"/>
      <c r="E30" s="2925" t="s">
        <v>3040</v>
      </c>
      <c r="F30" s="137"/>
      <c r="G30" s="137"/>
      <c r="H30" s="137"/>
      <c r="I30" s="137"/>
    </row>
    <row r="31" spans="1:35" s="2444" customFormat="1" ht="15" thickBot="1">
      <c r="A31" s="2443"/>
      <c r="B31" s="2443"/>
      <c r="C31" s="2443"/>
      <c r="D31" s="2443"/>
      <c r="E31" s="137"/>
      <c r="F31" s="137"/>
      <c r="G31" s="137"/>
      <c r="H31" s="137"/>
      <c r="I31" s="137"/>
      <c r="J31" s="794"/>
      <c r="K31" s="794"/>
      <c r="L31" s="794"/>
      <c r="M31" s="794"/>
      <c r="N31" s="794"/>
      <c r="O31" s="794"/>
      <c r="P31" s="794"/>
      <c r="Q31" s="794"/>
      <c r="R31" s="794"/>
      <c r="S31" s="794"/>
      <c r="T31" s="794"/>
      <c r="U31" s="794"/>
      <c r="V31" s="794"/>
      <c r="W31" s="794"/>
      <c r="X31" s="794"/>
      <c r="Y31" s="794"/>
      <c r="Z31" s="794"/>
      <c r="AA31" s="2421"/>
      <c r="AB31" s="2421"/>
      <c r="AC31" s="2421"/>
      <c r="AD31" s="2421"/>
      <c r="AE31" s="2421"/>
      <c r="AF31" s="2421"/>
      <c r="AG31" s="2421"/>
      <c r="AH31" s="2421"/>
      <c r="AI31" s="2421"/>
    </row>
    <row r="32" spans="1:35" ht="15.75" thickBot="1">
      <c r="A32" s="2445" t="s">
        <v>2164</v>
      </c>
      <c r="B32" s="2446"/>
      <c r="C32" s="152" t="e">
        <f ca="1">IF(D32="总价",G19-C24,G20-C25)</f>
        <v>#N/A</v>
      </c>
      <c r="D32" s="2447" t="s">
        <v>2165</v>
      </c>
      <c r="E32" s="137"/>
      <c r="F32" s="137"/>
      <c r="G32" s="137"/>
      <c r="H32" s="137"/>
      <c r="I32" s="137"/>
    </row>
    <row r="33" spans="1:15" ht="15">
      <c r="A33" s="956" t="s">
        <v>2166</v>
      </c>
      <c r="B33" s="2448"/>
      <c r="C33" s="2449"/>
      <c r="D33" s="2450"/>
      <c r="E33" s="2451" t="s">
        <v>2167</v>
      </c>
      <c r="F33" s="2943" t="str">
        <f>IF(D32="楼面单价","取值（单价）","取值（总价）")</f>
        <v>取值（总价）</v>
      </c>
      <c r="G33" s="137"/>
      <c r="H33" s="137"/>
      <c r="I33" s="137"/>
    </row>
    <row r="34" spans="1:15" ht="15">
      <c r="A34" s="2453"/>
      <c r="B34" s="2454" t="s">
        <v>2168</v>
      </c>
      <c r="C34" s="156" t="e">
        <f ca="1">IF(C33="自定义",F34,C32-C35)</f>
        <v>#N/A</v>
      </c>
      <c r="D34" s="1054" t="e">
        <f ca="1">IF(C33="自定义",ROUND(C34/C32,3),IF(C33="收益比率",SUMIF(INDIRECT("'"&amp;D33&amp;"'"&amp;"!b:b"),"土地收益比率",INDIRECT("'"&amp;D33&amp;"'"&amp;"!c:c")),SUMIF(INDIRECT("'"&amp;D33&amp;"'"&amp;"!b:b"),"土地成本比率",INDIRECT("'"&amp;D33&amp;"'"&amp;"!c:c"))))</f>
        <v>#REF!</v>
      </c>
      <c r="E34" s="2455" t="s">
        <v>2169</v>
      </c>
      <c r="F34" s="1735"/>
      <c r="G34" s="137"/>
      <c r="H34" s="137"/>
      <c r="I34" s="137"/>
    </row>
    <row r="35" spans="1:15" ht="15.75" thickBot="1">
      <c r="A35" s="2456"/>
      <c r="B35" s="2457" t="s">
        <v>2170</v>
      </c>
      <c r="C35" s="1440" t="e">
        <f ca="1">IF(C33="自定义",F35,ROUND(C32*D35,0))</f>
        <v>#N/A</v>
      </c>
      <c r="D35" s="1441" t="e">
        <f ca="1">IF(C33="自定义",ROUND(C35/C32,3),IF(C33="收益比率",SUMIF(INDIRECT("'"&amp;D33&amp;"'"&amp;"!b:b"),"建筑物收益比率",INDIRECT("'"&amp;D33&amp;"'"&amp;"!c:c")),SUMIF(INDIRECT("'"&amp;D33&amp;"'"&amp;"!b:b"),"建筑物成本比率",INDIRECT("'"&amp;D33&amp;"'"&amp;"!c:c"))))</f>
        <v>#REF!</v>
      </c>
      <c r="E35" s="2458" t="s">
        <v>2171</v>
      </c>
      <c r="F35" s="162"/>
      <c r="G35" s="137"/>
      <c r="H35" s="137"/>
      <c r="I35" s="137"/>
    </row>
    <row r="36" spans="1:15" ht="15.75" thickBot="1">
      <c r="A36" s="3141" t="s">
        <v>2172</v>
      </c>
      <c r="B36" s="2459" t="s">
        <v>2173</v>
      </c>
      <c r="C36" s="153"/>
      <c r="D36" s="2460"/>
      <c r="E36" s="2461"/>
      <c r="F36" s="2462"/>
      <c r="G36" s="137"/>
      <c r="H36" s="137"/>
      <c r="I36" s="137"/>
    </row>
    <row r="37" spans="1:15" ht="15.75" thickBot="1">
      <c r="A37" s="3142"/>
      <c r="B37" s="2264" t="s">
        <v>2174</v>
      </c>
      <c r="C37" s="155"/>
      <c r="D37" s="1391"/>
      <c r="E37" s="1391"/>
      <c r="F37" s="2462"/>
      <c r="G37" s="137"/>
      <c r="H37" s="137"/>
      <c r="I37" s="137"/>
    </row>
    <row r="38" spans="1:15" ht="15.75" thickBot="1">
      <c r="A38" s="3143"/>
      <c r="B38" s="2463" t="s">
        <v>2175</v>
      </c>
      <c r="C38" s="726"/>
      <c r="D38" s="2464" t="s">
        <v>2176</v>
      </c>
      <c r="E38" s="1391"/>
      <c r="F38" s="2462"/>
      <c r="G38" s="137"/>
      <c r="H38" s="137"/>
      <c r="I38" s="137"/>
    </row>
    <row r="39" spans="1:15" ht="15">
      <c r="A39" s="2435" t="s">
        <v>2177</v>
      </c>
      <c r="B39" s="2465" t="s">
        <v>2160</v>
      </c>
      <c r="C39" s="2466" t="s">
        <v>2161</v>
      </c>
      <c r="D39" s="2466" t="s">
        <v>2180</v>
      </c>
      <c r="E39" s="2467" t="s">
        <v>2162</v>
      </c>
      <c r="F39" s="2462"/>
      <c r="G39" s="137"/>
      <c r="H39" s="137"/>
      <c r="I39" s="137"/>
    </row>
    <row r="40" spans="1:15" ht="14.25">
      <c r="A40" s="2468" t="s">
        <v>2182</v>
      </c>
      <c r="B40" s="157"/>
      <c r="C40" s="158"/>
      <c r="D40" s="158"/>
      <c r="E40" s="159"/>
      <c r="F40" s="2462"/>
      <c r="G40" s="137"/>
      <c r="H40" s="137"/>
      <c r="I40" s="137"/>
    </row>
    <row r="41" spans="1:15" ht="14.25">
      <c r="A41" s="2468" t="s">
        <v>2183</v>
      </c>
      <c r="B41" s="157"/>
      <c r="C41" s="158"/>
      <c r="D41" s="158"/>
      <c r="E41" s="159"/>
      <c r="F41" s="2462"/>
      <c r="G41" s="137"/>
      <c r="H41" s="137"/>
      <c r="I41" s="137"/>
    </row>
    <row r="42" spans="1:15" ht="15" thickBot="1">
      <c r="A42" s="2469"/>
      <c r="B42" s="160"/>
      <c r="C42" s="161"/>
      <c r="D42" s="161"/>
      <c r="E42" s="162"/>
      <c r="F42" s="2462"/>
      <c r="G42" s="137"/>
      <c r="H42" s="137"/>
      <c r="I42" s="137"/>
    </row>
    <row r="43" spans="1:15" ht="12.75">
      <c r="A43" s="2163"/>
      <c r="B43" s="2163"/>
      <c r="C43" s="2163"/>
      <c r="D43" s="2163"/>
      <c r="E43" s="2163"/>
      <c r="F43" s="2470"/>
      <c r="G43" s="2470"/>
      <c r="H43" s="2470"/>
      <c r="I43" s="2471"/>
    </row>
    <row r="44" spans="1:15" ht="18.75">
      <c r="A44" s="2472" t="s">
        <v>2184</v>
      </c>
      <c r="B44" s="2473"/>
      <c r="C44" s="2473"/>
      <c r="D44" s="2474"/>
      <c r="E44" s="2474"/>
      <c r="F44" s="2475"/>
      <c r="G44" s="2475"/>
      <c r="H44" s="2475"/>
      <c r="I44" s="2475"/>
      <c r="J44" s="2476" t="s">
        <v>2185</v>
      </c>
      <c r="K44" s="2477"/>
      <c r="L44" s="2477"/>
      <c r="M44" s="2477"/>
      <c r="N44" s="2477"/>
      <c r="O44" s="2477"/>
    </row>
    <row r="45" spans="1:15" ht="14.25" customHeight="1" thickBot="1">
      <c r="A45" s="3120" t="s">
        <v>2186</v>
      </c>
      <c r="B45" s="3121"/>
      <c r="C45" s="3122"/>
      <c r="D45" s="163" t="e">
        <f ca="1">ROUND(H101*F45,0)</f>
        <v>#N/A</v>
      </c>
      <c r="E45" s="164" t="s">
        <v>2187</v>
      </c>
      <c r="F45" s="165">
        <v>1</v>
      </c>
      <c r="G45" s="166" t="s">
        <v>2188</v>
      </c>
      <c r="H45" s="137"/>
      <c r="I45" s="137"/>
      <c r="J45" s="3180" t="s">
        <v>2189</v>
      </c>
      <c r="K45" s="3180"/>
      <c r="L45" s="3180"/>
      <c r="M45" s="3180"/>
      <c r="N45" s="3180"/>
      <c r="O45" s="3180"/>
    </row>
    <row r="46" spans="1:15" ht="14.25" customHeight="1">
      <c r="A46" s="3117" t="s">
        <v>2190</v>
      </c>
      <c r="B46" s="3118"/>
      <c r="C46" s="3118"/>
      <c r="D46" s="3118"/>
      <c r="E46" s="3118"/>
      <c r="F46" s="3118"/>
      <c r="G46" s="3119"/>
      <c r="H46" s="2478"/>
      <c r="I46" s="167"/>
      <c r="J46" s="2957">
        <v>1</v>
      </c>
      <c r="K46" s="3180" t="s">
        <v>2191</v>
      </c>
      <c r="L46" s="3180"/>
      <c r="M46" s="3200"/>
      <c r="N46" s="3200"/>
      <c r="O46" s="3200"/>
    </row>
    <row r="47" spans="1:15" ht="12" customHeight="1">
      <c r="A47" s="168" t="s">
        <v>2192</v>
      </c>
      <c r="B47" s="169"/>
      <c r="C47" s="170"/>
      <c r="D47" s="171" t="s">
        <v>2193</v>
      </c>
      <c r="E47" s="24" t="s">
        <v>2194</v>
      </c>
      <c r="F47" s="172" t="s">
        <v>2195</v>
      </c>
      <c r="G47" s="173" t="s">
        <v>2196</v>
      </c>
      <c r="H47" s="2478"/>
      <c r="I47" s="167"/>
      <c r="J47" s="2957">
        <v>2</v>
      </c>
      <c r="K47" s="3180" t="s">
        <v>2197</v>
      </c>
      <c r="L47" s="3180"/>
      <c r="M47" s="3201">
        <f>'数据-取费表'!B2</f>
        <v>43252</v>
      </c>
      <c r="N47" s="3201"/>
      <c r="O47" s="3201"/>
    </row>
    <row r="48" spans="1:15" ht="25.5">
      <c r="A48" s="3148" t="s">
        <v>2198</v>
      </c>
      <c r="B48" s="3131"/>
      <c r="C48" s="3131"/>
      <c r="D48" s="139">
        <f>IF(H48="情况1",0,IF(H48="情况2",D52,IF(H48="情况3",D53,IF(H48="情况4",D54))))</f>
        <v>0</v>
      </c>
      <c r="E48" s="2948" t="str">
        <f>IF(H48="情况4","(销售额-原购置价)×税（费）率","销售额×税（费）率")</f>
        <v>销售额×税（费）率</v>
      </c>
      <c r="F48" s="174" t="str">
        <f>IF(H48="情况1","免征",'数据-取费表'!B41)</f>
        <v>免征</v>
      </c>
      <c r="G48" s="2479" t="s">
        <v>2199</v>
      </c>
      <c r="H48" s="2480" t="s">
        <v>2200</v>
      </c>
      <c r="I48" s="2478"/>
      <c r="J48" s="2957">
        <v>3</v>
      </c>
      <c r="K48" s="3180" t="s">
        <v>2201</v>
      </c>
      <c r="L48" s="3180"/>
      <c r="M48" s="3202" t="e">
        <f ca="1">H101</f>
        <v>#N/A</v>
      </c>
      <c r="N48" s="3202"/>
      <c r="O48" s="3202"/>
    </row>
    <row r="49" spans="1:35" ht="25.5" customHeight="1">
      <c r="A49" s="175" t="s">
        <v>2202</v>
      </c>
      <c r="B49" s="3116" t="s">
        <v>2203</v>
      </c>
      <c r="C49" s="3116"/>
      <c r="D49" s="176">
        <v>0</v>
      </c>
      <c r="E49" s="23" t="s">
        <v>2204</v>
      </c>
      <c r="F49" s="28" t="s">
        <v>34</v>
      </c>
      <c r="G49" s="3186"/>
      <c r="H49" s="137"/>
      <c r="I49" s="2481"/>
      <c r="J49" s="2957">
        <v>4</v>
      </c>
      <c r="K49" s="3180" t="str">
        <f>IF(项目基本情况!E8="房地产抵押价值","房地产抵押价值","抵押担保权已注销时的房地产抵押价值")</f>
        <v>房地产抵押价值</v>
      </c>
      <c r="L49" s="3180"/>
      <c r="M49" s="3202" t="e">
        <f ca="1">IF(项目基本情况!E8="房地产抵押价值",H107,H109)</f>
        <v>#N/A</v>
      </c>
      <c r="N49" s="3202"/>
      <c r="O49" s="3202"/>
    </row>
    <row r="50" spans="1:35" ht="25.5" customHeight="1">
      <c r="A50" s="177"/>
      <c r="B50" s="3116" t="s">
        <v>2205</v>
      </c>
      <c r="C50" s="3116"/>
      <c r="D50" s="178"/>
      <c r="E50" s="31"/>
      <c r="F50" s="179"/>
      <c r="G50" s="3187"/>
      <c r="H50" s="137"/>
      <c r="I50" s="2481"/>
      <c r="J50" s="3180" t="s">
        <v>2206</v>
      </c>
      <c r="K50" s="3180"/>
      <c r="L50" s="3180"/>
      <c r="M50" s="3180"/>
      <c r="N50" s="3180"/>
      <c r="O50" s="3180"/>
    </row>
    <row r="51" spans="1:35" ht="12" customHeight="1">
      <c r="A51" s="180"/>
      <c r="B51" s="3116" t="s">
        <v>2207</v>
      </c>
      <c r="C51" s="3116"/>
      <c r="D51" s="181"/>
      <c r="E51" s="30"/>
      <c r="F51" s="179"/>
      <c r="G51" s="3188"/>
      <c r="H51" s="137"/>
      <c r="I51" s="2481"/>
      <c r="J51" s="2956" t="s">
        <v>2208</v>
      </c>
      <c r="K51" s="3180" t="s">
        <v>2209</v>
      </c>
      <c r="L51" s="3180"/>
      <c r="M51" s="2956" t="s">
        <v>2210</v>
      </c>
      <c r="N51" s="2956" t="s">
        <v>2211</v>
      </c>
      <c r="O51" s="2956" t="s">
        <v>2212</v>
      </c>
    </row>
    <row r="52" spans="1:35" ht="24" customHeight="1">
      <c r="A52" s="182" t="s">
        <v>2213</v>
      </c>
      <c r="B52" s="3116" t="s">
        <v>2214</v>
      </c>
      <c r="C52" s="3116"/>
      <c r="D52" s="181" t="e">
        <f ca="1">ROUND(D45*'数据-取费表'!B41/(1+'数据-取费表'!C42),0)</f>
        <v>#N/A</v>
      </c>
      <c r="E52" s="11" t="s">
        <v>2215</v>
      </c>
      <c r="F52" s="183">
        <f>'数据-取费表'!B41</f>
        <v>5.5000000000000007E-2</v>
      </c>
      <c r="G52" s="2483"/>
      <c r="H52" s="137"/>
      <c r="I52" s="2481"/>
      <c r="J52" s="2957">
        <v>1</v>
      </c>
      <c r="K52" s="3181" t="s">
        <v>2216</v>
      </c>
      <c r="L52" s="3181"/>
      <c r="M52" s="1750">
        <f>D48</f>
        <v>0</v>
      </c>
      <c r="N52" s="2957" t="str">
        <f>E48</f>
        <v>销售额×税（费）率</v>
      </c>
      <c r="O52" s="1751" t="str">
        <f>F48</f>
        <v>免征</v>
      </c>
    </row>
    <row r="53" spans="1:35" ht="12" customHeight="1">
      <c r="A53" s="182" t="s">
        <v>2217</v>
      </c>
      <c r="B53" s="3139" t="s">
        <v>2218</v>
      </c>
      <c r="C53" s="3140"/>
      <c r="D53" s="181" t="e">
        <f ca="1">ROUND(D45*'数据-取费表'!B41/(1+'数据-取费表'!C42),0)</f>
        <v>#N/A</v>
      </c>
      <c r="E53" s="11" t="s">
        <v>2215</v>
      </c>
      <c r="F53" s="183">
        <f>'数据-取费表'!B41</f>
        <v>5.5000000000000007E-2</v>
      </c>
      <c r="G53" s="2483"/>
      <c r="H53" s="137"/>
      <c r="I53" s="2481"/>
      <c r="J53" s="2957">
        <v>2</v>
      </c>
      <c r="K53" s="3181" t="s">
        <v>2219</v>
      </c>
      <c r="L53" s="3181"/>
      <c r="M53" s="1750" t="e">
        <f t="shared" ref="M53:O54" ca="1" si="0">D55</f>
        <v>#N/A</v>
      </c>
      <c r="N53" s="2957" t="str">
        <f t="shared" si="0"/>
        <v>销售额×税（费）率</v>
      </c>
      <c r="O53" s="1751">
        <f t="shared" si="0"/>
        <v>5.0000000000000001E-4</v>
      </c>
    </row>
    <row r="54" spans="1:35" ht="12" customHeight="1">
      <c r="A54" s="182" t="s">
        <v>2220</v>
      </c>
      <c r="B54" s="3139" t="s">
        <v>2221</v>
      </c>
      <c r="C54" s="3140"/>
      <c r="D54" s="181" t="e">
        <f ca="1">C68</f>
        <v>#N/A</v>
      </c>
      <c r="E54" s="30" t="s">
        <v>2222</v>
      </c>
      <c r="F54" s="183">
        <f>'数据-取费表'!B41</f>
        <v>5.5000000000000007E-2</v>
      </c>
      <c r="G54" s="2483"/>
      <c r="H54" s="2484"/>
      <c r="I54" s="2481"/>
      <c r="J54" s="2957">
        <v>3</v>
      </c>
      <c r="K54" s="3181" t="s">
        <v>2223</v>
      </c>
      <c r="L54" s="3181"/>
      <c r="M54" s="1750" t="e">
        <f t="shared" ca="1" si="0"/>
        <v>#N/A</v>
      </c>
      <c r="N54" s="2957" t="str">
        <f t="shared" si="0"/>
        <v>增值额×税（费）率</v>
      </c>
      <c r="O54" s="1752" t="str">
        <f t="shared" si="0"/>
        <v>——</v>
      </c>
    </row>
    <row r="55" spans="1:35" ht="24" customHeight="1">
      <c r="A55" s="3130" t="s">
        <v>2224</v>
      </c>
      <c r="B55" s="3131"/>
      <c r="C55" s="3131"/>
      <c r="D55" s="184" t="e">
        <f ca="1">IF(H55="个人住宅",0,ROUND(D45*I55,0))</f>
        <v>#N/A</v>
      </c>
      <c r="E55" s="11" t="s">
        <v>2225</v>
      </c>
      <c r="F55" s="183">
        <f>IF(H55="正常",I55,"免征")</f>
        <v>5.0000000000000001E-4</v>
      </c>
      <c r="G55" s="2483"/>
      <c r="H55" s="2480" t="s">
        <v>2226</v>
      </c>
      <c r="I55" s="185">
        <f>'数据-取费表'!B49</f>
        <v>5.0000000000000001E-4</v>
      </c>
      <c r="J55" s="2957" t="str">
        <f>IF(H59="非个人房产","",4)</f>
        <v/>
      </c>
      <c r="K55" s="3181" t="str">
        <f>IF(H59="非个人房产","——","个人所得税")</f>
        <v>——</v>
      </c>
      <c r="L55" s="3181"/>
      <c r="M55" s="1753" t="str">
        <f>D59</f>
        <v>——</v>
      </c>
      <c r="N55" s="2958" t="str">
        <f>E59</f>
        <v>——</v>
      </c>
      <c r="O55" s="1754" t="str">
        <f>F59</f>
        <v>——</v>
      </c>
    </row>
    <row r="56" spans="1:35" ht="24.75">
      <c r="A56" s="3130" t="s">
        <v>2227</v>
      </c>
      <c r="B56" s="3131"/>
      <c r="C56" s="3131"/>
      <c r="D56" s="184" t="e">
        <f ca="1">IF(H56="个人住宅",D57,D58)</f>
        <v>#N/A</v>
      </c>
      <c r="E56" s="11" t="s">
        <v>2228</v>
      </c>
      <c r="F56" s="183" t="str">
        <f>IF(H56="正常",F58,"免征")</f>
        <v>——</v>
      </c>
      <c r="G56" s="2485" t="s">
        <v>2229</v>
      </c>
      <c r="H56" s="2486" t="s">
        <v>2226</v>
      </c>
      <c r="I56" s="2487"/>
      <c r="J56" s="2957" t="str">
        <f>IF(项目基本情况!K6="上海银行",IF(J55="",4,J55+1),"")</f>
        <v/>
      </c>
      <c r="K56" s="3204" t="str">
        <f>IF(项目基本情况!K6="上海银行","其他处置费用","")</f>
        <v/>
      </c>
      <c r="L56" s="3205"/>
      <c r="M56" s="1750" t="str">
        <f>IF(项目基本情况!K6="上海银行",M69,"")</f>
        <v/>
      </c>
      <c r="N56" s="3207" t="str">
        <f>IF(项目基本情况!K6="上海银行","包含处置中涉及的律师、诉讼、拍卖、评估等费用","")</f>
        <v/>
      </c>
      <c r="O56" s="3208"/>
    </row>
    <row r="57" spans="1:35" ht="12.75">
      <c r="A57" s="182" t="s">
        <v>2202</v>
      </c>
      <c r="B57" s="3146" t="s">
        <v>2230</v>
      </c>
      <c r="C57" s="3155"/>
      <c r="D57" s="186">
        <v>0</v>
      </c>
      <c r="E57" s="23" t="s">
        <v>2204</v>
      </c>
      <c r="F57" s="154"/>
      <c r="G57" s="2483"/>
      <c r="H57" s="2487"/>
      <c r="I57" s="2487"/>
      <c r="J57" s="3181">
        <f>IF(AND(J55="",J56=""),4,IF(项目基本情况!K6="上海银行",结果表商业!J56+1,结果表商业!J55+1))</f>
        <v>4</v>
      </c>
      <c r="K57" s="3181" t="s">
        <v>2231</v>
      </c>
      <c r="L57" s="2488" t="s">
        <v>2232</v>
      </c>
      <c r="M57" s="1755"/>
      <c r="N57" s="1756">
        <f ca="1">SUMIF(M52:M56,"&lt;9e307")</f>
        <v>0</v>
      </c>
      <c r="O57" s="2489"/>
      <c r="P57" s="1749" t="e">
        <f ca="1">N57/M49</f>
        <v>#N/A</v>
      </c>
    </row>
    <row r="58" spans="1:35" ht="24.75">
      <c r="A58" s="182" t="s">
        <v>2213</v>
      </c>
      <c r="B58" s="3146" t="s">
        <v>2233</v>
      </c>
      <c r="C58" s="3147"/>
      <c r="D58" s="184" t="e">
        <f ca="1">IF(H58="转让取得",C81,C97)</f>
        <v>#N/A</v>
      </c>
      <c r="E58" s="11" t="s">
        <v>2228</v>
      </c>
      <c r="F58" s="24" t="s">
        <v>34</v>
      </c>
      <c r="G58" s="2483"/>
      <c r="H58" s="2486" t="s">
        <v>2234</v>
      </c>
      <c r="I58" s="2487"/>
      <c r="J58" s="3181"/>
      <c r="K58" s="3181"/>
      <c r="L58" s="2488" t="s">
        <v>2235</v>
      </c>
      <c r="M58" s="1757"/>
      <c r="N58" s="2490" t="str">
        <f ca="1">NUMBERSTRING(INT(N57*10000),2)&amp;"元整"</f>
        <v>零元整</v>
      </c>
      <c r="O58" s="2491"/>
    </row>
    <row r="59" spans="1:35" ht="24.75" thickBot="1">
      <c r="A59" s="3184" t="s">
        <v>2236</v>
      </c>
      <c r="B59" s="3185"/>
      <c r="C59" s="3185"/>
      <c r="D59" s="187" t="str">
        <f>IF(H59="非个人房产","——",IF(H59="个人住宅",0,ROUND(D45*I59,0)))</f>
        <v>——</v>
      </c>
      <c r="E59" s="188" t="str">
        <f>IF(H59="非个人房产","——","销售额×税（费）率")</f>
        <v>——</v>
      </c>
      <c r="F59" s="189" t="str">
        <f>IF(H59="非个人房产","——",IF(H59="个人住宅","免征",I59))</f>
        <v>——</v>
      </c>
      <c r="G59" s="2492" t="s">
        <v>2229</v>
      </c>
      <c r="H59" s="2486" t="s">
        <v>2237</v>
      </c>
      <c r="I59" s="190">
        <v>0.01</v>
      </c>
      <c r="J59" s="3182">
        <f>J57+1</f>
        <v>5</v>
      </c>
      <c r="K59" s="3181" t="s">
        <v>2238</v>
      </c>
      <c r="L59" s="2957" t="s">
        <v>2232</v>
      </c>
      <c r="M59" s="1758"/>
      <c r="N59" s="1759" t="e">
        <f ca="1">M49-N57</f>
        <v>#N/A</v>
      </c>
      <c r="O59" s="2493"/>
    </row>
    <row r="60" spans="1:35" ht="12" customHeight="1">
      <c r="A60" s="2494"/>
      <c r="B60" s="2416"/>
      <c r="C60" s="2416"/>
      <c r="D60" s="2416"/>
      <c r="E60" s="2164"/>
      <c r="F60" s="2487"/>
      <c r="G60" s="2487"/>
      <c r="H60" s="2495"/>
      <c r="I60" s="137"/>
      <c r="J60" s="3183"/>
      <c r="K60" s="3181"/>
      <c r="L60" s="2488" t="s">
        <v>2235</v>
      </c>
      <c r="M60" s="1757"/>
      <c r="N60" s="2490" t="e">
        <f ca="1">NUMBERSTRING(INT(N59*10000),2)&amp;"元整"</f>
        <v>#N/A</v>
      </c>
      <c r="O60" s="2491"/>
    </row>
    <row r="61" spans="1:35" ht="13.5" thickBot="1">
      <c r="A61" s="3128" t="s">
        <v>2239</v>
      </c>
      <c r="B61" s="3128"/>
      <c r="C61" s="3128"/>
      <c r="D61" s="3128"/>
      <c r="E61" s="3128"/>
      <c r="F61" s="2487"/>
      <c r="G61" s="2487"/>
      <c r="H61" s="2495"/>
      <c r="I61" s="137"/>
      <c r="J61" s="2957">
        <f>J59+1</f>
        <v>6</v>
      </c>
      <c r="K61" s="3181" t="s">
        <v>2240</v>
      </c>
      <c r="L61" s="3181"/>
      <c r="M61" s="1760"/>
      <c r="N61" s="1761" t="e">
        <f ca="1">ROUND(N59*10000/'数据-汇总表'!E3,0)</f>
        <v>#N/A</v>
      </c>
      <c r="O61" s="2496"/>
    </row>
    <row r="62" spans="1:35" ht="12.75">
      <c r="A62" s="3144" t="s">
        <v>2241</v>
      </c>
      <c r="B62" s="3145"/>
      <c r="C62" s="2951"/>
      <c r="D62" s="2951" t="s">
        <v>2242</v>
      </c>
      <c r="E62" s="191" t="s">
        <v>2243</v>
      </c>
      <c r="F62" s="2487"/>
      <c r="G62" s="2487"/>
      <c r="H62" s="2495"/>
      <c r="I62" s="137"/>
    </row>
    <row r="63" spans="1:35" ht="12.75">
      <c r="A63" s="202" t="s">
        <v>775</v>
      </c>
      <c r="B63" s="192" t="s">
        <v>2244</v>
      </c>
      <c r="C63" s="193" t="e">
        <f ca="1">ROUND((C64+C65)/(1+'数据-取费表'!C42),0)</f>
        <v>#N/A</v>
      </c>
      <c r="D63" s="194"/>
      <c r="E63" s="195"/>
      <c r="F63" s="2487"/>
      <c r="G63" s="2487"/>
      <c r="H63" s="2495"/>
      <c r="I63" s="137"/>
      <c r="J63" s="3206" t="s">
        <v>2245</v>
      </c>
      <c r="K63" s="2961" t="s">
        <v>2246</v>
      </c>
      <c r="L63" s="1748" t="e">
        <f ca="1">IF(M49&gt;10000,M49*0.5%,IF(AND(M49&gt;1000,M49&lt;=10000),M49*1%,IF(AND(M49&gt;100,M49&lt;=1000),M49*3%,IF(AND(M49&gt;10,M49&lt;=100),M49*5%,M49*8%))))</f>
        <v>#N/A</v>
      </c>
      <c r="M63" s="24" t="e">
        <f ca="1">ROUND(L63,1)</f>
        <v>#N/A</v>
      </c>
      <c r="Z63" s="2421"/>
      <c r="AI63" s="2422"/>
    </row>
    <row r="64" spans="1:35" ht="14.25" customHeight="1">
      <c r="A64" s="196" t="s">
        <v>770</v>
      </c>
      <c r="B64" s="197" t="s">
        <v>2247</v>
      </c>
      <c r="C64" s="198" t="e">
        <f ca="1">D45</f>
        <v>#N/A</v>
      </c>
      <c r="D64" s="199" t="s">
        <v>32</v>
      </c>
      <c r="E64" s="200"/>
      <c r="F64" s="2487"/>
      <c r="G64" s="2487"/>
      <c r="H64" s="2495"/>
      <c r="I64" s="137"/>
      <c r="J64" s="3206"/>
      <c r="K64" s="2961" t="s">
        <v>2248</v>
      </c>
      <c r="L64" s="1748" t="e">
        <f ca="1">IF(M49&gt;2000,M49*0.5%,IF(AND(M49&gt;1000,M49&lt;=2000),M49*0.6%,IF(AND(M49&gt;500,M49&lt;=1000),M49*0.7%,IF(AND(M49&gt;200,M49&lt;=500),M49*0.8%,IF(AND(M49&gt;100,M49&lt;=200),M49*0.9%,IF(AND(M49&gt;50,M49&lt;=100),M49*1%,IF(AND(M49&gt;20,M49&lt;=50),M49*1.5%,IF(AND(M49&gt;10,M49&lt;=20),M49*2%,IF(AND(M49&gt;1,M49&lt;=10),M49*2.5%)))))))))</f>
        <v>#N/A</v>
      </c>
      <c r="M64" s="24" t="e">
        <f t="shared" ref="M64:M65" ca="1" si="1">ROUND(L64,1)</f>
        <v>#N/A</v>
      </c>
      <c r="N64" s="137" t="s">
        <v>2249</v>
      </c>
      <c r="Z64" s="2421"/>
      <c r="AI64" s="2422"/>
    </row>
    <row r="65" spans="1:35" ht="14.25" customHeight="1">
      <c r="A65" s="196" t="s">
        <v>771</v>
      </c>
      <c r="B65" s="197" t="s">
        <v>2250</v>
      </c>
      <c r="C65" s="201"/>
      <c r="D65" s="199"/>
      <c r="E65" s="200"/>
      <c r="F65" s="2487"/>
      <c r="G65" s="2487"/>
      <c r="H65" s="2495"/>
      <c r="I65" s="137"/>
      <c r="J65" s="3206"/>
      <c r="K65" s="2961" t="s">
        <v>2251</v>
      </c>
      <c r="L65" s="1748" t="e">
        <f ca="1">IF(M49&gt;1000,M49*0.1%,IF(AND(M49&gt;500,M49&lt;=1000),M49*0.5%,IF(AND(M49&gt;50,M49&lt;=500),M49*1%,IF(AND(M49&gt;1,M49&lt;=50),M49*1.5%))))</f>
        <v>#N/A</v>
      </c>
      <c r="M65" s="24" t="e">
        <f t="shared" ca="1" si="1"/>
        <v>#N/A</v>
      </c>
      <c r="N65" s="137" t="s">
        <v>2249</v>
      </c>
      <c r="Z65" s="2421"/>
      <c r="AI65" s="2422"/>
    </row>
    <row r="66" spans="1:35" ht="14.25" customHeight="1">
      <c r="A66" s="202" t="s">
        <v>772</v>
      </c>
      <c r="B66" s="203" t="s">
        <v>2252</v>
      </c>
      <c r="C66" s="204"/>
      <c r="D66" s="205" t="s">
        <v>32</v>
      </c>
      <c r="E66" s="1772" t="s">
        <v>1371</v>
      </c>
      <c r="F66" s="2487"/>
      <c r="G66" s="2487"/>
      <c r="H66" s="2495"/>
      <c r="I66" s="137"/>
      <c r="J66" s="3206"/>
      <c r="K66" s="2961" t="s">
        <v>2253</v>
      </c>
      <c r="L66" s="1748" t="e">
        <f ca="1">M49*0.5%</f>
        <v>#N/A</v>
      </c>
      <c r="M66" s="24" t="e">
        <f ca="1">IF(L66&gt;0.5,0.5,ROUND(L66,0))</f>
        <v>#N/A</v>
      </c>
      <c r="N66" s="137" t="s">
        <v>2254</v>
      </c>
      <c r="Z66" s="2421"/>
      <c r="AI66" s="2422"/>
    </row>
    <row r="67" spans="1:35" ht="14.25" customHeight="1">
      <c r="A67" s="202" t="s">
        <v>773</v>
      </c>
      <c r="B67" s="203" t="s">
        <v>2255</v>
      </c>
      <c r="C67" s="206" t="e">
        <f ca="1">C63-C66</f>
        <v>#N/A</v>
      </c>
      <c r="D67" s="199" t="s">
        <v>32</v>
      </c>
      <c r="E67" s="200"/>
      <c r="F67" s="2487"/>
      <c r="G67" s="2487"/>
      <c r="H67" s="2495"/>
      <c r="I67" s="137"/>
      <c r="J67" s="3206"/>
      <c r="K67" s="2961" t="s">
        <v>2256</v>
      </c>
      <c r="L67" s="1748" t="e">
        <f ca="1">IF(M49&gt;=10000,(8.25+(M49-10000)*0.01%),IF(AND(M49&gt;=8000,M49&lt;10000),(7.85+(M49-8000)*0.02%),IF(AND(M49&gt;=5000,M49&lt;8000),(6.65+(M49-5000)*0.04%),IF(AND(M49&gt;=2000,M49&lt;5000),(4.25+(PM49-2000)*0.08%),IF(AND(M49&gt;=1000,M49&lt;2000),(2.75+(M49-1000)*0.15%),IF(AND(M49&gt;=100,M49&lt;1000),(0.5+(M49-100)*0.25%),IF(AND(M49&gt;0,M49&lt;100),M49*0.5%)))))))</f>
        <v>#N/A</v>
      </c>
      <c r="M67" s="24" t="e">
        <f ca="1">ROUND(L67*0.9,1)</f>
        <v>#N/A</v>
      </c>
      <c r="Z67" s="2421"/>
      <c r="AI67" s="2422"/>
    </row>
    <row r="68" spans="1:35" ht="14.25" customHeight="1" thickBot="1">
      <c r="A68" s="207" t="s">
        <v>774</v>
      </c>
      <c r="B68" s="208" t="s">
        <v>2257</v>
      </c>
      <c r="C68" s="209" t="e">
        <f ca="1">IF(C67&lt;=0,0,ROUND(C67*D68,0))</f>
        <v>#N/A</v>
      </c>
      <c r="D68" s="210">
        <f>'数据-取费表'!B41</f>
        <v>5.5000000000000007E-2</v>
      </c>
      <c r="E68" s="211"/>
      <c r="F68" s="2487"/>
      <c r="G68" s="2487"/>
      <c r="H68" s="2495"/>
      <c r="I68" s="137"/>
      <c r="J68" s="3206"/>
      <c r="K68" s="2961" t="s">
        <v>2258</v>
      </c>
      <c r="L68" s="1748" t="e">
        <f ca="1">IF(M49&gt;10000,M49*0.5%,IF(AND(M49&gt;5000,M49&lt;=10000),M49*1%,IF(AND(M49&gt;1000,M49&lt;=5000),M49*2%,IF(AND(M49&gt;200,M49&lt;=1000),M49*3%,M49*5%))))</f>
        <v>#N/A</v>
      </c>
      <c r="M68" s="24" t="e">
        <f ca="1">ROUND(L68,1)</f>
        <v>#N/A</v>
      </c>
      <c r="Z68" s="2421"/>
      <c r="AI68" s="2422"/>
    </row>
    <row r="69" spans="1:35" s="2444" customFormat="1" ht="16.5" customHeight="1">
      <c r="A69" s="2498"/>
      <c r="B69" s="2499"/>
      <c r="C69" s="2500"/>
      <c r="D69" s="2501"/>
      <c r="E69" s="2502"/>
      <c r="F69" s="2164"/>
      <c r="G69" s="2164"/>
      <c r="H69" s="2163"/>
      <c r="I69" s="2416"/>
      <c r="J69" s="3206"/>
      <c r="K69" s="2961" t="s">
        <v>2259</v>
      </c>
      <c r="L69" s="2503"/>
      <c r="M69" s="24" t="e">
        <f ca="1">ROUND(SUM(M63:M68),0)</f>
        <v>#N/A</v>
      </c>
      <c r="N69" s="1749" t="e">
        <f ca="1">M69/M49</f>
        <v>#N/A</v>
      </c>
      <c r="O69" s="794"/>
      <c r="P69" s="794"/>
      <c r="Q69" s="794"/>
      <c r="R69" s="794"/>
      <c r="S69" s="794"/>
      <c r="T69" s="794"/>
      <c r="U69" s="794"/>
      <c r="V69" s="794"/>
      <c r="W69" s="794"/>
      <c r="X69" s="794"/>
      <c r="Y69" s="794"/>
      <c r="Z69" s="2421"/>
      <c r="AA69" s="2421"/>
      <c r="AB69" s="2421"/>
      <c r="AC69" s="2421"/>
      <c r="AD69" s="2421"/>
      <c r="AE69" s="2421"/>
      <c r="AF69" s="2421"/>
      <c r="AG69" s="2421"/>
      <c r="AH69" s="2421"/>
    </row>
    <row r="70" spans="1:35" s="2505" customFormat="1" ht="15" thickBot="1">
      <c r="A70" s="3165" t="s">
        <v>2260</v>
      </c>
      <c r="B70" s="3166"/>
      <c r="C70" s="3166"/>
      <c r="D70" s="3166"/>
      <c r="E70" s="3166"/>
      <c r="F70" s="3166"/>
      <c r="G70" s="3166"/>
      <c r="H70" s="3166"/>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44" t="s">
        <v>2241</v>
      </c>
      <c r="B71" s="3145"/>
      <c r="C71" s="2951"/>
      <c r="D71" s="2951" t="s">
        <v>2242</v>
      </c>
      <c r="E71" s="212" t="s">
        <v>2243</v>
      </c>
      <c r="F71" s="213"/>
      <c r="G71" s="213"/>
      <c r="H71" s="214"/>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2" t="s">
        <v>775</v>
      </c>
      <c r="B72" s="203" t="s">
        <v>2261</v>
      </c>
      <c r="C72" s="206" t="e">
        <f ca="1">ROUND(D45/(1+'数据-取费表'!C42),0)</f>
        <v>#N/A</v>
      </c>
      <c r="D72" s="199" t="s">
        <v>32</v>
      </c>
      <c r="E72" s="2950"/>
      <c r="F72" s="2945"/>
      <c r="G72" s="2945"/>
      <c r="H72" s="215"/>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2" t="s">
        <v>772</v>
      </c>
      <c r="B73" s="172" t="s">
        <v>2262</v>
      </c>
      <c r="C73" s="206" t="e">
        <f ca="1">C74+C78</f>
        <v>#N/A</v>
      </c>
      <c r="D73" s="199" t="s">
        <v>32</v>
      </c>
      <c r="E73" s="2950"/>
      <c r="F73" s="2945"/>
      <c r="G73" s="2945"/>
      <c r="H73" s="215"/>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6" t="s">
        <v>770</v>
      </c>
      <c r="B74" s="197" t="s">
        <v>2263</v>
      </c>
      <c r="C74" s="199">
        <f>ROUND(IF(G77="2016年5月1日后购买",C75/(1+'数据-取费表'!C42)+C76+C77,C75+C76+C77),0)</f>
        <v>0</v>
      </c>
      <c r="D74" s="199" t="s">
        <v>32</v>
      </c>
      <c r="E74" s="2950"/>
      <c r="F74" s="2945"/>
      <c r="G74" s="2945"/>
      <c r="H74" s="215"/>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6" t="s">
        <v>776</v>
      </c>
      <c r="B75" s="197" t="s">
        <v>2264</v>
      </c>
      <c r="C75" s="217"/>
      <c r="D75" s="199" t="s">
        <v>32</v>
      </c>
      <c r="E75" s="218" t="s">
        <v>2265</v>
      </c>
      <c r="F75" s="2509" t="s">
        <v>2266</v>
      </c>
      <c r="G75" s="218" t="s">
        <v>2267</v>
      </c>
      <c r="H75" s="219"/>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6" t="s">
        <v>777</v>
      </c>
      <c r="B76" s="220" t="s">
        <v>2268</v>
      </c>
      <c r="C76" s="199">
        <f>IF(F75="购房发票",ROUND(C75*H75*D76,0),0)</f>
        <v>0</v>
      </c>
      <c r="D76" s="221">
        <v>0.05</v>
      </c>
      <c r="E76" s="3139" t="s">
        <v>2269</v>
      </c>
      <c r="F76" s="3116"/>
      <c r="G76" s="3116"/>
      <c r="H76" s="3164"/>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6" t="s">
        <v>778</v>
      </c>
      <c r="B77" s="197" t="s">
        <v>2270</v>
      </c>
      <c r="C77" s="199">
        <f>ROUND(IF(G77="个人住宅",0,IF(G77="2016年5月1日前购买",C75*D77,C75*D77/(1+'数据-取费表'!C42))),0)</f>
        <v>0</v>
      </c>
      <c r="D77" s="222">
        <f>'数据-取费表'!B48+'数据-取费表'!B49</f>
        <v>3.0499999999999999E-2</v>
      </c>
      <c r="E77" s="2962" t="s">
        <v>2271</v>
      </c>
      <c r="F77" s="223"/>
      <c r="G77" s="2511" t="s">
        <v>2272</v>
      </c>
      <c r="H77" s="2953"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6" t="s">
        <v>771</v>
      </c>
      <c r="B78" s="197" t="s">
        <v>2273</v>
      </c>
      <c r="C78" s="224" t="e">
        <f ca="1">ROUND(D45*D78/(1+'数据-取费表'!C42),0)</f>
        <v>#N/A</v>
      </c>
      <c r="D78" s="225">
        <f>'数据-取费表'!B43</f>
        <v>5.000000000000001E-3</v>
      </c>
      <c r="E78" s="3125" t="s">
        <v>2274</v>
      </c>
      <c r="F78" s="3126"/>
      <c r="G78" s="3126"/>
      <c r="H78" s="3135"/>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3" t="s">
        <v>2275</v>
      </c>
      <c r="C79" s="206" t="e">
        <f ca="1">C72-C73</f>
        <v>#N/A</v>
      </c>
      <c r="D79" s="199" t="s">
        <v>32</v>
      </c>
      <c r="E79" s="2950"/>
      <c r="F79" s="2945"/>
      <c r="G79" s="2945"/>
      <c r="H79" s="215"/>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3" t="s">
        <v>2276</v>
      </c>
      <c r="C80" s="226" t="e">
        <f ca="1">IF(C79&lt;=0,0,C79/C73)</f>
        <v>#N/A</v>
      </c>
      <c r="D80" s="199" t="s">
        <v>32</v>
      </c>
      <c r="E80" s="2962" t="e">
        <f ca="1">IF(C80&gt;=200%,"增值额超过扣除项目金额200%",IF(C80&gt;=100%,"增值额超过扣除项目金额100%，未超过200%",IF(C80&gt;=50%,"增值额超过扣除项目金额50%，未超过100%",IF(C80&lt;50%,"增值额未超过扣除项目金额50%"))))</f>
        <v>#N/A</v>
      </c>
      <c r="F80" s="2945"/>
      <c r="G80" s="2945"/>
      <c r="H80" s="215"/>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8" t="s">
        <v>2277</v>
      </c>
      <c r="C81" s="227" t="e">
        <f ca="1">ROUND(IF(C79&lt;=0,0,IF(C80&gt;=200%,C79*60%-C73*35%,IF(C80&gt;=100%,C79*50%-C73*15%,IF(C80&gt;=50%,C79*40%-C73*5%,IF(C80&lt;50%,C79*30%,0))))),0)</f>
        <v>#N/A</v>
      </c>
      <c r="D81" s="228" t="s">
        <v>32</v>
      </c>
      <c r="E81" s="2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0"/>
      <c r="G81" s="230"/>
      <c r="H81" s="231"/>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2"/>
      <c r="B82" s="733"/>
      <c r="C82" s="7"/>
      <c r="D82" s="7"/>
      <c r="E82" s="733"/>
      <c r="F82" s="733"/>
      <c r="G82" s="733"/>
      <c r="H82" s="734"/>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65" t="s">
        <v>2278</v>
      </c>
      <c r="B83" s="3166"/>
      <c r="C83" s="3166"/>
      <c r="D83" s="3166"/>
      <c r="E83" s="3166"/>
      <c r="F83" s="3166"/>
      <c r="G83" s="3166"/>
      <c r="H83" s="3166"/>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44" t="s">
        <v>2241</v>
      </c>
      <c r="B84" s="3145"/>
      <c r="C84" s="2951"/>
      <c r="D84" s="2951" t="s">
        <v>2242</v>
      </c>
      <c r="E84" s="212" t="s">
        <v>2243</v>
      </c>
      <c r="F84" s="213"/>
      <c r="G84" s="213"/>
      <c r="H84" s="232"/>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2" t="s">
        <v>775</v>
      </c>
      <c r="B85" s="203" t="s">
        <v>2261</v>
      </c>
      <c r="C85" s="206" t="e">
        <f ca="1">ROUND(D45/(1+'数据-取费表'!C42),0)</f>
        <v>#N/A</v>
      </c>
      <c r="D85" s="199" t="s">
        <v>32</v>
      </c>
      <c r="E85" s="2950"/>
      <c r="F85" s="2945"/>
      <c r="G85" s="2945"/>
      <c r="H85" s="233"/>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2" t="s">
        <v>772</v>
      </c>
      <c r="B86" s="172" t="s">
        <v>2262</v>
      </c>
      <c r="C86" s="206" t="e">
        <f ca="1">IF(H88="仅含出让金",C87+C90+C91+C92+C93+C94,C87+C91+C92+C93+C94)</f>
        <v>#N/A</v>
      </c>
      <c r="D86" s="234"/>
      <c r="E86" s="2950"/>
      <c r="F86" s="2945"/>
      <c r="G86" s="2945"/>
      <c r="H86" s="233"/>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6" t="s">
        <v>770</v>
      </c>
      <c r="B87" s="197" t="s">
        <v>2279</v>
      </c>
      <c r="C87" s="224">
        <f>C88+C89</f>
        <v>0</v>
      </c>
      <c r="D87" s="225"/>
      <c r="E87" s="2946"/>
      <c r="F87" s="2947"/>
      <c r="G87" s="2947"/>
      <c r="H87" s="2949"/>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6" t="s">
        <v>776</v>
      </c>
      <c r="B88" s="197" t="s">
        <v>2280</v>
      </c>
      <c r="C88" s="235"/>
      <c r="D88" s="225"/>
      <c r="E88" s="236" t="s">
        <v>2281</v>
      </c>
      <c r="F88" s="2947"/>
      <c r="G88" s="237" t="s">
        <v>2282</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6" t="s">
        <v>777</v>
      </c>
      <c r="B89" s="197" t="s">
        <v>2270</v>
      </c>
      <c r="C89" s="224">
        <f>ROUND(C88*D89,0)</f>
        <v>0</v>
      </c>
      <c r="D89" s="225">
        <f>'数据-取费表'!B48+'数据-取费表'!B49</f>
        <v>3.0499999999999999E-2</v>
      </c>
      <c r="E89" s="236" t="s">
        <v>2283</v>
      </c>
      <c r="F89" s="2947"/>
      <c r="G89" s="2947"/>
      <c r="H89" s="2949"/>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6" t="s">
        <v>771</v>
      </c>
      <c r="B90" s="197" t="s">
        <v>2284</v>
      </c>
      <c r="C90" s="235"/>
      <c r="D90" s="225"/>
      <c r="E90" s="236" t="str">
        <f>IF(H88="-","土地取得成本中已包含该笔费用"," ")</f>
        <v xml:space="preserve"> </v>
      </c>
      <c r="F90" s="2947"/>
      <c r="G90" s="2947"/>
      <c r="H90" s="2949"/>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6" t="s">
        <v>2285</v>
      </c>
      <c r="B91" s="197" t="s">
        <v>2286</v>
      </c>
      <c r="C91" s="224">
        <f>IF(H91="——",成本法!C33,I91)</f>
        <v>0</v>
      </c>
      <c r="D91" s="225"/>
      <c r="E91" s="3125" t="s">
        <v>2287</v>
      </c>
      <c r="F91" s="3126"/>
      <c r="G91" s="3126"/>
      <c r="H91" s="2516" t="s">
        <v>2288</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6" t="s">
        <v>2289</v>
      </c>
      <c r="B92" s="197" t="s">
        <v>2290</v>
      </c>
      <c r="C92" s="224">
        <f>ROUND((C87+C90+C91)*D92,0)</f>
        <v>0</v>
      </c>
      <c r="D92" s="225">
        <v>0.1</v>
      </c>
      <c r="E92" s="3125" t="s">
        <v>2291</v>
      </c>
      <c r="F92" s="3126"/>
      <c r="G92" s="3126"/>
      <c r="H92" s="3135"/>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6" t="s">
        <v>2292</v>
      </c>
      <c r="B93" s="197" t="s">
        <v>2273</v>
      </c>
      <c r="C93" s="224" t="e">
        <f ca="1">ROUND(D45*D93/(1+'数据-取费表'!C42),0)</f>
        <v>#N/A</v>
      </c>
      <c r="D93" s="225">
        <f>'数据-取费表'!B43</f>
        <v>5.000000000000001E-3</v>
      </c>
      <c r="E93" s="3125" t="s">
        <v>2274</v>
      </c>
      <c r="F93" s="3126"/>
      <c r="G93" s="3126"/>
      <c r="H93" s="3135"/>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6" t="s">
        <v>2293</v>
      </c>
      <c r="B94" s="197" t="s">
        <v>2294</v>
      </c>
      <c r="C94" s="235">
        <f>ROUND((C87+C90+C91)*D94,0)</f>
        <v>0</v>
      </c>
      <c r="D94" s="225">
        <v>0.2</v>
      </c>
      <c r="E94" s="3136" t="s">
        <v>2295</v>
      </c>
      <c r="F94" s="3137"/>
      <c r="G94" s="3137"/>
      <c r="H94" s="3138"/>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3" t="s">
        <v>2275</v>
      </c>
      <c r="C95" s="206" t="e">
        <f ca="1">ROUND(C85-C86,0)</f>
        <v>#N/A</v>
      </c>
      <c r="D95" s="199" t="s">
        <v>32</v>
      </c>
      <c r="E95" s="2950"/>
      <c r="F95" s="2945"/>
      <c r="G95" s="2945"/>
      <c r="H95" s="233"/>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3" t="s">
        <v>2276</v>
      </c>
      <c r="C96" s="226" t="e">
        <f ca="1">IF(C95&lt;=0,0,C95/C86)</f>
        <v>#N/A</v>
      </c>
      <c r="D96" s="199" t="s">
        <v>32</v>
      </c>
      <c r="E96" s="2962" t="e">
        <f ca="1">IF(C96&gt;=200%,"增值额超过扣除项目金额200%",IF(C96&gt;=100%,"增值额超过扣除项目金额100%，未超过200%",IF(C96&gt;=50%,"增值额超过扣除项目金额50%，未超过100%",IF(C96&lt;50%,"增值额未超过扣除项目金额50%"))))</f>
        <v>#N/A</v>
      </c>
      <c r="F96" s="2945"/>
      <c r="G96" s="2945"/>
      <c r="H96" s="233"/>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8" t="s">
        <v>2277</v>
      </c>
      <c r="C97" s="227" t="e">
        <f ca="1">ROUND(IF(C95&lt;=0,0,IF(C96&gt;=200%,C95*60%-C86*35%,IF(C96&gt;=100%,C95*50%-C86*15%,IF(C96&gt;=50%,C95*40%-C86*5%,IF(C96&lt;50%,C95*30%,0))))),0)</f>
        <v>#N/A</v>
      </c>
      <c r="D97" s="228" t="s">
        <v>32</v>
      </c>
      <c r="E97" s="2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0"/>
      <c r="G97" s="230"/>
      <c r="H97" s="238"/>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7"/>
    </row>
    <row r="99" spans="1:35" ht="21.75" customHeight="1" thickBot="1">
      <c r="A99" s="2472" t="s">
        <v>2296</v>
      </c>
      <c r="B99" s="2416"/>
      <c r="C99" s="2416"/>
      <c r="D99" s="2416"/>
      <c r="E99" s="2164"/>
      <c r="F99" s="2164"/>
      <c r="G99" s="2164"/>
      <c r="H99" s="2163"/>
      <c r="I99" s="137"/>
    </row>
    <row r="100" spans="1:35" ht="18.75" customHeight="1">
      <c r="A100" s="3110" t="s">
        <v>2297</v>
      </c>
      <c r="B100" s="3111"/>
      <c r="C100" s="3111"/>
      <c r="D100" s="3127"/>
      <c r="E100" s="3111" t="s">
        <v>2298</v>
      </c>
      <c r="F100" s="3111"/>
      <c r="G100" s="3111"/>
      <c r="H100" s="3127"/>
      <c r="I100" s="137"/>
    </row>
    <row r="101" spans="1:35" ht="18.75" customHeight="1">
      <c r="A101" s="3189" t="s">
        <v>2299</v>
      </c>
      <c r="B101" s="3190"/>
      <c r="C101" s="735" t="str">
        <f>C4</f>
        <v>比较法-商业</v>
      </c>
      <c r="D101" s="736" t="str">
        <f>D4</f>
        <v>收益法商业</v>
      </c>
      <c r="E101" s="3203" t="s">
        <v>2300</v>
      </c>
      <c r="F101" s="3157"/>
      <c r="G101" s="2518" t="s">
        <v>2301</v>
      </c>
      <c r="H101" s="1044" t="e">
        <f ca="1">H118</f>
        <v>#N/A</v>
      </c>
      <c r="I101" s="137"/>
    </row>
    <row r="102" spans="1:35" ht="18.75" customHeight="1">
      <c r="A102" s="3159" t="s">
        <v>2302</v>
      </c>
      <c r="B102" s="2518" t="s">
        <v>2301</v>
      </c>
      <c r="C102" s="735">
        <f ca="1">C19</f>
        <v>0</v>
      </c>
      <c r="D102" s="736" t="e">
        <f ca="1">D19</f>
        <v>#N/A</v>
      </c>
      <c r="E102" s="3203"/>
      <c r="F102" s="3157"/>
      <c r="G102" s="2518" t="s">
        <v>2303</v>
      </c>
      <c r="H102" s="370" t="e">
        <f ca="1">I118</f>
        <v>#N/A</v>
      </c>
      <c r="I102" s="137"/>
    </row>
    <row r="103" spans="1:35" ht="42.75" customHeight="1">
      <c r="A103" s="3159"/>
      <c r="B103" s="2518" t="s">
        <v>2303</v>
      </c>
      <c r="C103" s="737">
        <f ca="1">C20</f>
        <v>49680</v>
      </c>
      <c r="D103" s="738">
        <f ca="1">D20</f>
        <v>0</v>
      </c>
      <c r="E103" s="3198" t="s">
        <v>2304</v>
      </c>
      <c r="F103" s="3199"/>
      <c r="G103" s="2519" t="s">
        <v>2305</v>
      </c>
      <c r="H103" s="1044">
        <f>IF(D36="正常操作",H104+H105+H106,H105+H106)</f>
        <v>0</v>
      </c>
      <c r="I103" s="137"/>
    </row>
    <row r="104" spans="1:35" ht="18.75" customHeight="1">
      <c r="A104" s="3159" t="s">
        <v>2306</v>
      </c>
      <c r="B104" s="2520" t="s">
        <v>2301</v>
      </c>
      <c r="C104" s="739" t="e">
        <f ca="1">H118</f>
        <v>#N/A</v>
      </c>
      <c r="D104" s="740"/>
      <c r="E104" s="2264" t="s">
        <v>2307</v>
      </c>
      <c r="F104" s="2256"/>
      <c r="G104" s="2519" t="s">
        <v>2305</v>
      </c>
      <c r="H104" s="1045">
        <f>IF(D36="同一抵押权人同一抵押物续贷",C36&amp;"（未扣减，详见特别提示）",C36)</f>
        <v>0</v>
      </c>
      <c r="I104" s="137"/>
    </row>
    <row r="105" spans="1:35" ht="18.75" customHeight="1" thickBot="1">
      <c r="A105" s="3160"/>
      <c r="B105" s="2521" t="s">
        <v>2303</v>
      </c>
      <c r="C105" s="741" t="e">
        <f ca="1">I118</f>
        <v>#N/A</v>
      </c>
      <c r="D105" s="742"/>
      <c r="E105" s="2264" t="s">
        <v>2308</v>
      </c>
      <c r="F105" s="2256"/>
      <c r="G105" s="2519" t="s">
        <v>2305</v>
      </c>
      <c r="H105" s="1045">
        <f>C37</f>
        <v>0</v>
      </c>
      <c r="I105" s="137"/>
    </row>
    <row r="106" spans="1:35" ht="18.75" customHeight="1">
      <c r="A106" s="2416" t="s">
        <v>2309</v>
      </c>
      <c r="B106" s="2416"/>
      <c r="C106" s="2416"/>
      <c r="D106" s="2416"/>
      <c r="E106" s="2522" t="s">
        <v>2310</v>
      </c>
      <c r="F106" s="2256"/>
      <c r="G106" s="2519" t="s">
        <v>2305</v>
      </c>
      <c r="H106" s="1045">
        <f>C38</f>
        <v>0</v>
      </c>
      <c r="I106" s="137"/>
    </row>
    <row r="107" spans="1:35" ht="18.75" customHeight="1">
      <c r="A107" s="137"/>
      <c r="B107" s="137"/>
      <c r="C107" s="137"/>
      <c r="D107" s="137"/>
      <c r="E107" s="3156" t="str">
        <f>IF(项目基本情况!E8="已注销","——","3.房地产抵押价值")</f>
        <v>3.房地产抵押价值</v>
      </c>
      <c r="F107" s="3157"/>
      <c r="G107" s="2518" t="s">
        <v>2301</v>
      </c>
      <c r="H107" s="1044" t="e">
        <f ca="1">IF(E107="——","——",H101-H103)</f>
        <v>#N/A</v>
      </c>
      <c r="I107" s="137"/>
    </row>
    <row r="108" spans="1:35" ht="18.75" customHeight="1">
      <c r="A108" s="137"/>
      <c r="B108" s="137"/>
      <c r="C108" s="137"/>
      <c r="D108" s="137"/>
      <c r="E108" s="3156"/>
      <c r="F108" s="3157"/>
      <c r="G108" s="2518" t="s">
        <v>2303</v>
      </c>
      <c r="H108" s="370" t="e">
        <f ca="1">ROUND(H107*10000/'数据-汇总表'!E3,0)</f>
        <v>#N/A</v>
      </c>
      <c r="I108" s="137"/>
    </row>
    <row r="109" spans="1:35" ht="18.75" customHeight="1">
      <c r="A109" s="137"/>
      <c r="B109" s="137"/>
      <c r="C109" s="137"/>
      <c r="D109" s="137"/>
      <c r="E109" s="3156" t="str">
        <f>IF(项目基本情况!E8="已注销及未注销","4.抵押担保权已注销时的房地产抵押价值",IF(项目基本情况!E8="已注销","3.抵押担保权已注销时的房地产抵押价值","——"))</f>
        <v>——</v>
      </c>
      <c r="F109" s="3157"/>
      <c r="G109" s="2518" t="s">
        <v>2301</v>
      </c>
      <c r="H109" s="347" t="str">
        <f>IF(E109="——","——",H101-H105-H106)</f>
        <v>——</v>
      </c>
      <c r="I109" s="137"/>
    </row>
    <row r="110" spans="1:35" ht="18.75" customHeight="1">
      <c r="A110" s="137"/>
      <c r="B110" s="137"/>
      <c r="C110" s="137"/>
      <c r="D110" s="137"/>
      <c r="E110" s="3156"/>
      <c r="F110" s="3157"/>
      <c r="G110" s="2518" t="s">
        <v>2303</v>
      </c>
      <c r="H110" s="370" t="str">
        <f>IF(H109="——","——",ROUND(H109*10000/'数据-汇总表'!E3,0))</f>
        <v>——</v>
      </c>
      <c r="I110" s="137"/>
    </row>
    <row r="111" spans="1:35" ht="18.75" customHeight="1">
      <c r="A111" s="137"/>
      <c r="B111" s="137"/>
      <c r="C111" s="137"/>
      <c r="D111" s="137"/>
      <c r="E111" s="3191" t="str">
        <f>IF(项目基本情况!E9="抵押净值",IF(OR(项目基本情况!E8="已注销",项目基本情况!E8="房地产抵押价值"),"4.抵押净值","5.抵押净值"),"——")</f>
        <v>——</v>
      </c>
      <c r="F111" s="3192"/>
      <c r="G111" s="2518" t="s">
        <v>2301</v>
      </c>
      <c r="H111" s="1044" t="str">
        <f>IF(E111="——","——",N59)</f>
        <v>——</v>
      </c>
      <c r="I111" s="137"/>
    </row>
    <row r="112" spans="1:35" ht="18.75" customHeight="1" thickBot="1">
      <c r="A112" s="137"/>
      <c r="B112" s="137"/>
      <c r="C112" s="137"/>
      <c r="D112" s="137"/>
      <c r="E112" s="3193"/>
      <c r="F112" s="3194"/>
      <c r="G112" s="2523" t="s">
        <v>2303</v>
      </c>
      <c r="H112" s="789" t="str">
        <f>IF(E111="——","——",N61)</f>
        <v>——</v>
      </c>
      <c r="I112" s="137"/>
    </row>
    <row r="113" spans="1:11" ht="18.75" customHeight="1">
      <c r="A113" s="137"/>
      <c r="B113" s="137"/>
      <c r="C113" s="137"/>
      <c r="D113" s="137"/>
      <c r="E113" s="3161" t="s">
        <v>2309</v>
      </c>
      <c r="F113" s="3161"/>
      <c r="G113" s="3161"/>
      <c r="H113" s="3161"/>
      <c r="I113" s="137"/>
    </row>
    <row r="114" spans="1:11" ht="3.75" customHeight="1">
      <c r="A114" s="2416"/>
      <c r="B114" s="2416"/>
      <c r="C114" s="2416"/>
      <c r="D114" s="2416"/>
      <c r="E114" s="2494"/>
      <c r="F114" s="2494"/>
      <c r="G114" s="2494"/>
      <c r="H114" s="2494"/>
      <c r="I114" s="2416"/>
    </row>
    <row r="115" spans="1:11" ht="18.75" customHeight="1">
      <c r="A115" s="3174" t="s">
        <v>2311</v>
      </c>
      <c r="B115" s="3175"/>
      <c r="C115" s="3175"/>
      <c r="D115" s="3175"/>
      <c r="E115" s="3175"/>
      <c r="F115" s="3175"/>
      <c r="G115" s="3175"/>
      <c r="H115" s="3175"/>
      <c r="I115" s="3176"/>
    </row>
    <row r="116" spans="1:11" ht="27" customHeight="1">
      <c r="A116" s="3052" t="s">
        <v>2312</v>
      </c>
      <c r="B116" s="3162" t="s">
        <v>2313</v>
      </c>
      <c r="C116" s="3162" t="s">
        <v>2314</v>
      </c>
      <c r="D116" s="3178" t="s">
        <v>2315</v>
      </c>
      <c r="E116" s="3179"/>
      <c r="F116" s="3170" t="s">
        <v>2316</v>
      </c>
      <c r="G116" s="3170"/>
      <c r="H116" s="3052" t="s">
        <v>2317</v>
      </c>
      <c r="I116" s="3052"/>
    </row>
    <row r="117" spans="1:11" ht="18.75" customHeight="1">
      <c r="A117" s="3052"/>
      <c r="B117" s="3163"/>
      <c r="C117" s="3163"/>
      <c r="D117" s="2942" t="s">
        <v>2318</v>
      </c>
      <c r="E117" s="2942" t="s">
        <v>2319</v>
      </c>
      <c r="F117" s="2942" t="s">
        <v>2318</v>
      </c>
      <c r="G117" s="2942" t="s">
        <v>2320</v>
      </c>
      <c r="H117" s="2942" t="s">
        <v>2318</v>
      </c>
      <c r="I117" s="2942" t="s">
        <v>2320</v>
      </c>
    </row>
    <row r="118" spans="1:11" ht="24.75" customHeight="1">
      <c r="A118" s="2524" t="str">
        <f>项目基本情况!S2</f>
        <v>北京市房地产</v>
      </c>
      <c r="B118" s="2942">
        <f>M18</f>
        <v>0</v>
      </c>
      <c r="C118" s="2942">
        <f>M19</f>
        <v>0</v>
      </c>
      <c r="D118" s="2942" t="e">
        <f ca="1">ROUND(IF(D32="总价",C34,E118*B118/10000),0)</f>
        <v>#N/A</v>
      </c>
      <c r="E118" s="2942" t="e">
        <f ca="1">ROUND(IF(C33="自定义",IF(D32="楼面单价",C34,D118*10000/B118),I118-G118),0)</f>
        <v>#N/A</v>
      </c>
      <c r="F118" s="2942" t="e">
        <f ca="1">ROUND(IF(D32="总价",C35,G118*B118/10000),0)</f>
        <v>#N/A</v>
      </c>
      <c r="G118" s="2942" t="e">
        <f ca="1">ROUND(IF(D32="楼面单价",C35,F118*10000/B118),0)</f>
        <v>#N/A</v>
      </c>
      <c r="H118" s="2942" t="e">
        <f ca="1">ROUND(IF(D32="总价",C32,I118*B118/10000),0)</f>
        <v>#N/A</v>
      </c>
      <c r="I118" s="2942" t="e">
        <f ca="1">ROUND(IF(D32="楼面单价",C32,H118*10000/B118),0)</f>
        <v>#N/A</v>
      </c>
    </row>
    <row r="119" spans="1:11" ht="18.75" customHeight="1">
      <c r="A119" s="3052" t="s">
        <v>2321</v>
      </c>
      <c r="B119" s="3052"/>
      <c r="C119" s="3052"/>
      <c r="D119" s="3167" t="e">
        <f ca="1">NUMBERSTRING(INT(D118*10000),2)&amp;"元整"</f>
        <v>#N/A</v>
      </c>
      <c r="E119" s="3169"/>
      <c r="F119" s="3167" t="e">
        <f ca="1">NUMBERSTRING(INT(F118*10000),2)&amp;"元整"</f>
        <v>#N/A</v>
      </c>
      <c r="G119" s="3169"/>
      <c r="H119" s="3167" t="e">
        <f ca="1">NUMBERSTRING(INT(H118*10000),2)&amp;"元整"</f>
        <v>#N/A</v>
      </c>
      <c r="I119" s="3169"/>
    </row>
    <row r="120" spans="1:11" ht="18.75" customHeight="1">
      <c r="A120" s="3195" t="str">
        <f>IF(项目基本情况!B9="房地产市场价值","",MID(E103,3,LEN(E103)-2))</f>
        <v>估价师知悉的法定优先受偿款</v>
      </c>
      <c r="B120" s="3196"/>
      <c r="C120" s="3197"/>
      <c r="D120" s="3195">
        <f>H103</f>
        <v>0</v>
      </c>
      <c r="E120" s="3196"/>
      <c r="F120" s="3196"/>
      <c r="G120" s="3196"/>
      <c r="H120" s="3196"/>
      <c r="I120" s="3197"/>
      <c r="K120" s="2421" t="str">
        <f>IF(D120=0,"故，本次评估不存在"&amp;A120,"故，本次评估"&amp;A120&amp;"为人民币"&amp;D120&amp;"万元整。")</f>
        <v>故，本次评估不存在估价师知悉的法定优先受偿款</v>
      </c>
    </row>
    <row r="121" spans="1:11" ht="18.75" customHeight="1">
      <c r="A121" s="3171" t="s">
        <v>2321</v>
      </c>
      <c r="B121" s="3172"/>
      <c r="C121" s="3173"/>
      <c r="D121" s="3167" t="str">
        <f>IF(D120=0,"零元整",NUMBERSTRING(INT(D120*10000),2)&amp;"元整")</f>
        <v>零元整</v>
      </c>
      <c r="E121" s="3168"/>
      <c r="F121" s="3168"/>
      <c r="G121" s="3168"/>
      <c r="H121" s="3168"/>
      <c r="I121" s="3169"/>
    </row>
    <row r="122" spans="1:11" ht="18.75" customHeight="1">
      <c r="A122" s="3158" t="str">
        <f>IF(项目基本情况!B9="房地产市场价值","",MID(E107,3,LEN(E107)-2))</f>
        <v>房地产抵押价值</v>
      </c>
      <c r="B122" s="3158"/>
      <c r="C122" s="3158"/>
      <c r="D122" s="3195" t="e">
        <f ca="1">H107</f>
        <v>#N/A</v>
      </c>
      <c r="E122" s="3196"/>
      <c r="F122" s="3196"/>
      <c r="G122" s="3196"/>
      <c r="H122" s="3196"/>
      <c r="I122" s="3197"/>
    </row>
    <row r="123" spans="1:11" ht="18.75" customHeight="1">
      <c r="A123" s="3052" t="s">
        <v>2321</v>
      </c>
      <c r="B123" s="3052"/>
      <c r="C123" s="3052"/>
      <c r="D123" s="3167" t="e">
        <f ca="1">NUMBERSTRING(INT(D122*10000),2)&amp;"元整"</f>
        <v>#N/A</v>
      </c>
      <c r="E123" s="3168"/>
      <c r="F123" s="3168"/>
      <c r="G123" s="3168"/>
      <c r="H123" s="3168"/>
      <c r="I123" s="3169"/>
    </row>
    <row r="124" spans="1:11" ht="18.75" customHeight="1">
      <c r="A124" s="3158" t="str">
        <f>IF(项目基本情况!B9="房地产市场价值","",MID(E109,3,LEN(E109)-2))</f>
        <v/>
      </c>
      <c r="B124" s="3158"/>
      <c r="C124" s="3158"/>
      <c r="D124" s="3195" t="str">
        <f>H109</f>
        <v>——</v>
      </c>
      <c r="E124" s="3196"/>
      <c r="F124" s="3196"/>
      <c r="G124" s="3196"/>
      <c r="H124" s="3196"/>
      <c r="I124" s="3197"/>
    </row>
    <row r="125" spans="1:11" ht="18.75" customHeight="1">
      <c r="A125" s="3052" t="s">
        <v>2321</v>
      </c>
      <c r="B125" s="3052"/>
      <c r="C125" s="3052"/>
      <c r="D125" s="3167" t="e">
        <f>NUMBERSTRING(INT(D124*10000),2)&amp;"元整"</f>
        <v>#VALUE!</v>
      </c>
      <c r="E125" s="3168"/>
      <c r="F125" s="3168"/>
      <c r="G125" s="3168"/>
      <c r="H125" s="3168"/>
      <c r="I125" s="3169"/>
    </row>
    <row r="126" spans="1:11" ht="18.75" customHeight="1">
      <c r="A126" s="3158" t="str">
        <f>IF(项目基本情况!B9="房地产市场价值","",MID(E111,3,LEN(E111)-2))</f>
        <v/>
      </c>
      <c r="B126" s="3158"/>
      <c r="C126" s="3158"/>
      <c r="D126" s="3195" t="str">
        <f>H111</f>
        <v>——</v>
      </c>
      <c r="E126" s="3196"/>
      <c r="F126" s="3196"/>
      <c r="G126" s="3196"/>
      <c r="H126" s="3196"/>
      <c r="I126" s="3197"/>
    </row>
    <row r="127" spans="1:11" ht="18.75" customHeight="1">
      <c r="A127" s="3052" t="s">
        <v>2321</v>
      </c>
      <c r="B127" s="3052"/>
      <c r="C127" s="3052"/>
      <c r="D127" s="3167" t="e">
        <f>NUMBERSTRING(INT(D126*10000),2)&amp;"元整"</f>
        <v>#VALUE!</v>
      </c>
      <c r="E127" s="3168"/>
      <c r="F127" s="3168"/>
      <c r="G127" s="3168"/>
      <c r="H127" s="3168"/>
      <c r="I127" s="3169"/>
    </row>
    <row r="128" spans="1:11" ht="21.75" customHeight="1">
      <c r="A128" s="3177" t="s">
        <v>2322</v>
      </c>
      <c r="B128" s="3177"/>
      <c r="C128" s="3177"/>
      <c r="D128" s="3177"/>
      <c r="E128" s="3177"/>
      <c r="F128" s="3177"/>
      <c r="G128" s="3177"/>
      <c r="H128" s="3177"/>
      <c r="I128" s="3177"/>
    </row>
    <row r="129" spans="1:35" ht="21.75" customHeight="1">
      <c r="A129" s="2525" t="s">
        <v>2323</v>
      </c>
      <c r="B129" s="2526"/>
      <c r="C129" s="2527" t="s">
        <v>2324</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4"/>
    </row>
    <row r="135" spans="1:35" ht="21.75" customHeight="1">
      <c r="A135" s="794"/>
      <c r="B135" s="794"/>
      <c r="C135" s="794"/>
      <c r="D135" s="794"/>
      <c r="E135" s="794"/>
      <c r="F135" s="2541" t="s">
        <v>2325</v>
      </c>
      <c r="G135" s="2542"/>
      <c r="H135" s="2542"/>
      <c r="I135" s="2543" t="s">
        <v>2326</v>
      </c>
    </row>
    <row r="136" spans="1:35" ht="21.75" customHeight="1">
      <c r="A136" s="794"/>
      <c r="B136" s="2544" t="s">
        <v>2327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2"/>
      <c r="C138" s="2542"/>
      <c r="D138" s="2542"/>
      <c r="E138" s="2542"/>
      <c r="F138" s="2542"/>
      <c r="G138" s="2542"/>
      <c r="H138" s="2542"/>
      <c r="I138" s="2543" t="s">
        <v>2328</v>
      </c>
    </row>
    <row r="139" spans="1:35" ht="21.75" customHeight="1">
      <c r="A139" s="794"/>
      <c r="B139" s="2544" t="s">
        <v>2329</v>
      </c>
      <c r="C139" s="794"/>
      <c r="D139" s="794"/>
      <c r="E139" s="794"/>
      <c r="F139" s="794"/>
      <c r="G139" s="794"/>
      <c r="H139" s="794"/>
      <c r="I139" s="794"/>
    </row>
    <row r="140" spans="1:35" ht="21.75" customHeight="1">
      <c r="A140" s="794"/>
      <c r="B140" s="2544"/>
      <c r="C140" s="794"/>
      <c r="D140" s="794"/>
      <c r="E140" s="794"/>
      <c r="F140" s="794"/>
      <c r="G140" s="794"/>
      <c r="H140" s="794"/>
      <c r="I140" s="794"/>
    </row>
    <row r="141" spans="1:35" ht="21.75" customHeight="1">
      <c r="A141" s="794"/>
      <c r="B141" s="2542"/>
      <c r="C141" s="2542"/>
      <c r="D141" s="2542"/>
      <c r="E141" s="2542"/>
      <c r="F141" s="2542"/>
      <c r="G141" s="2542"/>
      <c r="H141" s="2542"/>
      <c r="I141" s="2543" t="s">
        <v>2328</v>
      </c>
    </row>
    <row r="142" spans="1:35" ht="21.75" customHeight="1">
      <c r="A142" s="794"/>
      <c r="B142" s="2544"/>
      <c r="C142" s="2545"/>
      <c r="D142" s="2546"/>
      <c r="E142" s="2546"/>
      <c r="F142" s="2338"/>
      <c r="G142" s="794"/>
      <c r="H142" s="794"/>
      <c r="I142" s="794"/>
    </row>
    <row r="143" spans="1:35" s="138" customFormat="1" ht="21.75" customHeight="1">
      <c r="A143" s="794"/>
      <c r="B143" s="2544"/>
      <c r="C143" s="2545"/>
      <c r="D143" s="2546"/>
      <c r="E143" s="2546"/>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38" priority="10" stopIfTrue="1" operator="equal">
      <formula>25</formula>
    </cfRule>
  </conditionalFormatting>
  <conditionalFormatting sqref="C8:C9">
    <cfRule type="cellIs" dxfId="137" priority="9" stopIfTrue="1" operator="equal">
      <formula>15</formula>
    </cfRule>
  </conditionalFormatting>
  <conditionalFormatting sqref="C14:C16">
    <cfRule type="cellIs" dxfId="136" priority="8" stopIfTrue="1" operator="equal">
      <formula>30</formula>
    </cfRule>
  </conditionalFormatting>
  <conditionalFormatting sqref="D5:D7">
    <cfRule type="cellIs" dxfId="135" priority="7" stopIfTrue="1" operator="equal">
      <formula>25</formula>
    </cfRule>
  </conditionalFormatting>
  <conditionalFormatting sqref="D8:D9">
    <cfRule type="cellIs" dxfId="134" priority="6" stopIfTrue="1" operator="equal">
      <formula>15</formula>
    </cfRule>
  </conditionalFormatting>
  <conditionalFormatting sqref="C10:D13">
    <cfRule type="cellIs" dxfId="133" priority="5" stopIfTrue="1" operator="equal">
      <formula>15</formula>
    </cfRule>
  </conditionalFormatting>
  <conditionalFormatting sqref="D14:D16">
    <cfRule type="cellIs" dxfId="132" priority="4" stopIfTrue="1" operator="equal">
      <formula>30</formula>
    </cfRule>
  </conditionalFormatting>
  <conditionalFormatting sqref="C90">
    <cfRule type="expression" dxfId="131" priority="3" stopIfTrue="1">
      <formula>$H$88&lt;&gt;"仅含出让金"</formula>
    </cfRule>
  </conditionalFormatting>
  <conditionalFormatting sqref="C91">
    <cfRule type="expression" dxfId="130" priority="2" stopIfTrue="1">
      <formula>$H$91="由企业提供"</formula>
    </cfRule>
  </conditionalFormatting>
  <conditionalFormatting sqref="E36">
    <cfRule type="expression" dxfId="12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24" sqref="E24"/>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2532</v>
      </c>
      <c r="B1" s="2582" t="s">
        <v>2646</v>
      </c>
      <c r="C1" s="1633" t="s">
        <v>2534</v>
      </c>
      <c r="D1" s="1620" t="s">
        <v>1377</v>
      </c>
      <c r="E1" s="2657"/>
      <c r="F1" s="2584" t="s">
        <v>3071</v>
      </c>
      <c r="G1" s="1630" t="s">
        <v>2647</v>
      </c>
      <c r="H1" s="1629"/>
      <c r="I1" s="1629"/>
      <c r="J1" s="1629"/>
      <c r="K1" s="1631"/>
      <c r="L1" s="1632"/>
      <c r="M1" s="1633"/>
      <c r="N1" s="1633"/>
      <c r="O1" s="1633"/>
      <c r="P1" s="2658"/>
      <c r="Q1" s="2659"/>
      <c r="R1" s="2659"/>
      <c r="S1" s="2659"/>
      <c r="T1" s="2659"/>
      <c r="U1" s="2659"/>
      <c r="V1" s="2659"/>
      <c r="W1" s="2659"/>
      <c r="X1" s="2659"/>
      <c r="Y1" s="2659"/>
      <c r="Z1" s="2659"/>
      <c r="AA1" s="2659"/>
      <c r="AB1" s="2659"/>
      <c r="AC1" s="2660"/>
    </row>
    <row r="2" spans="1:29" s="397" customFormat="1" ht="28.5" customHeight="1" thickTop="1">
      <c r="A2" s="1616" t="s">
        <v>2331</v>
      </c>
      <c r="B2" s="1417">
        <f>IF(C2="——",ROUND(C49*D3/10000,0),ROUND(C49*D3/10000,0)-D2)</f>
        <v>0</v>
      </c>
      <c r="C2" s="2586" t="s">
        <v>70</v>
      </c>
      <c r="D2" s="1364" t="e">
        <f ca="1">SUMIF(INDIRECT("'"&amp;F2&amp;"'"&amp;"!A:A"),"承租人权益价值",INDIRECT("'"&amp;F2&amp;"'"&amp;"!c:c"))</f>
        <v>#REF!</v>
      </c>
      <c r="E2" s="2587" t="s">
        <v>2332</v>
      </c>
      <c r="F2" s="2588"/>
      <c r="G2" s="1124"/>
      <c r="H2" s="1124"/>
      <c r="I2" s="1124"/>
      <c r="J2" s="1124"/>
      <c r="K2" s="1124"/>
      <c r="L2" s="1127"/>
      <c r="M2" s="1128"/>
      <c r="N2" s="1128"/>
      <c r="O2" s="1128"/>
      <c r="P2" s="2661"/>
      <c r="Q2" s="1128"/>
      <c r="R2" s="1128"/>
      <c r="S2" s="1128"/>
      <c r="T2" s="1128"/>
      <c r="U2" s="1128"/>
      <c r="V2" s="1128"/>
      <c r="W2" s="1128"/>
      <c r="X2" s="1128"/>
      <c r="Y2" s="1128"/>
      <c r="Z2" s="1128"/>
      <c r="AA2" s="1128"/>
      <c r="AB2" s="1128"/>
      <c r="AC2" s="2662"/>
    </row>
    <row r="3" spans="1:29" s="397" customFormat="1" ht="28.5" customHeight="1" thickBot="1">
      <c r="A3" s="246" t="s">
        <v>2333</v>
      </c>
      <c r="B3" s="608">
        <f>IF(C2="——",C49,ROUND(B2*10000/D3,0))</f>
        <v>49680</v>
      </c>
      <c r="C3" s="399" t="s">
        <v>2648</v>
      </c>
      <c r="D3" s="398">
        <f>IF(D1="",'数据-汇总表'!E3,SUMIF('数据-汇总表'!$C19:$C33,D1,'数据-汇总表'!$E19:$E33))</f>
        <v>0</v>
      </c>
      <c r="E3" s="2663"/>
      <c r="F3" s="1125"/>
      <c r="G3" s="1124"/>
      <c r="H3" s="1124"/>
      <c r="I3" s="1124"/>
      <c r="J3" s="1124"/>
      <c r="K3" s="1126"/>
      <c r="L3" s="1127"/>
      <c r="M3" s="1128"/>
      <c r="N3" s="1128"/>
      <c r="O3" s="1128"/>
      <c r="P3" s="2661"/>
      <c r="Q3" s="1128"/>
      <c r="R3" s="1128"/>
      <c r="S3" s="1128"/>
      <c r="T3" s="1128"/>
      <c r="U3" s="1128"/>
      <c r="V3" s="1128"/>
      <c r="W3" s="1128"/>
      <c r="X3" s="1128"/>
      <c r="Y3" s="1128"/>
      <c r="Z3" s="1128"/>
      <c r="AA3" s="1128"/>
      <c r="AB3" s="1128"/>
      <c r="AC3" s="2663"/>
    </row>
    <row r="4" spans="1:29" ht="15">
      <c r="A4" s="400" t="s">
        <v>2649</v>
      </c>
      <c r="B4" s="401"/>
      <c r="C4" s="3235" t="s">
        <v>2650</v>
      </c>
      <c r="D4" s="3236"/>
      <c r="E4" s="3237" t="s">
        <v>2651</v>
      </c>
      <c r="F4" s="3238"/>
      <c r="G4" s="3235" t="s">
        <v>2652</v>
      </c>
      <c r="H4" s="3236"/>
      <c r="I4" s="3235" t="s">
        <v>2653</v>
      </c>
      <c r="J4" s="3236"/>
      <c r="K4" s="609" t="s">
        <v>2654</v>
      </c>
      <c r="L4" s="1129"/>
      <c r="M4" s="1130"/>
      <c r="N4" s="1130"/>
      <c r="O4" s="1130"/>
      <c r="P4" s="3294" t="s">
        <v>2655</v>
      </c>
      <c r="Q4" s="3295"/>
      <c r="R4" s="3298" t="s">
        <v>2651</v>
      </c>
      <c r="S4" s="3299"/>
      <c r="T4" s="3298" t="s">
        <v>2652</v>
      </c>
      <c r="U4" s="3299"/>
      <c r="V4" s="3252" t="s">
        <v>2653</v>
      </c>
      <c r="W4" s="3252"/>
      <c r="X4" s="1812"/>
      <c r="Y4" s="3298" t="s">
        <v>2655</v>
      </c>
      <c r="Z4" s="3299"/>
      <c r="AA4" s="3293" t="s">
        <v>2651</v>
      </c>
      <c r="AB4" s="3252" t="s">
        <v>2652</v>
      </c>
      <c r="AC4" s="3293" t="s">
        <v>2653</v>
      </c>
    </row>
    <row r="5" spans="1:29" ht="15" customHeight="1">
      <c r="A5" s="403"/>
      <c r="B5" s="404"/>
      <c r="C5" s="3261" t="s">
        <v>2546</v>
      </c>
      <c r="D5" s="3256"/>
      <c r="E5" s="3306" t="s">
        <v>3324</v>
      </c>
      <c r="F5" s="3305"/>
      <c r="G5" s="3301" t="s">
        <v>3328</v>
      </c>
      <c r="H5" s="3305"/>
      <c r="I5" s="3306" t="s">
        <v>3325</v>
      </c>
      <c r="J5" s="3305"/>
      <c r="K5" s="609"/>
      <c r="L5" s="1129"/>
      <c r="M5" s="1130"/>
      <c r="N5" s="1130"/>
      <c r="O5" s="1130"/>
      <c r="P5" s="3296"/>
      <c r="Q5" s="3242"/>
      <c r="R5" s="3247"/>
      <c r="S5" s="3248"/>
      <c r="T5" s="3247"/>
      <c r="U5" s="3248"/>
      <c r="V5" s="3252"/>
      <c r="W5" s="3252"/>
      <c r="X5" s="1812"/>
      <c r="Y5" s="3247"/>
      <c r="Z5" s="3248"/>
      <c r="AA5" s="3265"/>
      <c r="AB5" s="3252"/>
      <c r="AC5" s="3265"/>
    </row>
    <row r="6" spans="1:29" ht="15.75" thickBot="1">
      <c r="A6" s="405"/>
      <c r="B6" s="406"/>
      <c r="C6" s="3253" t="s">
        <v>2550</v>
      </c>
      <c r="D6" s="3254"/>
      <c r="E6" s="3262" t="s">
        <v>2550</v>
      </c>
      <c r="F6" s="3263"/>
      <c r="G6" s="3253" t="s">
        <v>2550</v>
      </c>
      <c r="H6" s="3254"/>
      <c r="I6" s="3253" t="s">
        <v>2550</v>
      </c>
      <c r="J6" s="3254"/>
      <c r="K6" s="609" t="s">
        <v>2551</v>
      </c>
      <c r="L6" s="1129"/>
      <c r="M6" s="1130"/>
      <c r="N6" s="1130"/>
      <c r="O6" s="1130"/>
      <c r="P6" s="3297"/>
      <c r="Q6" s="3244"/>
      <c r="R6" s="3247"/>
      <c r="S6" s="3248"/>
      <c r="T6" s="3249"/>
      <c r="U6" s="3250"/>
      <c r="V6" s="3252"/>
      <c r="W6" s="3252"/>
      <c r="X6" s="1812"/>
      <c r="Y6" s="3249"/>
      <c r="Z6" s="3250"/>
      <c r="AA6" s="3266"/>
      <c r="AB6" s="3252"/>
      <c r="AC6" s="3266"/>
    </row>
    <row r="7" spans="1:29" s="116" customFormat="1" ht="15.75" thickBot="1">
      <c r="A7" s="407" t="s">
        <v>2552</v>
      </c>
      <c r="B7" s="408"/>
      <c r="C7" s="409">
        <f>'数据-取费表'!B2</f>
        <v>43252</v>
      </c>
      <c r="D7" s="410">
        <v>100</v>
      </c>
      <c r="E7" s="411">
        <v>43252</v>
      </c>
      <c r="F7" s="412">
        <f>SUMIF(58:58,YEAR(E7)&amp;"-"&amp;MONTH(E7),59:59)</f>
        <v>100</v>
      </c>
      <c r="G7" s="411">
        <v>43252</v>
      </c>
      <c r="H7" s="410">
        <f>SUMIF(58:58,YEAR(G7)&amp;"-"&amp;MONTH(G7),59:59)</f>
        <v>100</v>
      </c>
      <c r="I7" s="411">
        <v>43252</v>
      </c>
      <c r="J7" s="410">
        <f>SUMIF(58:58,YEAR(I7)&amp;"-"&amp;MONTH(I7),59:59)</f>
        <v>100</v>
      </c>
      <c r="K7" s="610"/>
      <c r="L7" s="1131"/>
      <c r="M7" s="1132"/>
      <c r="N7" s="1132"/>
      <c r="O7" s="1132"/>
      <c r="P7" s="3259" t="s">
        <v>2553</v>
      </c>
      <c r="Q7" s="3260"/>
      <c r="R7" s="769" t="s">
        <v>17</v>
      </c>
      <c r="S7" s="770">
        <f t="shared" ref="S7:S15" si="0">F7</f>
        <v>100</v>
      </c>
      <c r="T7" s="769" t="s">
        <v>17</v>
      </c>
      <c r="U7" s="770">
        <f t="shared" ref="U7:U15" si="1">H7</f>
        <v>100</v>
      </c>
      <c r="V7" s="769" t="s">
        <v>17</v>
      </c>
      <c r="W7" s="770">
        <f t="shared" ref="W7:W15" si="2">J7</f>
        <v>100</v>
      </c>
      <c r="X7" s="771"/>
      <c r="Y7" s="3259" t="s">
        <v>2553</v>
      </c>
      <c r="Z7" s="3258"/>
      <c r="AA7" s="772">
        <f>D7/F7</f>
        <v>1</v>
      </c>
      <c r="AB7" s="772">
        <f>D7/H7</f>
        <v>1</v>
      </c>
      <c r="AC7" s="772">
        <f>D7/J7</f>
        <v>1</v>
      </c>
    </row>
    <row r="8" spans="1:29" s="116" customFormat="1" ht="15.75" thickBot="1">
      <c r="A8" s="407" t="s">
        <v>2554</v>
      </c>
      <c r="B8" s="408"/>
      <c r="C8" s="413" t="s">
        <v>2656</v>
      </c>
      <c r="D8" s="410">
        <v>100</v>
      </c>
      <c r="E8" s="413" t="s">
        <v>2591</v>
      </c>
      <c r="F8" s="412">
        <f>SUMIF(61:61,E8,62:62)-SUMIF(61:61,C8,62:62)+100</f>
        <v>100</v>
      </c>
      <c r="G8" s="413" t="s">
        <v>2591</v>
      </c>
      <c r="H8" s="410">
        <f>SUMIF(61:61,G8,62:62)-SUMIF(61:61,C8,62:62)+100</f>
        <v>100</v>
      </c>
      <c r="I8" s="413" t="s">
        <v>2591</v>
      </c>
      <c r="J8" s="410">
        <f>SUMIF(61:61,I8,62:62)-SUMIF(61:61,C8,62:62)+100</f>
        <v>100</v>
      </c>
      <c r="K8" s="610"/>
      <c r="L8" s="1131"/>
      <c r="M8" s="1132"/>
      <c r="N8" s="1132"/>
      <c r="O8" s="1132"/>
      <c r="P8" s="3259" t="s">
        <v>2556</v>
      </c>
      <c r="Q8" s="3258"/>
      <c r="R8" s="769" t="s">
        <v>17</v>
      </c>
      <c r="S8" s="770">
        <f t="shared" si="0"/>
        <v>100</v>
      </c>
      <c r="T8" s="769" t="s">
        <v>17</v>
      </c>
      <c r="U8" s="770">
        <f t="shared" si="1"/>
        <v>100</v>
      </c>
      <c r="V8" s="769" t="s">
        <v>17</v>
      </c>
      <c r="W8" s="770">
        <f t="shared" si="2"/>
        <v>100</v>
      </c>
      <c r="X8" s="771"/>
      <c r="Y8" s="3259" t="s">
        <v>2556</v>
      </c>
      <c r="Z8" s="3258"/>
      <c r="AA8" s="772">
        <f t="shared" ref="AA8:AA46" si="3">D8/F8</f>
        <v>1</v>
      </c>
      <c r="AB8" s="772">
        <f t="shared" ref="AB8:AB46" si="4">D8/H8</f>
        <v>1</v>
      </c>
      <c r="AC8" s="772">
        <f t="shared" ref="AC8:AC46" si="5">D8/J8</f>
        <v>1</v>
      </c>
    </row>
    <row r="9" spans="1:29" s="116" customFormat="1">
      <c r="A9" s="414" t="s">
        <v>2557</v>
      </c>
      <c r="B9" s="71" t="s">
        <v>2558</v>
      </c>
      <c r="C9" s="2986" t="s">
        <v>3326</v>
      </c>
      <c r="D9" s="134">
        <v>100</v>
      </c>
      <c r="E9" s="2992" t="s">
        <v>1377</v>
      </c>
      <c r="F9" s="417">
        <f>SUMIF(63:63,E9,64:64)-SUMIF(63:63,C9,64:64)+100</f>
        <v>100</v>
      </c>
      <c r="G9" s="2992" t="s">
        <v>1377</v>
      </c>
      <c r="H9" s="134">
        <f>SUMIF(63:63,G9,64:64)-SUMIF(63:63,C9,64:64)+100</f>
        <v>100</v>
      </c>
      <c r="I9" s="2992" t="s">
        <v>1377</v>
      </c>
      <c r="J9" s="134">
        <f>SUMIF(63:63,I9,64:64)-SUMIF(63:63,C9,64:64)+100</f>
        <v>100</v>
      </c>
      <c r="K9" s="610"/>
      <c r="L9" s="1131"/>
      <c r="M9" s="1132"/>
      <c r="N9" s="1132"/>
      <c r="O9" s="1132"/>
      <c r="P9" s="3217" t="s">
        <v>2559</v>
      </c>
      <c r="Q9" s="1794" t="str">
        <f t="shared" ref="Q9:Q15" si="6">B9</f>
        <v>用途</v>
      </c>
      <c r="R9" s="769" t="s">
        <v>17</v>
      </c>
      <c r="S9" s="770">
        <f t="shared" si="0"/>
        <v>100</v>
      </c>
      <c r="T9" s="769" t="s">
        <v>17</v>
      </c>
      <c r="U9" s="770">
        <f t="shared" si="1"/>
        <v>100</v>
      </c>
      <c r="V9" s="769" t="s">
        <v>17</v>
      </c>
      <c r="W9" s="770">
        <f t="shared" si="2"/>
        <v>100</v>
      </c>
      <c r="X9" s="771"/>
      <c r="Y9" s="3052" t="s">
        <v>2560</v>
      </c>
      <c r="Z9" s="55" t="str">
        <f t="shared" ref="Z9:Z15" si="7">Q9</f>
        <v>用途</v>
      </c>
      <c r="AA9" s="772">
        <f t="shared" si="3"/>
        <v>1</v>
      </c>
      <c r="AB9" s="772">
        <f t="shared" si="4"/>
        <v>1</v>
      </c>
      <c r="AC9" s="772">
        <f t="shared" si="5"/>
        <v>1</v>
      </c>
    </row>
    <row r="10" spans="1:29" s="426" customFormat="1" ht="27">
      <c r="A10" s="420"/>
      <c r="B10" s="421" t="s">
        <v>2561</v>
      </c>
      <c r="C10" s="422" t="s">
        <v>3327</v>
      </c>
      <c r="D10" s="135">
        <v>100</v>
      </c>
      <c r="E10" s="423" t="s">
        <v>3327</v>
      </c>
      <c r="F10" s="424">
        <f>SUMIF(65:65,E10,66:66)-SUMIF(65:65,C10,66:66)+100</f>
        <v>100</v>
      </c>
      <c r="G10" s="422" t="s">
        <v>3327</v>
      </c>
      <c r="H10" s="135">
        <f>SUMIF(65:65,G10,66:66)-SUMIF(65:65,C10,66:66)+100</f>
        <v>100</v>
      </c>
      <c r="I10" s="422" t="s">
        <v>3327</v>
      </c>
      <c r="J10" s="135">
        <f>SUMIF(65:65,I10,66:66)-SUMIF(65:65,C10,66:66)+100</f>
        <v>100</v>
      </c>
      <c r="K10" s="611">
        <v>1</v>
      </c>
      <c r="L10" s="1134"/>
      <c r="M10" s="1135"/>
      <c r="N10" s="1135"/>
      <c r="O10" s="1135"/>
      <c r="P10" s="3217"/>
      <c r="Q10" s="1794" t="str">
        <f t="shared" si="6"/>
        <v>土地使用年限（年）</v>
      </c>
      <c r="R10" s="769" t="s">
        <v>17</v>
      </c>
      <c r="S10" s="770">
        <f t="shared" si="0"/>
        <v>100</v>
      </c>
      <c r="T10" s="769" t="s">
        <v>17</v>
      </c>
      <c r="U10" s="770">
        <f t="shared" si="1"/>
        <v>100</v>
      </c>
      <c r="V10" s="769" t="s">
        <v>17</v>
      </c>
      <c r="W10" s="770">
        <f t="shared" si="2"/>
        <v>100</v>
      </c>
      <c r="X10" s="771"/>
      <c r="Y10" s="3052"/>
      <c r="Z10" s="55" t="str">
        <f t="shared" si="7"/>
        <v>土地使用年限（年）</v>
      </c>
      <c r="AA10" s="772">
        <f t="shared" si="3"/>
        <v>1</v>
      </c>
      <c r="AB10" s="772">
        <f t="shared" si="4"/>
        <v>1</v>
      </c>
      <c r="AC10" s="772">
        <f t="shared" si="5"/>
        <v>1</v>
      </c>
    </row>
    <row r="11" spans="1:29" ht="15">
      <c r="A11" s="427"/>
      <c r="B11" s="421" t="s">
        <v>2562</v>
      </c>
      <c r="C11" s="428"/>
      <c r="D11" s="135">
        <v>100</v>
      </c>
      <c r="E11" s="429"/>
      <c r="F11" s="424">
        <f>LOOKUP(E11,68:68,69:69)-LOOKUP(C11,68:68,69:69)+100</f>
        <v>100</v>
      </c>
      <c r="G11" s="428"/>
      <c r="H11" s="135">
        <f>LOOKUP(G11,68:68,69:69)-LOOKUP(C11,68:68,69:69)+100</f>
        <v>100</v>
      </c>
      <c r="I11" s="428"/>
      <c r="J11" s="135">
        <f>LOOKUP(I11,68:68,69:69)-LOOKUP(C11,68:68,69:69)+100</f>
        <v>100</v>
      </c>
      <c r="K11" s="611">
        <v>2</v>
      </c>
      <c r="L11" s="1137"/>
      <c r="M11" s="1130"/>
      <c r="N11" s="1130"/>
      <c r="O11" s="1130"/>
      <c r="P11" s="3217"/>
      <c r="Q11" s="1794" t="str">
        <f t="shared" si="6"/>
        <v>容积率</v>
      </c>
      <c r="R11" s="769" t="s">
        <v>17</v>
      </c>
      <c r="S11" s="770">
        <f t="shared" si="0"/>
        <v>100</v>
      </c>
      <c r="T11" s="769" t="s">
        <v>17</v>
      </c>
      <c r="U11" s="770">
        <f t="shared" si="1"/>
        <v>100</v>
      </c>
      <c r="V11" s="769" t="s">
        <v>17</v>
      </c>
      <c r="W11" s="770">
        <f t="shared" si="2"/>
        <v>100</v>
      </c>
      <c r="X11" s="771"/>
      <c r="Y11" s="3052"/>
      <c r="Z11" s="55" t="str">
        <f t="shared" si="7"/>
        <v>容积率</v>
      </c>
      <c r="AA11" s="772">
        <f t="shared" si="3"/>
        <v>1</v>
      </c>
      <c r="AB11" s="772">
        <f t="shared" si="4"/>
        <v>1</v>
      </c>
      <c r="AC11" s="772">
        <f t="shared" si="5"/>
        <v>1</v>
      </c>
    </row>
    <row r="12" spans="1:29" s="116" customFormat="1" ht="15">
      <c r="A12" s="430"/>
      <c r="B12" s="2600">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217"/>
      <c r="Q12" s="1794">
        <f t="shared" si="6"/>
        <v>111</v>
      </c>
      <c r="R12" s="769" t="s">
        <v>17</v>
      </c>
      <c r="S12" s="770">
        <f t="shared" si="0"/>
        <v>100</v>
      </c>
      <c r="T12" s="769" t="s">
        <v>17</v>
      </c>
      <c r="U12" s="770">
        <f t="shared" si="1"/>
        <v>100</v>
      </c>
      <c r="V12" s="769" t="s">
        <v>17</v>
      </c>
      <c r="W12" s="770">
        <f t="shared" si="2"/>
        <v>100</v>
      </c>
      <c r="X12" s="771"/>
      <c r="Y12" s="3052"/>
      <c r="Z12" s="55">
        <f t="shared" si="7"/>
        <v>111</v>
      </c>
      <c r="AA12" s="772">
        <f>D12/F12</f>
        <v>1</v>
      </c>
      <c r="AB12" s="772">
        <f>D12/H12</f>
        <v>1</v>
      </c>
      <c r="AC12" s="772">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17"/>
      <c r="Q13" s="1794">
        <f t="shared" si="6"/>
        <v>111</v>
      </c>
      <c r="R13" s="769" t="s">
        <v>17</v>
      </c>
      <c r="S13" s="770">
        <f t="shared" si="0"/>
        <v>100</v>
      </c>
      <c r="T13" s="769" t="s">
        <v>17</v>
      </c>
      <c r="U13" s="770">
        <f t="shared" si="1"/>
        <v>100</v>
      </c>
      <c r="V13" s="769" t="s">
        <v>17</v>
      </c>
      <c r="W13" s="770">
        <f t="shared" si="2"/>
        <v>100</v>
      </c>
      <c r="X13" s="771"/>
      <c r="Y13" s="3052"/>
      <c r="Z13" s="55">
        <f t="shared" si="7"/>
        <v>111</v>
      </c>
      <c r="AA13" s="772">
        <f t="shared" si="3"/>
        <v>1</v>
      </c>
      <c r="AB13" s="772">
        <f t="shared" si="4"/>
        <v>1</v>
      </c>
      <c r="AC13" s="772">
        <f t="shared" si="5"/>
        <v>1</v>
      </c>
    </row>
    <row r="14" spans="1:29" ht="15.75" thickBot="1">
      <c r="A14" s="435"/>
      <c r="B14" s="2602">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17"/>
      <c r="Q14" s="1794">
        <f t="shared" si="6"/>
        <v>111</v>
      </c>
      <c r="R14" s="769" t="s">
        <v>17</v>
      </c>
      <c r="S14" s="770">
        <f t="shared" si="0"/>
        <v>100</v>
      </c>
      <c r="T14" s="769" t="s">
        <v>17</v>
      </c>
      <c r="U14" s="770">
        <f t="shared" si="1"/>
        <v>100</v>
      </c>
      <c r="V14" s="769" t="s">
        <v>17</v>
      </c>
      <c r="W14" s="770">
        <f t="shared" si="2"/>
        <v>100</v>
      </c>
      <c r="X14" s="771"/>
      <c r="Y14" s="3052"/>
      <c r="Z14" s="55">
        <f t="shared" si="7"/>
        <v>111</v>
      </c>
      <c r="AA14" s="772">
        <f t="shared" si="3"/>
        <v>1</v>
      </c>
      <c r="AB14" s="772">
        <f t="shared" si="4"/>
        <v>1</v>
      </c>
      <c r="AC14" s="772">
        <f t="shared" si="5"/>
        <v>1</v>
      </c>
    </row>
    <row r="15" spans="1:29" ht="71.25">
      <c r="A15" s="439" t="s">
        <v>2563</v>
      </c>
      <c r="B15" s="69" t="s">
        <v>2657</v>
      </c>
      <c r="C15" s="2603"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v>2</v>
      </c>
      <c r="L15" s="1139"/>
      <c r="M15" s="1130"/>
      <c r="N15" s="1130"/>
      <c r="O15" s="1130"/>
      <c r="P15" s="3223" t="s">
        <v>2564</v>
      </c>
      <c r="Q15" s="1809" t="str">
        <f t="shared" si="6"/>
        <v>商业繁华度</v>
      </c>
      <c r="R15" s="773" t="s">
        <v>17</v>
      </c>
      <c r="S15" s="774">
        <f t="shared" si="0"/>
        <v>100</v>
      </c>
      <c r="T15" s="773" t="s">
        <v>17</v>
      </c>
      <c r="U15" s="774">
        <f t="shared" si="1"/>
        <v>100</v>
      </c>
      <c r="V15" s="773" t="s">
        <v>17</v>
      </c>
      <c r="W15" s="774">
        <f t="shared" si="2"/>
        <v>100</v>
      </c>
      <c r="X15" s="1812"/>
      <c r="Y15" s="3225" t="s">
        <v>2564</v>
      </c>
      <c r="Z15" s="1813" t="str">
        <f t="shared" si="7"/>
        <v>商业繁华度</v>
      </c>
      <c r="AA15" s="1810">
        <f t="shared" si="3"/>
        <v>1</v>
      </c>
      <c r="AB15" s="1810">
        <f t="shared" si="4"/>
        <v>1</v>
      </c>
      <c r="AC15" s="1810">
        <f t="shared" si="5"/>
        <v>1</v>
      </c>
    </row>
    <row r="16" spans="1:29" ht="15">
      <c r="A16" s="427"/>
      <c r="B16" s="445"/>
      <c r="C16" s="446" t="s">
        <v>3293</v>
      </c>
      <c r="D16" s="447"/>
      <c r="E16" s="446" t="s">
        <v>3293</v>
      </c>
      <c r="F16" s="448"/>
      <c r="G16" s="446" t="s">
        <v>3293</v>
      </c>
      <c r="H16" s="449"/>
      <c r="I16" s="446" t="s">
        <v>3293</v>
      </c>
      <c r="J16" s="447"/>
      <c r="K16" s="614"/>
      <c r="L16" s="1139"/>
      <c r="M16" s="1130"/>
      <c r="N16" s="1130"/>
      <c r="O16" s="1130"/>
      <c r="P16" s="3224"/>
      <c r="Q16" s="1809"/>
      <c r="R16" s="773"/>
      <c r="S16" s="774"/>
      <c r="T16" s="773"/>
      <c r="U16" s="774"/>
      <c r="V16" s="773"/>
      <c r="W16" s="774"/>
      <c r="X16" s="1812"/>
      <c r="Y16" s="3226"/>
      <c r="Z16" s="1813"/>
      <c r="AA16" s="1810">
        <v>1</v>
      </c>
      <c r="AB16" s="1810">
        <v>1</v>
      </c>
      <c r="AC16" s="1810">
        <v>1</v>
      </c>
    </row>
    <row r="17" spans="1:29" ht="85.5">
      <c r="A17" s="427"/>
      <c r="B17" s="450" t="s">
        <v>2100</v>
      </c>
      <c r="C17" s="2607"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v>3</v>
      </c>
      <c r="L17" s="1139"/>
      <c r="M17" s="1130"/>
      <c r="N17" s="1130"/>
      <c r="O17" s="1130"/>
      <c r="P17" s="3224"/>
      <c r="Q17" s="1809" t="str">
        <f>B17</f>
        <v>交通便捷度</v>
      </c>
      <c r="R17" s="773" t="s">
        <v>17</v>
      </c>
      <c r="S17" s="774">
        <f>F17</f>
        <v>100</v>
      </c>
      <c r="T17" s="773" t="s">
        <v>17</v>
      </c>
      <c r="U17" s="774">
        <f>H17</f>
        <v>100</v>
      </c>
      <c r="V17" s="773" t="s">
        <v>17</v>
      </c>
      <c r="W17" s="774">
        <f>J17</f>
        <v>100</v>
      </c>
      <c r="X17" s="1812"/>
      <c r="Y17" s="3226"/>
      <c r="Z17" s="1813" t="str">
        <f>Q17</f>
        <v>交通便捷度</v>
      </c>
      <c r="AA17" s="1810">
        <f t="shared" si="3"/>
        <v>1</v>
      </c>
      <c r="AB17" s="1810">
        <f t="shared" si="4"/>
        <v>1</v>
      </c>
      <c r="AC17" s="1810">
        <f t="shared" si="5"/>
        <v>1</v>
      </c>
    </row>
    <row r="18" spans="1:29" ht="15">
      <c r="A18" s="427"/>
      <c r="B18" s="455"/>
      <c r="C18" s="2995" t="s">
        <v>3355</v>
      </c>
      <c r="D18" s="449"/>
      <c r="E18" s="2995" t="s">
        <v>3355</v>
      </c>
      <c r="F18" s="452"/>
      <c r="G18" s="2995" t="s">
        <v>3355</v>
      </c>
      <c r="H18" s="447"/>
      <c r="I18" s="2995" t="s">
        <v>3355</v>
      </c>
      <c r="J18" s="447"/>
      <c r="K18" s="614"/>
      <c r="L18" s="1139"/>
      <c r="M18" s="1130"/>
      <c r="N18" s="1130"/>
      <c r="O18" s="1130"/>
      <c r="P18" s="3224"/>
      <c r="Q18" s="1809"/>
      <c r="R18" s="773"/>
      <c r="S18" s="774"/>
      <c r="T18" s="773"/>
      <c r="U18" s="774"/>
      <c r="V18" s="773"/>
      <c r="W18" s="774"/>
      <c r="X18" s="1812"/>
      <c r="Y18" s="3226"/>
      <c r="Z18" s="1813"/>
      <c r="AA18" s="1810">
        <v>1</v>
      </c>
      <c r="AB18" s="1810">
        <v>1</v>
      </c>
      <c r="AC18" s="1810">
        <v>1</v>
      </c>
    </row>
    <row r="19" spans="1:29" ht="42.75">
      <c r="A19" s="427"/>
      <c r="B19" s="450" t="s">
        <v>2658</v>
      </c>
      <c r="C19" s="2607"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v>3</v>
      </c>
      <c r="L19" s="1139"/>
      <c r="M19" s="1130"/>
      <c r="N19" s="1130"/>
      <c r="O19" s="1130"/>
      <c r="P19" s="3224"/>
      <c r="Q19" s="1809" t="str">
        <f>B19</f>
        <v>公共配套设施</v>
      </c>
      <c r="R19" s="773" t="s">
        <v>17</v>
      </c>
      <c r="S19" s="774">
        <f>F19</f>
        <v>100</v>
      </c>
      <c r="T19" s="773" t="s">
        <v>17</v>
      </c>
      <c r="U19" s="774">
        <f>H19</f>
        <v>100</v>
      </c>
      <c r="V19" s="773" t="s">
        <v>17</v>
      </c>
      <c r="W19" s="774">
        <f>J19</f>
        <v>100</v>
      </c>
      <c r="X19" s="1812"/>
      <c r="Y19" s="3226"/>
      <c r="Z19" s="1813" t="str">
        <f>Q19</f>
        <v>公共配套设施</v>
      </c>
      <c r="AA19" s="1810">
        <f t="shared" si="3"/>
        <v>1</v>
      </c>
      <c r="AB19" s="1810">
        <f t="shared" si="4"/>
        <v>1</v>
      </c>
      <c r="AC19" s="1810">
        <f t="shared" si="5"/>
        <v>1</v>
      </c>
    </row>
    <row r="20" spans="1:29" ht="15">
      <c r="A20" s="427"/>
      <c r="B20" s="455"/>
      <c r="C20" s="2995" t="s">
        <v>3355</v>
      </c>
      <c r="D20" s="447"/>
      <c r="E20" s="2995" t="s">
        <v>3355</v>
      </c>
      <c r="F20" s="448"/>
      <c r="G20" s="2995" t="s">
        <v>3355</v>
      </c>
      <c r="H20" s="447"/>
      <c r="I20" s="2995" t="s">
        <v>3355</v>
      </c>
      <c r="J20" s="447"/>
      <c r="K20" s="614"/>
      <c r="L20" s="1139"/>
      <c r="M20" s="1130"/>
      <c r="N20" s="1130"/>
      <c r="O20" s="1130"/>
      <c r="P20" s="3224"/>
      <c r="Q20" s="1809"/>
      <c r="R20" s="773"/>
      <c r="S20" s="774"/>
      <c r="T20" s="773"/>
      <c r="U20" s="774"/>
      <c r="V20" s="773"/>
      <c r="W20" s="774"/>
      <c r="X20" s="1812"/>
      <c r="Y20" s="3226"/>
      <c r="Z20" s="1813"/>
      <c r="AA20" s="1810">
        <v>1</v>
      </c>
      <c r="AB20" s="1810">
        <v>1</v>
      </c>
      <c r="AC20" s="1810">
        <v>1</v>
      </c>
    </row>
    <row r="21" spans="1:29" ht="28.5">
      <c r="A21" s="427"/>
      <c r="B21" s="1383" t="s">
        <v>2659</v>
      </c>
      <c r="C21" s="2607"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2</v>
      </c>
      <c r="L21" s="1139"/>
      <c r="M21" s="1130"/>
      <c r="N21" s="1130"/>
      <c r="O21" s="1130"/>
      <c r="P21" s="3224"/>
      <c r="Q21" s="1809" t="str">
        <f>B21</f>
        <v>基础设施水平</v>
      </c>
      <c r="R21" s="773" t="s">
        <v>17</v>
      </c>
      <c r="S21" s="774">
        <f>F21</f>
        <v>100</v>
      </c>
      <c r="T21" s="773" t="s">
        <v>17</v>
      </c>
      <c r="U21" s="774">
        <f>H21</f>
        <v>100</v>
      </c>
      <c r="V21" s="773" t="s">
        <v>17</v>
      </c>
      <c r="W21" s="774">
        <f>J21</f>
        <v>100</v>
      </c>
      <c r="X21" s="1812"/>
      <c r="Y21" s="3226"/>
      <c r="Z21" s="1813" t="str">
        <f>Q21</f>
        <v>基础设施水平</v>
      </c>
      <c r="AA21" s="1810">
        <f t="shared" ref="AA21" si="8">D21/F21</f>
        <v>1</v>
      </c>
      <c r="AB21" s="1810">
        <f t="shared" ref="AB21" si="9">D21/H21</f>
        <v>1</v>
      </c>
      <c r="AC21" s="1810">
        <f t="shared" ref="AC21" si="10">D21/J21</f>
        <v>1</v>
      </c>
    </row>
    <row r="22" spans="1:29" ht="15">
      <c r="A22" s="427"/>
      <c r="B22" s="1383"/>
      <c r="C22" s="2608" t="s">
        <v>3294</v>
      </c>
      <c r="D22" s="447"/>
      <c r="E22" s="2608" t="s">
        <v>3294</v>
      </c>
      <c r="F22" s="448"/>
      <c r="G22" s="2608" t="s">
        <v>3294</v>
      </c>
      <c r="H22" s="447"/>
      <c r="I22" s="2608" t="s">
        <v>3294</v>
      </c>
      <c r="J22" s="447"/>
      <c r="K22" s="1382"/>
      <c r="L22" s="1139"/>
      <c r="M22" s="1130"/>
      <c r="N22" s="1130"/>
      <c r="O22" s="1130"/>
      <c r="P22" s="3224"/>
      <c r="Q22" s="1809"/>
      <c r="R22" s="773"/>
      <c r="S22" s="774"/>
      <c r="T22" s="773"/>
      <c r="U22" s="774"/>
      <c r="V22" s="773"/>
      <c r="W22" s="774"/>
      <c r="X22" s="1812"/>
      <c r="Y22" s="3226"/>
      <c r="Z22" s="1813"/>
      <c r="AA22" s="1810">
        <v>1</v>
      </c>
      <c r="AB22" s="1810">
        <v>1</v>
      </c>
      <c r="AC22" s="1810">
        <v>1</v>
      </c>
    </row>
    <row r="23" spans="1:29" ht="57">
      <c r="A23" s="427"/>
      <c r="B23" s="450" t="s">
        <v>2105</v>
      </c>
      <c r="C23" s="2664"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v>3</v>
      </c>
      <c r="L23" s="1139"/>
      <c r="M23" s="1130"/>
      <c r="N23" s="1130"/>
      <c r="O23" s="1130"/>
      <c r="P23" s="3224"/>
      <c r="Q23" s="1809" t="str">
        <f>B23</f>
        <v>自然及人文环境</v>
      </c>
      <c r="R23" s="773" t="s">
        <v>17</v>
      </c>
      <c r="S23" s="774">
        <f>F23</f>
        <v>100</v>
      </c>
      <c r="T23" s="773" t="s">
        <v>17</v>
      </c>
      <c r="U23" s="774">
        <f>H23</f>
        <v>100</v>
      </c>
      <c r="V23" s="773" t="s">
        <v>17</v>
      </c>
      <c r="W23" s="774">
        <f>J23</f>
        <v>100</v>
      </c>
      <c r="X23" s="1812"/>
      <c r="Y23" s="3226"/>
      <c r="Z23" s="1813" t="str">
        <f>Q23</f>
        <v>自然及人文环境</v>
      </c>
      <c r="AA23" s="1810">
        <f t="shared" si="3"/>
        <v>1</v>
      </c>
      <c r="AB23" s="1810">
        <f t="shared" si="4"/>
        <v>1</v>
      </c>
      <c r="AC23" s="1810">
        <f t="shared" si="5"/>
        <v>1</v>
      </c>
    </row>
    <row r="24" spans="1:29" ht="15">
      <c r="A24" s="427"/>
      <c r="B24" s="455"/>
      <c r="C24" s="2995" t="s">
        <v>3355</v>
      </c>
      <c r="D24" s="447"/>
      <c r="E24" s="2995" t="s">
        <v>3355</v>
      </c>
      <c r="F24" s="448"/>
      <c r="G24" s="2995" t="s">
        <v>3355</v>
      </c>
      <c r="H24" s="447"/>
      <c r="I24" s="2995" t="s">
        <v>3355</v>
      </c>
      <c r="J24" s="447"/>
      <c r="K24" s="614"/>
      <c r="L24" s="1139"/>
      <c r="M24" s="1130"/>
      <c r="N24" s="1130"/>
      <c r="O24" s="1130"/>
      <c r="P24" s="3224"/>
      <c r="Q24" s="1809"/>
      <c r="R24" s="773"/>
      <c r="S24" s="774"/>
      <c r="T24" s="773"/>
      <c r="U24" s="774"/>
      <c r="V24" s="773"/>
      <c r="W24" s="774"/>
      <c r="X24" s="1812"/>
      <c r="Y24" s="3226"/>
      <c r="Z24" s="1813"/>
      <c r="AA24" s="1810">
        <v>1</v>
      </c>
      <c r="AB24" s="1810">
        <v>1</v>
      </c>
      <c r="AC24" s="1810">
        <v>1</v>
      </c>
    </row>
    <row r="25" spans="1:29" ht="15">
      <c r="A25" s="427"/>
      <c r="B25" s="421" t="s">
        <v>2660</v>
      </c>
      <c r="C25" s="615" t="s">
        <v>3356</v>
      </c>
      <c r="D25" s="434">
        <v>100</v>
      </c>
      <c r="E25" s="615" t="s">
        <v>3356</v>
      </c>
      <c r="F25" s="460">
        <f>SUMIF(86:86,E25,87:87)-SUMIF(86:86,C25,87:87)+100</f>
        <v>100</v>
      </c>
      <c r="G25" s="615" t="s">
        <v>3356</v>
      </c>
      <c r="H25" s="434">
        <f>SUMIF(86:86,G25,87:87)-SUMIF(86:86,C25,87:87)+100</f>
        <v>100</v>
      </c>
      <c r="I25" s="615" t="s">
        <v>3356</v>
      </c>
      <c r="J25" s="434">
        <f>SUMIF(86:86,I25,87:87)-SUMIF(86:86,C25,87:87)+100</f>
        <v>100</v>
      </c>
      <c r="K25" s="611">
        <v>3</v>
      </c>
      <c r="L25" s="1139"/>
      <c r="M25" s="1130"/>
      <c r="N25" s="1130"/>
      <c r="O25" s="1130"/>
      <c r="P25" s="3224"/>
      <c r="Q25" s="1809" t="str">
        <f t="shared" ref="Q25:Q46" si="11">B25</f>
        <v>临街状况</v>
      </c>
      <c r="R25" s="773" t="s">
        <v>17</v>
      </c>
      <c r="S25" s="774">
        <f>F25</f>
        <v>100</v>
      </c>
      <c r="T25" s="773" t="s">
        <v>17</v>
      </c>
      <c r="U25" s="774">
        <f>H25</f>
        <v>100</v>
      </c>
      <c r="V25" s="773" t="s">
        <v>17</v>
      </c>
      <c r="W25" s="774">
        <f>J25</f>
        <v>100</v>
      </c>
      <c r="X25" s="1812"/>
      <c r="Y25" s="3226"/>
      <c r="Z25" s="1813" t="str">
        <f>Q25</f>
        <v>临街状况</v>
      </c>
      <c r="AA25" s="1810">
        <f t="shared" si="3"/>
        <v>1</v>
      </c>
      <c r="AB25" s="1810">
        <f t="shared" si="4"/>
        <v>1</v>
      </c>
      <c r="AC25" s="1810">
        <f t="shared" si="5"/>
        <v>1</v>
      </c>
    </row>
    <row r="26" spans="1:29" ht="15">
      <c r="A26" s="427"/>
      <c r="B26" s="1385" t="s">
        <v>2661</v>
      </c>
      <c r="C26" s="2989" t="s">
        <v>3547</v>
      </c>
      <c r="D26" s="434">
        <v>100</v>
      </c>
      <c r="E26" s="2989" t="s">
        <v>3547</v>
      </c>
      <c r="F26" s="460">
        <f>SUMIF(88:88,E26,89:89)-SUMIF(88:88,C26,89:89)+100</f>
        <v>100</v>
      </c>
      <c r="G26" s="2989" t="s">
        <v>3547</v>
      </c>
      <c r="H26" s="434">
        <f>SUMIF(88:88,G26,89:89)-SUMIF(88:88,C26,89:89)+100</f>
        <v>100</v>
      </c>
      <c r="I26" s="2989" t="s">
        <v>3548</v>
      </c>
      <c r="J26" s="434">
        <f>SUMIF(88:88,I26,89:89)-SUMIF(88:88,C26,89:89)+100</f>
        <v>103</v>
      </c>
      <c r="K26" s="612"/>
      <c r="L26" s="1139"/>
      <c r="M26" s="1130"/>
      <c r="N26" s="1130"/>
      <c r="O26" s="1130"/>
      <c r="P26" s="3224"/>
      <c r="Q26" s="1809" t="str">
        <f t="shared" si="11"/>
        <v>平面位置/可视性</v>
      </c>
      <c r="R26" s="773" t="s">
        <v>17</v>
      </c>
      <c r="S26" s="774">
        <f>F26</f>
        <v>100</v>
      </c>
      <c r="T26" s="773" t="s">
        <v>17</v>
      </c>
      <c r="U26" s="774">
        <f>H26</f>
        <v>100</v>
      </c>
      <c r="V26" s="773" t="s">
        <v>17</v>
      </c>
      <c r="W26" s="774">
        <f>J26</f>
        <v>103</v>
      </c>
      <c r="X26" s="1812"/>
      <c r="Y26" s="3226"/>
      <c r="Z26" s="1813" t="str">
        <f>Q26</f>
        <v>平面位置/可视性</v>
      </c>
      <c r="AA26" s="1810">
        <f t="shared" si="3"/>
        <v>1</v>
      </c>
      <c r="AB26" s="1810">
        <f t="shared" si="4"/>
        <v>1</v>
      </c>
      <c r="AC26" s="1810">
        <f t="shared" si="5"/>
        <v>0.970873786407767</v>
      </c>
    </row>
    <row r="27" spans="1:29" s="116" customFormat="1" ht="15">
      <c r="A27" s="430"/>
      <c r="B27" s="450" t="s">
        <v>2662</v>
      </c>
      <c r="C27" s="2665" t="s">
        <v>3370</v>
      </c>
      <c r="D27" s="461">
        <v>100</v>
      </c>
      <c r="E27" s="2665" t="s">
        <v>3370</v>
      </c>
      <c r="F27" s="463">
        <f>SUMIF(90:90,E27,91:91)-SUMIF(90:90,C27,91:91)+100</f>
        <v>100</v>
      </c>
      <c r="G27" s="2665" t="s">
        <v>3370</v>
      </c>
      <c r="H27" s="461">
        <f>SUMIF(90:90,G27,91:91)-SUMIF(90:90,C27,91:91)+100</f>
        <v>100</v>
      </c>
      <c r="I27" s="2665" t="s">
        <v>3370</v>
      </c>
      <c r="J27" s="461">
        <f>SUMIF(90:90,I27,91:91)-SUMIF(90:90,C27,91:91)+100</f>
        <v>100</v>
      </c>
      <c r="K27" s="611">
        <v>3</v>
      </c>
      <c r="L27" s="1131"/>
      <c r="M27" s="1132"/>
      <c r="N27" s="1132"/>
      <c r="O27" s="1132"/>
      <c r="P27" s="3224"/>
      <c r="Q27" s="1794" t="str">
        <f t="shared" si="11"/>
        <v>人流量</v>
      </c>
      <c r="R27" s="769" t="s">
        <v>17</v>
      </c>
      <c r="S27" s="770">
        <f>F27</f>
        <v>100</v>
      </c>
      <c r="T27" s="769" t="s">
        <v>17</v>
      </c>
      <c r="U27" s="770">
        <f>H27</f>
        <v>100</v>
      </c>
      <c r="V27" s="769" t="s">
        <v>17</v>
      </c>
      <c r="W27" s="770">
        <f>J27</f>
        <v>100</v>
      </c>
      <c r="X27" s="771"/>
      <c r="Y27" s="3226"/>
      <c r="Z27" s="55" t="str">
        <f>Q27</f>
        <v>人流量</v>
      </c>
      <c r="AA27" s="1810">
        <f>D27/F27</f>
        <v>1</v>
      </c>
      <c r="AB27" s="1810">
        <f>D27/H27</f>
        <v>1</v>
      </c>
      <c r="AC27" s="1810">
        <f>D27/J27</f>
        <v>1</v>
      </c>
    </row>
    <row r="28" spans="1:29" ht="15">
      <c r="A28" s="427"/>
      <c r="B28" s="421" t="s">
        <v>2663</v>
      </c>
      <c r="C28" s="615" t="s">
        <v>3277</v>
      </c>
      <c r="D28" s="434">
        <v>100</v>
      </c>
      <c r="E28" s="615" t="s">
        <v>3277</v>
      </c>
      <c r="F28" s="460">
        <f>SUMIF(92:92,E28,93:93)-SUMIF(92:92,C28,93:93)+100</f>
        <v>100</v>
      </c>
      <c r="G28" s="615" t="s">
        <v>3277</v>
      </c>
      <c r="H28" s="434">
        <f>SUMIF(92:92,G28,93:93)-SUMIF(92:92,C28,93:93)+100</f>
        <v>100</v>
      </c>
      <c r="I28" s="615" t="s">
        <v>3277</v>
      </c>
      <c r="J28" s="434">
        <f>SUMIF(92:92,I28,93:93)-SUMIF(92:92,C28,93:93)+100</f>
        <v>100</v>
      </c>
      <c r="K28" s="612"/>
      <c r="L28" s="1139"/>
      <c r="M28" s="1130"/>
      <c r="N28" s="1130"/>
      <c r="O28" s="1130"/>
      <c r="P28" s="3224"/>
      <c r="Q28" s="1809" t="str">
        <f t="shared" si="11"/>
        <v>楼层</v>
      </c>
      <c r="R28" s="773" t="s">
        <v>17</v>
      </c>
      <c r="S28" s="774">
        <f t="shared" ref="S28:S46" si="12">F28</f>
        <v>100</v>
      </c>
      <c r="T28" s="773" t="s">
        <v>17</v>
      </c>
      <c r="U28" s="774">
        <f t="shared" ref="U28:U46" si="13">H28</f>
        <v>100</v>
      </c>
      <c r="V28" s="773" t="s">
        <v>17</v>
      </c>
      <c r="W28" s="774">
        <f t="shared" ref="W28:W46" si="14">J28</f>
        <v>100</v>
      </c>
      <c r="X28" s="1812"/>
      <c r="Y28" s="3226"/>
      <c r="Z28" s="1813" t="str">
        <f t="shared" ref="Z28:Z46" si="15">Q28</f>
        <v>楼层</v>
      </c>
      <c r="AA28" s="1810">
        <f t="shared" si="3"/>
        <v>1</v>
      </c>
      <c r="AB28" s="1810">
        <f t="shared" si="4"/>
        <v>1</v>
      </c>
      <c r="AC28" s="1810">
        <f t="shared" si="5"/>
        <v>1</v>
      </c>
    </row>
    <row r="29" spans="1:29" ht="1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24"/>
      <c r="Q29" s="1809">
        <f t="shared" si="11"/>
        <v>111</v>
      </c>
      <c r="R29" s="773" t="s">
        <v>17</v>
      </c>
      <c r="S29" s="774">
        <f t="shared" si="12"/>
        <v>100</v>
      </c>
      <c r="T29" s="773" t="s">
        <v>17</v>
      </c>
      <c r="U29" s="774">
        <f t="shared" si="13"/>
        <v>100</v>
      </c>
      <c r="V29" s="773" t="s">
        <v>17</v>
      </c>
      <c r="W29" s="774">
        <f t="shared" si="14"/>
        <v>100</v>
      </c>
      <c r="X29" s="1812"/>
      <c r="Y29" s="3226"/>
      <c r="Z29" s="1813">
        <f t="shared" si="15"/>
        <v>111</v>
      </c>
      <c r="AA29" s="1810">
        <f t="shared" si="3"/>
        <v>1</v>
      </c>
      <c r="AB29" s="1810">
        <f t="shared" si="4"/>
        <v>1</v>
      </c>
      <c r="AC29" s="1810">
        <f t="shared" si="5"/>
        <v>1</v>
      </c>
    </row>
    <row r="30" spans="1:29" ht="1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24"/>
      <c r="Q30" s="1809">
        <f t="shared" si="11"/>
        <v>111</v>
      </c>
      <c r="R30" s="773" t="s">
        <v>17</v>
      </c>
      <c r="S30" s="774">
        <f t="shared" si="12"/>
        <v>100</v>
      </c>
      <c r="T30" s="773" t="s">
        <v>17</v>
      </c>
      <c r="U30" s="774">
        <f t="shared" si="13"/>
        <v>100</v>
      </c>
      <c r="V30" s="773" t="s">
        <v>17</v>
      </c>
      <c r="W30" s="774">
        <f t="shared" si="14"/>
        <v>100</v>
      </c>
      <c r="X30" s="1812"/>
      <c r="Y30" s="3226"/>
      <c r="Z30" s="1813">
        <f t="shared" si="15"/>
        <v>111</v>
      </c>
      <c r="AA30" s="1810">
        <f t="shared" si="3"/>
        <v>1</v>
      </c>
      <c r="AB30" s="1810">
        <f t="shared" si="4"/>
        <v>1</v>
      </c>
      <c r="AC30" s="1810">
        <f t="shared" si="5"/>
        <v>1</v>
      </c>
    </row>
    <row r="31" spans="1:29" ht="15.75"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24"/>
      <c r="Q31" s="1809">
        <f t="shared" si="11"/>
        <v>111</v>
      </c>
      <c r="R31" s="773" t="s">
        <v>17</v>
      </c>
      <c r="S31" s="774">
        <f t="shared" si="12"/>
        <v>100</v>
      </c>
      <c r="T31" s="773" t="s">
        <v>17</v>
      </c>
      <c r="U31" s="774">
        <f t="shared" si="13"/>
        <v>100</v>
      </c>
      <c r="V31" s="773" t="s">
        <v>17</v>
      </c>
      <c r="W31" s="774">
        <f t="shared" si="14"/>
        <v>100</v>
      </c>
      <c r="X31" s="1812"/>
      <c r="Y31" s="3226"/>
      <c r="Z31" s="1813">
        <f t="shared" si="15"/>
        <v>111</v>
      </c>
      <c r="AA31" s="1810">
        <f t="shared" si="3"/>
        <v>1</v>
      </c>
      <c r="AB31" s="1810">
        <f t="shared" si="4"/>
        <v>1</v>
      </c>
      <c r="AC31" s="1810">
        <f t="shared" si="5"/>
        <v>1</v>
      </c>
    </row>
    <row r="32" spans="1:29" ht="15">
      <c r="A32" s="439" t="s">
        <v>2567</v>
      </c>
      <c r="B32" s="71" t="s">
        <v>2664</v>
      </c>
      <c r="C32" s="2617" t="s">
        <v>3362</v>
      </c>
      <c r="D32" s="466">
        <v>100</v>
      </c>
      <c r="E32" s="2617" t="s">
        <v>3363</v>
      </c>
      <c r="F32" s="460">
        <f>SUMIF(100:100,E32,101:101)-SUMIF(100:100,C32,101:101)+100</f>
        <v>102</v>
      </c>
      <c r="G32" s="2617" t="s">
        <v>3362</v>
      </c>
      <c r="H32" s="434">
        <f>SUMIF(100:100,G32,101:101)-SUMIF(100:100,C32,101:101)+100</f>
        <v>100</v>
      </c>
      <c r="I32" s="2617" t="s">
        <v>3362</v>
      </c>
      <c r="J32" s="466">
        <f>SUMIF(100:100,I32,101:101)-SUMIF(100:100,C32,101:101)+100</f>
        <v>100</v>
      </c>
      <c r="K32" s="611">
        <v>2</v>
      </c>
      <c r="L32" s="1139"/>
      <c r="M32" s="1130"/>
      <c r="N32" s="1130"/>
      <c r="O32" s="1130"/>
      <c r="P32" s="3227" t="s">
        <v>2569</v>
      </c>
      <c r="Q32" s="1809" t="str">
        <f t="shared" si="11"/>
        <v>商业类型</v>
      </c>
      <c r="R32" s="773" t="s">
        <v>17</v>
      </c>
      <c r="S32" s="774">
        <f t="shared" si="12"/>
        <v>102</v>
      </c>
      <c r="T32" s="773" t="s">
        <v>17</v>
      </c>
      <c r="U32" s="774">
        <f t="shared" si="13"/>
        <v>100</v>
      </c>
      <c r="V32" s="773" t="s">
        <v>17</v>
      </c>
      <c r="W32" s="774">
        <f t="shared" si="14"/>
        <v>100</v>
      </c>
      <c r="X32" s="1812"/>
      <c r="Y32" s="3230" t="s">
        <v>2569</v>
      </c>
      <c r="Z32" s="1813" t="str">
        <f t="shared" si="15"/>
        <v>商业类型</v>
      </c>
      <c r="AA32" s="1810">
        <f t="shared" si="3"/>
        <v>0.98039215686274506</v>
      </c>
      <c r="AB32" s="1810">
        <f t="shared" si="4"/>
        <v>1</v>
      </c>
      <c r="AC32" s="1810">
        <f t="shared" si="5"/>
        <v>1</v>
      </c>
    </row>
    <row r="33" spans="1:29" s="470" customFormat="1" ht="15">
      <c r="A33" s="467"/>
      <c r="B33" s="3002" t="s">
        <v>2570</v>
      </c>
      <c r="C33" s="468">
        <f>面积表及商业修正表!Q30</f>
        <v>308.73</v>
      </c>
      <c r="D33" s="135">
        <v>100</v>
      </c>
      <c r="E33" s="429">
        <v>118</v>
      </c>
      <c r="F33" s="424">
        <f>LOOKUP(E33,103:103,104:104)-LOOKUP(C33,103:103,104:104)+100</f>
        <v>102</v>
      </c>
      <c r="G33" s="428">
        <v>214</v>
      </c>
      <c r="H33" s="135">
        <f>LOOKUP(G33,103:103,104:104)-LOOKUP(C33,103:103,104:104)+100</f>
        <v>100</v>
      </c>
      <c r="I33" s="428">
        <v>500</v>
      </c>
      <c r="J33" s="135">
        <f>LOOKUP(I33,103:103,104:104)-LOOKUP(C33,103:103,104:104)+100</f>
        <v>98</v>
      </c>
      <c r="K33" s="612"/>
      <c r="L33" s="1137"/>
      <c r="M33" s="1140"/>
      <c r="N33" s="1140"/>
      <c r="O33" s="1140"/>
      <c r="P33" s="3228"/>
      <c r="Q33" s="775" t="str">
        <f t="shared" si="11"/>
        <v>项目建筑规模</v>
      </c>
      <c r="R33" s="776" t="s">
        <v>17</v>
      </c>
      <c r="S33" s="777">
        <f t="shared" si="12"/>
        <v>102</v>
      </c>
      <c r="T33" s="776" t="s">
        <v>17</v>
      </c>
      <c r="U33" s="777">
        <f t="shared" si="13"/>
        <v>100</v>
      </c>
      <c r="V33" s="776" t="s">
        <v>17</v>
      </c>
      <c r="W33" s="777">
        <f t="shared" si="14"/>
        <v>98</v>
      </c>
      <c r="X33" s="778"/>
      <c r="Y33" s="3230"/>
      <c r="Z33" s="779" t="str">
        <f t="shared" si="15"/>
        <v>项目建筑规模</v>
      </c>
      <c r="AA33" s="1810">
        <f t="shared" si="3"/>
        <v>0.98039215686274506</v>
      </c>
      <c r="AB33" s="1810">
        <f t="shared" si="4"/>
        <v>1</v>
      </c>
      <c r="AC33" s="1810">
        <f t="shared" si="5"/>
        <v>1.0204081632653061</v>
      </c>
    </row>
    <row r="34" spans="1:29" ht="15">
      <c r="A34" s="471"/>
      <c r="B34" s="421" t="s">
        <v>2571</v>
      </c>
      <c r="C34" s="2619" t="s">
        <v>3107</v>
      </c>
      <c r="D34" s="434">
        <v>100</v>
      </c>
      <c r="E34" s="2619" t="s">
        <v>3107</v>
      </c>
      <c r="F34" s="460">
        <f>SUMIF(105:105,E34,106:106)-SUMIF(105:105,C34,106:106)+100</f>
        <v>100</v>
      </c>
      <c r="G34" s="2619" t="s">
        <v>3107</v>
      </c>
      <c r="H34" s="434">
        <f>SUMIF(105:105,G34,106:106)-SUMIF(105:105,C34,106:106)+100</f>
        <v>100</v>
      </c>
      <c r="I34" s="2619" t="s">
        <v>3107</v>
      </c>
      <c r="J34" s="434">
        <f>SUMIF(105:105,I34,106:106)-SUMIF(105:105,C34,106:106)+100</f>
        <v>100</v>
      </c>
      <c r="K34" s="611">
        <v>2</v>
      </c>
      <c r="L34" s="1139"/>
      <c r="M34" s="1130"/>
      <c r="N34" s="1130"/>
      <c r="O34" s="1130"/>
      <c r="P34" s="3228"/>
      <c r="Q34" s="1809" t="str">
        <f t="shared" si="11"/>
        <v>建筑结构</v>
      </c>
      <c r="R34" s="773" t="s">
        <v>17</v>
      </c>
      <c r="S34" s="774">
        <f t="shared" si="12"/>
        <v>100</v>
      </c>
      <c r="T34" s="773" t="s">
        <v>17</v>
      </c>
      <c r="U34" s="774">
        <f t="shared" si="13"/>
        <v>100</v>
      </c>
      <c r="V34" s="773" t="s">
        <v>17</v>
      </c>
      <c r="W34" s="774">
        <f t="shared" si="14"/>
        <v>100</v>
      </c>
      <c r="X34" s="1812"/>
      <c r="Y34" s="3230"/>
      <c r="Z34" s="1813" t="str">
        <f t="shared" si="15"/>
        <v>建筑结构</v>
      </c>
      <c r="AA34" s="1810">
        <f t="shared" si="3"/>
        <v>1</v>
      </c>
      <c r="AB34" s="1810">
        <f t="shared" si="4"/>
        <v>1</v>
      </c>
      <c r="AC34" s="1810">
        <f t="shared" si="5"/>
        <v>1</v>
      </c>
    </row>
    <row r="35" spans="1:29" ht="15">
      <c r="A35" s="471"/>
      <c r="B35" s="421" t="s">
        <v>2665</v>
      </c>
      <c r="C35" s="2613" t="s">
        <v>3369</v>
      </c>
      <c r="D35" s="434">
        <v>100</v>
      </c>
      <c r="E35" s="2613" t="s">
        <v>3369</v>
      </c>
      <c r="F35" s="460">
        <f>SUMIF(107:107,E35,108:108)-SUMIF(107:107,C35,108:108)+100</f>
        <v>100</v>
      </c>
      <c r="G35" s="2613" t="s">
        <v>3369</v>
      </c>
      <c r="H35" s="434">
        <f>SUMIF(107:107,G35,108:108)-SUMIF(107:107,C35,108:108)+100</f>
        <v>100</v>
      </c>
      <c r="I35" s="2613" t="s">
        <v>3369</v>
      </c>
      <c r="J35" s="434">
        <f>SUMIF(107:107,I35,108:108)-SUMIF(107:107,C35,108:108)+100</f>
        <v>100</v>
      </c>
      <c r="K35" s="611">
        <v>3</v>
      </c>
      <c r="L35" s="1139"/>
      <c r="M35" s="1130"/>
      <c r="N35" s="1130"/>
      <c r="O35" s="1130"/>
      <c r="P35" s="3228"/>
      <c r="Q35" s="1809" t="str">
        <f t="shared" si="11"/>
        <v>公共部分装修</v>
      </c>
      <c r="R35" s="773" t="s">
        <v>17</v>
      </c>
      <c r="S35" s="774">
        <f t="shared" si="12"/>
        <v>100</v>
      </c>
      <c r="T35" s="773" t="s">
        <v>17</v>
      </c>
      <c r="U35" s="774">
        <f t="shared" si="13"/>
        <v>100</v>
      </c>
      <c r="V35" s="773" t="s">
        <v>17</v>
      </c>
      <c r="W35" s="774">
        <f t="shared" si="14"/>
        <v>100</v>
      </c>
      <c r="X35" s="1812"/>
      <c r="Y35" s="3230"/>
      <c r="Z35" s="1813" t="str">
        <f t="shared" si="15"/>
        <v>公共部分装修</v>
      </c>
      <c r="AA35" s="1810">
        <f t="shared" si="3"/>
        <v>1</v>
      </c>
      <c r="AB35" s="1810">
        <f t="shared" si="4"/>
        <v>1</v>
      </c>
      <c r="AC35" s="1810">
        <f t="shared" si="5"/>
        <v>1</v>
      </c>
    </row>
    <row r="36" spans="1:29" ht="15">
      <c r="A36" s="471"/>
      <c r="B36" s="421" t="s">
        <v>2666</v>
      </c>
      <c r="C36" s="473">
        <v>1</v>
      </c>
      <c r="D36" s="434">
        <v>100</v>
      </c>
      <c r="E36" s="473">
        <v>0.87</v>
      </c>
      <c r="F36" s="460">
        <f>LOOKUP(E36,110:110,111:111)-LOOKUP(C36,110:110,111:111)+100</f>
        <v>98</v>
      </c>
      <c r="G36" s="473">
        <v>0.92</v>
      </c>
      <c r="H36" s="460">
        <f>LOOKUP(G36,110:110,111:111)-LOOKUP(C36,110:110,111:111)+100</f>
        <v>100</v>
      </c>
      <c r="I36" s="473">
        <v>0.9</v>
      </c>
      <c r="J36" s="434">
        <f>LOOKUP(I36,110:110,111:111)-LOOKUP(C36,110:110,111:111)+100</f>
        <v>100</v>
      </c>
      <c r="K36" s="611">
        <v>2</v>
      </c>
      <c r="L36" s="1139"/>
      <c r="M36" s="1130"/>
      <c r="N36" s="1130"/>
      <c r="O36" s="1130"/>
      <c r="P36" s="3228"/>
      <c r="Q36" s="1809" t="str">
        <f t="shared" si="11"/>
        <v>成新度</v>
      </c>
      <c r="R36" s="773" t="s">
        <v>17</v>
      </c>
      <c r="S36" s="774">
        <f t="shared" si="12"/>
        <v>98</v>
      </c>
      <c r="T36" s="773" t="s">
        <v>17</v>
      </c>
      <c r="U36" s="774">
        <f t="shared" si="13"/>
        <v>100</v>
      </c>
      <c r="V36" s="773" t="s">
        <v>17</v>
      </c>
      <c r="W36" s="774">
        <f t="shared" si="14"/>
        <v>100</v>
      </c>
      <c r="X36" s="1812"/>
      <c r="Y36" s="3230"/>
      <c r="Z36" s="1813" t="str">
        <f t="shared" si="15"/>
        <v>成新度</v>
      </c>
      <c r="AA36" s="1810">
        <f t="shared" si="3"/>
        <v>1.0204081632653061</v>
      </c>
      <c r="AB36" s="1810">
        <f t="shared" si="4"/>
        <v>1</v>
      </c>
      <c r="AC36" s="1810">
        <f t="shared" si="5"/>
        <v>1</v>
      </c>
    </row>
    <row r="37" spans="1:29" s="116" customFormat="1" ht="15">
      <c r="A37" s="472"/>
      <c r="B37" s="421" t="s">
        <v>2667</v>
      </c>
      <c r="C37" s="2613" t="s">
        <v>3294</v>
      </c>
      <c r="D37" s="135">
        <v>100</v>
      </c>
      <c r="E37" s="2613" t="s">
        <v>3294</v>
      </c>
      <c r="F37" s="460">
        <f>SUMIF(112:112,E37,113:113)-SUMIF(112:112,C37,113:113)+100</f>
        <v>100</v>
      </c>
      <c r="G37" s="2613" t="s">
        <v>3294</v>
      </c>
      <c r="H37" s="434">
        <f>SUMIF(112:112,G37,113:113)-SUMIF(112:112,C37,113:113)+100</f>
        <v>100</v>
      </c>
      <c r="I37" s="2613" t="s">
        <v>3294</v>
      </c>
      <c r="J37" s="434">
        <f>SUMIF(112:112,I37,113:113)-SUMIF(112:112,C37,113:113)+100</f>
        <v>100</v>
      </c>
      <c r="K37" s="611">
        <v>2</v>
      </c>
      <c r="L37" s="1131"/>
      <c r="M37" s="1132"/>
      <c r="N37" s="1132"/>
      <c r="O37" s="1132"/>
      <c r="P37" s="3228"/>
      <c r="Q37" s="1794" t="str">
        <f t="shared" si="11"/>
        <v>市政基础设施</v>
      </c>
      <c r="R37" s="769" t="s">
        <v>17</v>
      </c>
      <c r="S37" s="770">
        <f t="shared" si="12"/>
        <v>100</v>
      </c>
      <c r="T37" s="769" t="s">
        <v>17</v>
      </c>
      <c r="U37" s="770">
        <f t="shared" si="13"/>
        <v>100</v>
      </c>
      <c r="V37" s="769" t="s">
        <v>17</v>
      </c>
      <c r="W37" s="770">
        <f t="shared" si="14"/>
        <v>100</v>
      </c>
      <c r="X37" s="771"/>
      <c r="Y37" s="3230"/>
      <c r="Z37" s="55" t="str">
        <f t="shared" si="15"/>
        <v>市政基础设施</v>
      </c>
      <c r="AA37" s="772">
        <f t="shared" si="3"/>
        <v>1</v>
      </c>
      <c r="AB37" s="772">
        <f t="shared" si="4"/>
        <v>1</v>
      </c>
      <c r="AC37" s="772">
        <f t="shared" si="5"/>
        <v>1</v>
      </c>
    </row>
    <row r="38" spans="1:29" ht="15">
      <c r="A38" s="471"/>
      <c r="B38" s="421" t="s">
        <v>2668</v>
      </c>
      <c r="C38" s="2613" t="s">
        <v>3364</v>
      </c>
      <c r="D38" s="434">
        <v>100</v>
      </c>
      <c r="E38" s="2613" t="s">
        <v>3364</v>
      </c>
      <c r="F38" s="460">
        <f>SUMIF(114:114,E38,115:115)-SUMIF(114:114,C38,115:115)+100</f>
        <v>100</v>
      </c>
      <c r="G38" s="2613" t="s">
        <v>3364</v>
      </c>
      <c r="H38" s="434">
        <f>SUMIF(114:114,G38,115:115)-SUMIF(114:114,C38,115:115)+100</f>
        <v>100</v>
      </c>
      <c r="I38" s="2613" t="s">
        <v>3364</v>
      </c>
      <c r="J38" s="434">
        <f>SUMIF(114:114,I38,115:115)-SUMIF(114:114,C38,115:115)+100</f>
        <v>100</v>
      </c>
      <c r="K38" s="611">
        <v>3</v>
      </c>
      <c r="L38" s="1139"/>
      <c r="M38" s="1130"/>
      <c r="N38" s="1130"/>
      <c r="O38" s="1130"/>
      <c r="P38" s="3228" t="s">
        <v>2569</v>
      </c>
      <c r="Q38" s="1809" t="str">
        <f t="shared" si="11"/>
        <v>业态</v>
      </c>
      <c r="R38" s="773" t="s">
        <v>17</v>
      </c>
      <c r="S38" s="774">
        <f t="shared" si="12"/>
        <v>100</v>
      </c>
      <c r="T38" s="773" t="s">
        <v>17</v>
      </c>
      <c r="U38" s="774">
        <f t="shared" si="13"/>
        <v>100</v>
      </c>
      <c r="V38" s="773" t="s">
        <v>17</v>
      </c>
      <c r="W38" s="774">
        <f t="shared" si="14"/>
        <v>100</v>
      </c>
      <c r="X38" s="1812"/>
      <c r="Y38" s="3230" t="s">
        <v>2569</v>
      </c>
      <c r="Z38" s="1813" t="str">
        <f t="shared" si="15"/>
        <v>业态</v>
      </c>
      <c r="AA38" s="1810">
        <f t="shared" si="3"/>
        <v>1</v>
      </c>
      <c r="AB38" s="1810">
        <f t="shared" si="4"/>
        <v>1</v>
      </c>
      <c r="AC38" s="1810">
        <f t="shared" si="5"/>
        <v>1</v>
      </c>
    </row>
    <row r="39" spans="1:29" ht="15">
      <c r="A39" s="471"/>
      <c r="B39" s="421" t="s">
        <v>2669</v>
      </c>
      <c r="C39" s="2613" t="s">
        <v>3365</v>
      </c>
      <c r="D39" s="434">
        <v>100</v>
      </c>
      <c r="E39" s="2613" t="s">
        <v>3366</v>
      </c>
      <c r="F39" s="460">
        <f>SUMIF(116:116,E39,117:117)-SUMIF(116:116,C39,117:117)+100</f>
        <v>97</v>
      </c>
      <c r="G39" s="2613" t="s">
        <v>3365</v>
      </c>
      <c r="H39" s="434">
        <f>SUMIF(116:116,G39,117:117)-SUMIF(116:116,C39,117:117)+100</f>
        <v>100</v>
      </c>
      <c r="I39" s="2613" t="s">
        <v>3366</v>
      </c>
      <c r="J39" s="434">
        <f>SUMIF(116:116,I39,117:117)-SUMIF(116:116,C39,117:117)+100</f>
        <v>97</v>
      </c>
      <c r="K39" s="611">
        <v>3</v>
      </c>
      <c r="L39" s="1139"/>
      <c r="M39" s="1130"/>
      <c r="N39" s="1130"/>
      <c r="O39" s="1130"/>
      <c r="P39" s="3228"/>
      <c r="Q39" s="1809" t="str">
        <f t="shared" si="11"/>
        <v>层高</v>
      </c>
      <c r="R39" s="773" t="s">
        <v>17</v>
      </c>
      <c r="S39" s="774">
        <f t="shared" si="12"/>
        <v>97</v>
      </c>
      <c r="T39" s="773" t="s">
        <v>17</v>
      </c>
      <c r="U39" s="774">
        <f t="shared" si="13"/>
        <v>100</v>
      </c>
      <c r="V39" s="773" t="s">
        <v>17</v>
      </c>
      <c r="W39" s="774">
        <f t="shared" si="14"/>
        <v>97</v>
      </c>
      <c r="X39" s="1812"/>
      <c r="Y39" s="3230"/>
      <c r="Z39" s="1813" t="str">
        <f t="shared" si="15"/>
        <v>层高</v>
      </c>
      <c r="AA39" s="1810">
        <f t="shared" si="3"/>
        <v>1.0309278350515463</v>
      </c>
      <c r="AB39" s="1810">
        <f t="shared" si="4"/>
        <v>1</v>
      </c>
      <c r="AC39" s="1810">
        <f t="shared" si="5"/>
        <v>1.0309278350515463</v>
      </c>
    </row>
    <row r="40" spans="1:29" ht="15">
      <c r="A40" s="471"/>
      <c r="B40" s="421" t="s">
        <v>2670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28"/>
      <c r="Q40" s="1809" t="str">
        <f t="shared" si="11"/>
        <v>单套建筑面积</v>
      </c>
      <c r="R40" s="773" t="s">
        <v>17</v>
      </c>
      <c r="S40" s="774">
        <f t="shared" si="12"/>
        <v>100</v>
      </c>
      <c r="T40" s="773" t="s">
        <v>17</v>
      </c>
      <c r="U40" s="774">
        <f t="shared" si="13"/>
        <v>100</v>
      </c>
      <c r="V40" s="773" t="s">
        <v>17</v>
      </c>
      <c r="W40" s="774">
        <f t="shared" si="14"/>
        <v>100</v>
      </c>
      <c r="X40" s="1812"/>
      <c r="Y40" s="3230"/>
      <c r="Z40" s="1813" t="str">
        <f t="shared" si="15"/>
        <v>单套建筑面积</v>
      </c>
      <c r="AA40" s="1810">
        <f t="shared" si="3"/>
        <v>1</v>
      </c>
      <c r="AB40" s="1810">
        <f t="shared" si="4"/>
        <v>1</v>
      </c>
      <c r="AC40" s="1810">
        <f t="shared" si="5"/>
        <v>1</v>
      </c>
    </row>
    <row r="41" spans="1:29" s="470" customFormat="1" ht="15">
      <c r="A41" s="467"/>
      <c r="B41" s="1811" t="s">
        <v>2671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v>3</v>
      </c>
      <c r="L41" s="1137"/>
      <c r="M41" s="1140"/>
      <c r="N41" s="1140"/>
      <c r="O41" s="1140"/>
      <c r="P41" s="3228"/>
      <c r="Q41" s="775" t="str">
        <f t="shared" si="11"/>
        <v>进深比</v>
      </c>
      <c r="R41" s="776" t="s">
        <v>17</v>
      </c>
      <c r="S41" s="777">
        <f t="shared" si="12"/>
        <v>100</v>
      </c>
      <c r="T41" s="776" t="s">
        <v>17</v>
      </c>
      <c r="U41" s="777">
        <f t="shared" si="13"/>
        <v>100</v>
      </c>
      <c r="V41" s="776" t="s">
        <v>17</v>
      </c>
      <c r="W41" s="777">
        <f t="shared" si="14"/>
        <v>100</v>
      </c>
      <c r="X41" s="778"/>
      <c r="Y41" s="3230"/>
      <c r="Z41" s="779" t="str">
        <f t="shared" si="15"/>
        <v>进深比</v>
      </c>
      <c r="AA41" s="1810">
        <f t="shared" si="3"/>
        <v>1</v>
      </c>
      <c r="AB41" s="1810">
        <f t="shared" si="4"/>
        <v>1</v>
      </c>
      <c r="AC41" s="1810">
        <f t="shared" si="5"/>
        <v>1</v>
      </c>
    </row>
    <row r="42" spans="1:29" ht="15">
      <c r="A42" s="471"/>
      <c r="B42" s="421" t="s">
        <v>2672</v>
      </c>
      <c r="C42" s="2613" t="s">
        <v>3367</v>
      </c>
      <c r="D42" s="434">
        <v>100</v>
      </c>
      <c r="E42" s="2613" t="s">
        <v>3368</v>
      </c>
      <c r="F42" s="460">
        <f>SUMIF(122:122,E42,123:123)-SUMIF(122:122,C42,123:123)+100</f>
        <v>102</v>
      </c>
      <c r="G42" s="2613" t="s">
        <v>3368</v>
      </c>
      <c r="H42" s="434">
        <f>SUMIF(122:122,G42,123:123)-SUMIF(122:122,C42,123:123)+100</f>
        <v>102</v>
      </c>
      <c r="I42" s="2613" t="s">
        <v>3368</v>
      </c>
      <c r="J42" s="434">
        <f>SUMIF(122:122,I42,123:123)-SUMIF(122:122,C42,123:123)+100</f>
        <v>102</v>
      </c>
      <c r="K42" s="611">
        <v>1</v>
      </c>
      <c r="L42" s="1139"/>
      <c r="M42" s="1130"/>
      <c r="N42" s="1130"/>
      <c r="O42" s="1130"/>
      <c r="P42" s="3228"/>
      <c r="Q42" s="1809" t="str">
        <f t="shared" si="11"/>
        <v>内部装修</v>
      </c>
      <c r="R42" s="773" t="s">
        <v>17</v>
      </c>
      <c r="S42" s="774">
        <f t="shared" si="12"/>
        <v>102</v>
      </c>
      <c r="T42" s="773" t="s">
        <v>17</v>
      </c>
      <c r="U42" s="774">
        <f t="shared" si="13"/>
        <v>102</v>
      </c>
      <c r="V42" s="773" t="s">
        <v>17</v>
      </c>
      <c r="W42" s="774">
        <f t="shared" si="14"/>
        <v>102</v>
      </c>
      <c r="X42" s="1812"/>
      <c r="Y42" s="3230"/>
      <c r="Z42" s="1813" t="str">
        <f t="shared" si="15"/>
        <v>内部装修</v>
      </c>
      <c r="AA42" s="1810">
        <f t="shared" si="3"/>
        <v>0.98039215686274506</v>
      </c>
      <c r="AB42" s="1810">
        <f t="shared" si="4"/>
        <v>0.98039215686274506</v>
      </c>
      <c r="AC42" s="1810">
        <f t="shared" si="5"/>
        <v>0.98039215686274506</v>
      </c>
    </row>
    <row r="43" spans="1:29" ht="15">
      <c r="A43" s="471"/>
      <c r="B43" s="421" t="s">
        <v>2580</v>
      </c>
      <c r="C43" s="2613" t="s">
        <v>3293</v>
      </c>
      <c r="D43" s="434">
        <v>100</v>
      </c>
      <c r="E43" s="2613" t="s">
        <v>3293</v>
      </c>
      <c r="F43" s="460">
        <f>SUMIF(124:124,E43,125:125)-SUMIF(124:124,C43,125:125)+100</f>
        <v>100</v>
      </c>
      <c r="G43" s="2613" t="s">
        <v>3293</v>
      </c>
      <c r="H43" s="434">
        <f>SUMIF(124:124,G43,125:125)-SUMIF(124:124,C43,125:125)+100</f>
        <v>100</v>
      </c>
      <c r="I43" s="2613" t="s">
        <v>3293</v>
      </c>
      <c r="J43" s="434">
        <f>SUMIF(124:124,I43,125:125)-SUMIF(124:124,C43,125:125)+100</f>
        <v>100</v>
      </c>
      <c r="K43" s="611">
        <v>3</v>
      </c>
      <c r="L43" s="1139"/>
      <c r="M43" s="1130"/>
      <c r="N43" s="1130"/>
      <c r="O43" s="1130"/>
      <c r="P43" s="3228"/>
      <c r="Q43" s="1809" t="str">
        <f t="shared" si="11"/>
        <v>内部装修维护情况</v>
      </c>
      <c r="R43" s="773" t="s">
        <v>17</v>
      </c>
      <c r="S43" s="774">
        <f t="shared" si="12"/>
        <v>100</v>
      </c>
      <c r="T43" s="773" t="s">
        <v>17</v>
      </c>
      <c r="U43" s="774">
        <f t="shared" si="13"/>
        <v>100</v>
      </c>
      <c r="V43" s="773" t="s">
        <v>17</v>
      </c>
      <c r="W43" s="774">
        <f t="shared" si="14"/>
        <v>100</v>
      </c>
      <c r="X43" s="1812"/>
      <c r="Y43" s="3230"/>
      <c r="Z43" s="1813" t="str">
        <f t="shared" si="15"/>
        <v>内部装修维护情况</v>
      </c>
      <c r="AA43" s="1810">
        <f t="shared" si="3"/>
        <v>1</v>
      </c>
      <c r="AB43" s="1810">
        <f t="shared" si="4"/>
        <v>1</v>
      </c>
      <c r="AC43" s="1810">
        <f t="shared" si="5"/>
        <v>1</v>
      </c>
    </row>
    <row r="44" spans="1:29" s="116" customFormat="1" ht="15">
      <c r="A44" s="472"/>
      <c r="B44" s="1385">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228"/>
      <c r="Q44" s="1794">
        <f t="shared" si="11"/>
        <v>111</v>
      </c>
      <c r="R44" s="769" t="s">
        <v>17</v>
      </c>
      <c r="S44" s="770">
        <f t="shared" si="12"/>
        <v>100</v>
      </c>
      <c r="T44" s="769" t="s">
        <v>17</v>
      </c>
      <c r="U44" s="770">
        <f t="shared" si="13"/>
        <v>100</v>
      </c>
      <c r="V44" s="769" t="s">
        <v>17</v>
      </c>
      <c r="W44" s="770">
        <f t="shared" si="14"/>
        <v>100</v>
      </c>
      <c r="X44" s="771"/>
      <c r="Y44" s="3230"/>
      <c r="Z44" s="55">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28"/>
      <c r="Q45" s="1809">
        <f t="shared" si="11"/>
        <v>111</v>
      </c>
      <c r="R45" s="773" t="s">
        <v>17</v>
      </c>
      <c r="S45" s="774">
        <f t="shared" si="12"/>
        <v>100</v>
      </c>
      <c r="T45" s="773" t="s">
        <v>17</v>
      </c>
      <c r="U45" s="774">
        <f t="shared" si="13"/>
        <v>100</v>
      </c>
      <c r="V45" s="773" t="s">
        <v>17</v>
      </c>
      <c r="W45" s="774">
        <f t="shared" si="14"/>
        <v>100</v>
      </c>
      <c r="X45" s="1812"/>
      <c r="Y45" s="3230"/>
      <c r="Z45" s="1813">
        <f t="shared" si="15"/>
        <v>111</v>
      </c>
      <c r="AA45" s="1810">
        <f t="shared" si="3"/>
        <v>1</v>
      </c>
      <c r="AB45" s="1810">
        <f t="shared" si="4"/>
        <v>1</v>
      </c>
      <c r="AC45" s="1810">
        <f t="shared" si="5"/>
        <v>1</v>
      </c>
    </row>
    <row r="46" spans="1:29" ht="15.75" thickBot="1">
      <c r="A46" s="477"/>
      <c r="B46" s="2602">
        <v>0.98</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29"/>
      <c r="Q46" s="1809">
        <f t="shared" si="11"/>
        <v>0.98</v>
      </c>
      <c r="R46" s="773" t="s">
        <v>17</v>
      </c>
      <c r="S46" s="774">
        <f t="shared" si="12"/>
        <v>100</v>
      </c>
      <c r="T46" s="773" t="s">
        <v>17</v>
      </c>
      <c r="U46" s="774">
        <f t="shared" si="13"/>
        <v>100</v>
      </c>
      <c r="V46" s="773" t="s">
        <v>17</v>
      </c>
      <c r="W46" s="774">
        <f t="shared" si="14"/>
        <v>100</v>
      </c>
      <c r="X46" s="1812"/>
      <c r="Y46" s="3231"/>
      <c r="Z46" s="1813">
        <f t="shared" si="15"/>
        <v>0.98</v>
      </c>
      <c r="AA46" s="1810">
        <f t="shared" si="3"/>
        <v>1</v>
      </c>
      <c r="AB46" s="1810">
        <f t="shared" si="4"/>
        <v>1</v>
      </c>
      <c r="AC46" s="1810">
        <f t="shared" si="5"/>
        <v>1</v>
      </c>
    </row>
    <row r="47" spans="1:29" ht="15">
      <c r="A47" s="478" t="s">
        <v>2581</v>
      </c>
      <c r="B47" s="479"/>
      <c r="C47" s="1406" t="s">
        <v>1</v>
      </c>
      <c r="D47" s="1407"/>
      <c r="E47" s="1408">
        <f>ROUND(50847*B46,0)</f>
        <v>49830</v>
      </c>
      <c r="F47" s="1409"/>
      <c r="G47" s="1410">
        <f>ROUND(47539*B46,0)</f>
        <v>46588</v>
      </c>
      <c r="H47" s="1411"/>
      <c r="I47" s="1408">
        <f>ROUND(55000*B46,0)</f>
        <v>53900</v>
      </c>
      <c r="J47" s="1411"/>
      <c r="K47" s="782"/>
      <c r="L47" s="1142"/>
      <c r="M47" s="1143"/>
      <c r="N47" s="1130"/>
      <c r="O47" s="1143"/>
      <c r="P47" s="3218" t="str">
        <f>A47</f>
        <v>成交单价（元/平方米）</v>
      </c>
      <c r="Q47" s="3218"/>
      <c r="R47" s="3252">
        <f>E47</f>
        <v>49830</v>
      </c>
      <c r="S47" s="3252"/>
      <c r="T47" s="3252">
        <f>G47</f>
        <v>46588</v>
      </c>
      <c r="U47" s="3252"/>
      <c r="V47" s="3252">
        <f>I47</f>
        <v>53900</v>
      </c>
      <c r="W47" s="3252"/>
      <c r="X47" s="758"/>
      <c r="Y47" s="780"/>
      <c r="Z47" s="758"/>
      <c r="AA47" s="758"/>
      <c r="AB47" s="758"/>
      <c r="AC47" s="758"/>
    </row>
    <row r="48" spans="1:29" ht="15.75" thickBot="1">
      <c r="A48" s="485" t="s">
        <v>2673</v>
      </c>
      <c r="B48" s="486"/>
      <c r="C48" s="1412">
        <f>R49</f>
        <v>49680</v>
      </c>
      <c r="D48" s="1413"/>
      <c r="E48" s="1414">
        <f>R48</f>
        <v>49396</v>
      </c>
      <c r="F48" s="1414"/>
      <c r="G48" s="1412">
        <f>T48</f>
        <v>45675</v>
      </c>
      <c r="H48" s="1413"/>
      <c r="I48" s="1414">
        <f>V48</f>
        <v>53970</v>
      </c>
      <c r="J48" s="1413"/>
      <c r="K48" s="783"/>
      <c r="L48" s="1142"/>
      <c r="M48" s="1143"/>
      <c r="N48" s="1130"/>
      <c r="O48" s="1143"/>
      <c r="P48" s="3218" t="str">
        <f>A48</f>
        <v>比较价值（元/平方米）</v>
      </c>
      <c r="Q48" s="3218"/>
      <c r="R48" s="3219">
        <f>IF(F1="售价",ROUND(PRODUCT(R47,AA7:AA46),0),ROUND(PRODUCT(R47,AA7:AA46),1))</f>
        <v>49396</v>
      </c>
      <c r="S48" s="3219"/>
      <c r="T48" s="3219">
        <f>IF(F1="售价",ROUND(PRODUCT(T47,AB7:AB46),0),ROUND(PRODUCT(T47,AB7:AB46),1))</f>
        <v>45675</v>
      </c>
      <c r="U48" s="3219"/>
      <c r="V48" s="3219">
        <f>IF(F1="售价",ROUND(PRODUCT(V47,AC7:AC46),0),ROUND(PRODUCT(V47,AC7:AC46),1))</f>
        <v>53970</v>
      </c>
      <c r="W48" s="3219"/>
      <c r="X48" s="758"/>
      <c r="Y48" s="758"/>
      <c r="Z48" s="758"/>
      <c r="AA48" s="758"/>
      <c r="AB48" s="758"/>
      <c r="AC48" s="758"/>
    </row>
    <row r="49" spans="1:29" ht="15.75" thickBot="1">
      <c r="A49" s="491" t="s">
        <v>2674</v>
      </c>
      <c r="B49" s="492"/>
      <c r="C49" s="1416">
        <f>R49</f>
        <v>49680</v>
      </c>
      <c r="D49" s="1416"/>
      <c r="E49" s="1416"/>
      <c r="F49" s="1416"/>
      <c r="G49" s="1416"/>
      <c r="H49" s="1416"/>
      <c r="I49" s="1416"/>
      <c r="J49" s="1416"/>
      <c r="K49" s="784"/>
      <c r="L49" s="1142"/>
      <c r="M49" s="1143"/>
      <c r="N49" s="1130"/>
      <c r="O49" s="1143"/>
      <c r="P49" s="3290" t="str">
        <f>A49</f>
        <v>估价对象XX用房的比较价值（楼面单价，元/平方米）</v>
      </c>
      <c r="Q49" s="3291"/>
      <c r="R49" s="3292">
        <f>IF(F1="售价",ROUND(AVERAGE(R48:V48),0),ROUND(AVERAGE(R48:V48),1))</f>
        <v>49680</v>
      </c>
      <c r="S49" s="3292"/>
      <c r="T49" s="3292"/>
      <c r="U49" s="3292"/>
      <c r="V49" s="3292"/>
      <c r="W49" s="3292"/>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2675</v>
      </c>
      <c r="D52" s="497"/>
      <c r="E52" s="498">
        <f>IF(E47&lt;E48,E48/E47-1,E47/E48-1)</f>
        <v>8.7861365292736249E-3</v>
      </c>
      <c r="F52" s="499" t="str">
        <f>IF(OR(E52&gt;=0.3,E52&lt;=-0.3),"超过30%","")</f>
        <v/>
      </c>
      <c r="G52" s="498">
        <f>IF(G47&lt;G48,G48/G47-1,G47/G48-1)</f>
        <v>1.9989053092501319E-2</v>
      </c>
      <c r="H52" s="499" t="str">
        <f>IF(OR(G52&gt;=0.3,G52&lt;=-0.3),"超过30%","")</f>
        <v/>
      </c>
      <c r="I52" s="498">
        <f>IF(I47&lt;I48,I48/I47-1,I47/I48-1)</f>
        <v>1.2987012987013546E-3</v>
      </c>
      <c r="J52" s="499" t="str">
        <f>IF(OR(I52&gt;=0.3,I52&lt;=-0.3),"超过30%","")</f>
        <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2676</v>
      </c>
      <c r="D53" s="500"/>
      <c r="E53" s="498">
        <f>IF(E48&lt;G48,G48/E48-1,E48/G48-1)</f>
        <v>8.146688560481663E-2</v>
      </c>
      <c r="F53" s="499" t="str">
        <f>IF(OR(E53&gt;=0.2,E53&lt;=-0.2),"超过20%","")</f>
        <v/>
      </c>
      <c r="G53" s="498">
        <f>IF(G48&lt;I48,I48/G48-1,G48/I48-1)</f>
        <v>0.18160919540229892</v>
      </c>
      <c r="H53" s="499" t="str">
        <f>IF(OR(G53&gt;=0.2,G53&lt;=-0.2),"超过20%","")</f>
        <v/>
      </c>
      <c r="I53" s="498">
        <f>IF(I48&lt;E48,E48/I48-1,I48/E48-1)</f>
        <v>9.2598590979026563E-2</v>
      </c>
      <c r="J53" s="499" t="str">
        <f>IF(OR(I53&gt;=0.2,I53&lt;=-0.2),"超过20%","")</f>
        <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2677</v>
      </c>
      <c r="D54" s="500"/>
      <c r="E54" s="498">
        <f>IF(E47&lt;G47,G47/E47-1,E47/G47-1)</f>
        <v>6.958873529664289E-2</v>
      </c>
      <c r="F54" s="499" t="str">
        <f>IF(OR(E54&gt;=0.3,E54&lt;=-0.3),"超过30%","")</f>
        <v/>
      </c>
      <c r="G54" s="498">
        <f>IF(G47&lt;I47,I47/G47-1,G47/I47-1)</f>
        <v>0.15695028762771535</v>
      </c>
      <c r="H54" s="499" t="str">
        <f>IF(OR(G54&gt;=0.3,G54&lt;=-0.3),"超过30%","")</f>
        <v/>
      </c>
      <c r="I54" s="498">
        <f>IF(I47&lt;E47,E47/I47-1,I47/E47-1)</f>
        <v>8.1677704194260459E-2</v>
      </c>
      <c r="J54" s="499" t="str">
        <f>IF(OR(I54&gt;=0.3,I54&lt;=-0.3),"超过30%","")</f>
        <v/>
      </c>
      <c r="K54" s="1147"/>
      <c r="L54" s="1148"/>
      <c r="M54" s="1144"/>
      <c r="N54" s="1144"/>
      <c r="O54" s="1144"/>
      <c r="P54" s="2666"/>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66"/>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2678</v>
      </c>
      <c r="B57" s="758"/>
      <c r="C57" s="763"/>
      <c r="D57" s="763"/>
      <c r="E57" s="763"/>
      <c r="F57" s="764"/>
      <c r="G57" s="764"/>
      <c r="H57" s="763"/>
      <c r="I57" s="763"/>
      <c r="J57" s="763"/>
      <c r="K57" s="765"/>
      <c r="L57" s="1160"/>
      <c r="M57" s="1158"/>
      <c r="N57" s="1158"/>
      <c r="O57" s="1158"/>
      <c r="P57" s="2667"/>
      <c r="Q57" s="2668"/>
      <c r="R57" s="758"/>
      <c r="S57" s="758"/>
      <c r="T57" s="758"/>
      <c r="U57" s="758"/>
      <c r="V57" s="758"/>
      <c r="W57" s="758"/>
      <c r="X57" s="758"/>
      <c r="Y57" s="758"/>
      <c r="Z57" s="758"/>
      <c r="AA57" s="758"/>
      <c r="AB57" s="758"/>
      <c r="AC57" s="758"/>
    </row>
    <row r="58" spans="1:29" s="507" customFormat="1" ht="15">
      <c r="A58" s="504" t="s">
        <v>2552</v>
      </c>
      <c r="B58" s="505"/>
      <c r="C58" s="1573" t="str">
        <f>YEAR(C7)&amp;"-"&amp;MONTH(C7)</f>
        <v>2018-6</v>
      </c>
      <c r="D58" s="1574">
        <f>EDATE(C58,-1)</f>
        <v>43221</v>
      </c>
      <c r="E58" s="1574">
        <f t="shared" ref="E58:N58" si="16">EDATE(D58,-1)</f>
        <v>43191</v>
      </c>
      <c r="F58" s="1574">
        <f t="shared" si="16"/>
        <v>43160</v>
      </c>
      <c r="G58" s="1574">
        <f t="shared" si="16"/>
        <v>43132</v>
      </c>
      <c r="H58" s="1574">
        <f t="shared" si="16"/>
        <v>43101</v>
      </c>
      <c r="I58" s="1574">
        <f t="shared" si="16"/>
        <v>43070</v>
      </c>
      <c r="J58" s="1574">
        <f t="shared" si="16"/>
        <v>43040</v>
      </c>
      <c r="K58" s="1574">
        <f t="shared" si="16"/>
        <v>43009</v>
      </c>
      <c r="L58" s="1574">
        <f t="shared" si="16"/>
        <v>42979</v>
      </c>
      <c r="M58" s="1574">
        <f t="shared" si="16"/>
        <v>42948</v>
      </c>
      <c r="N58" s="1574">
        <f t="shared" si="16"/>
        <v>42917</v>
      </c>
      <c r="O58" s="1574">
        <f>EDATE(N58,-1)</f>
        <v>42887</v>
      </c>
      <c r="P58" s="1569"/>
    </row>
    <row r="59" spans="1:29" s="116" customFormat="1" ht="15">
      <c r="A59" s="508"/>
      <c r="B59" s="509"/>
      <c r="C59" s="1572">
        <v>100</v>
      </c>
      <c r="D59" s="511"/>
      <c r="E59" s="511"/>
      <c r="F59" s="511"/>
      <c r="G59" s="511"/>
      <c r="H59" s="511"/>
      <c r="I59" s="511"/>
      <c r="J59" s="511"/>
      <c r="K59" s="511"/>
      <c r="L59" s="511"/>
      <c r="M59" s="512"/>
      <c r="N59" s="511"/>
      <c r="O59" s="512"/>
      <c r="P59" s="2628"/>
    </row>
    <row r="60" spans="1:29" s="116" customFormat="1" ht="15.75" thickBot="1">
      <c r="A60" s="514" t="s">
        <v>2589</v>
      </c>
      <c r="B60" s="515"/>
      <c r="C60" s="516"/>
      <c r="D60" s="517"/>
      <c r="E60" s="517"/>
      <c r="F60" s="517"/>
      <c r="G60" s="517"/>
      <c r="H60" s="517"/>
      <c r="I60" s="517"/>
      <c r="J60" s="517"/>
      <c r="K60" s="517"/>
      <c r="L60" s="517"/>
      <c r="M60" s="518"/>
      <c r="N60" s="517"/>
      <c r="O60" s="518"/>
      <c r="P60" s="2628"/>
      <c r="Q60" s="503"/>
    </row>
    <row r="61" spans="1:29" s="116" customFormat="1" ht="15">
      <c r="A61" s="520" t="s">
        <v>2554</v>
      </c>
      <c r="B61" s="509"/>
      <c r="C61" s="521" t="s">
        <v>2656</v>
      </c>
      <c r="D61" s="522"/>
      <c r="E61" s="522"/>
      <c r="F61" s="522"/>
      <c r="G61" s="522"/>
      <c r="H61" s="522"/>
      <c r="I61" s="522"/>
      <c r="J61" s="522"/>
      <c r="K61" s="522"/>
      <c r="L61" s="523"/>
      <c r="M61" s="524"/>
      <c r="N61" s="1150"/>
      <c r="O61" s="1150"/>
      <c r="P61" s="2629"/>
      <c r="Q61" s="503"/>
    </row>
    <row r="62" spans="1:29" s="116" customFormat="1" ht="15.75" thickBot="1">
      <c r="A62" s="520"/>
      <c r="B62" s="509"/>
      <c r="C62" s="510">
        <v>100</v>
      </c>
      <c r="D62" s="511"/>
      <c r="E62" s="511"/>
      <c r="F62" s="511"/>
      <c r="G62" s="511"/>
      <c r="H62" s="511"/>
      <c r="I62" s="511"/>
      <c r="J62" s="511"/>
      <c r="K62" s="511"/>
      <c r="L62" s="511"/>
      <c r="M62" s="513"/>
      <c r="N62" s="1150"/>
      <c r="O62" s="1150"/>
      <c r="P62" s="2628"/>
      <c r="Q62" s="503"/>
    </row>
    <row r="63" spans="1:29">
      <c r="A63" s="526" t="s">
        <v>2592</v>
      </c>
      <c r="B63" s="527" t="s">
        <v>2558</v>
      </c>
      <c r="C63" s="528" t="str">
        <f>C9</f>
        <v>商业</v>
      </c>
      <c r="D63" s="529"/>
      <c r="E63" s="529"/>
      <c r="F63" s="529"/>
      <c r="G63" s="529"/>
      <c r="H63" s="529"/>
      <c r="I63" s="529"/>
      <c r="J63" s="529"/>
      <c r="K63" s="530"/>
      <c r="L63" s="531"/>
      <c r="M63" s="532"/>
      <c r="N63" s="1151"/>
      <c r="O63" s="1151"/>
      <c r="P63" s="2630"/>
      <c r="Q63" s="503"/>
    </row>
    <row r="64" spans="1:29" ht="15.75" thickBot="1">
      <c r="A64" s="533"/>
      <c r="B64" s="534"/>
      <c r="C64" s="535">
        <v>100</v>
      </c>
      <c r="D64" s="535"/>
      <c r="E64" s="535"/>
      <c r="F64" s="535"/>
      <c r="G64" s="535"/>
      <c r="H64" s="535"/>
      <c r="I64" s="535"/>
      <c r="J64" s="535"/>
      <c r="K64" s="535"/>
      <c r="L64" s="535"/>
      <c r="M64" s="536"/>
      <c r="N64" s="1152"/>
      <c r="O64" s="1152"/>
      <c r="P64" s="2630"/>
      <c r="Q64" s="503"/>
    </row>
    <row r="65" spans="1:17" ht="27.75" thickTop="1">
      <c r="A65" s="533"/>
      <c r="B65" s="537" t="s">
        <v>2561</v>
      </c>
      <c r="C65" s="538" t="s">
        <v>2593</v>
      </c>
      <c r="D65" s="538" t="s">
        <v>2594</v>
      </c>
      <c r="E65" s="538" t="s">
        <v>2595</v>
      </c>
      <c r="F65" s="538" t="s">
        <v>2596</v>
      </c>
      <c r="G65" s="538" t="s">
        <v>2597</v>
      </c>
      <c r="H65" s="538" t="s">
        <v>2598</v>
      </c>
      <c r="I65" s="538" t="s">
        <v>2599</v>
      </c>
      <c r="J65" s="538"/>
      <c r="K65" s="539"/>
      <c r="L65" s="540"/>
      <c r="M65" s="541"/>
      <c r="N65" s="1151"/>
      <c r="O65" s="1151"/>
      <c r="P65" s="2630"/>
      <c r="Q65" s="503"/>
    </row>
    <row r="66" spans="1:17" ht="15.75" thickBot="1">
      <c r="A66" s="533"/>
      <c r="B66" s="542"/>
      <c r="C66" s="543" t="s">
        <v>24</v>
      </c>
      <c r="D66" s="543" t="s">
        <v>25</v>
      </c>
      <c r="E66" s="543" t="s">
        <v>26</v>
      </c>
      <c r="F66" s="543">
        <v>100</v>
      </c>
      <c r="G66" s="543">
        <f>F66-$K10</f>
        <v>99</v>
      </c>
      <c r="H66" s="543">
        <f>G66-$K10</f>
        <v>98</v>
      </c>
      <c r="I66" s="543">
        <f>H66-$K10</f>
        <v>97</v>
      </c>
      <c r="J66" s="543"/>
      <c r="K66" s="543"/>
      <c r="L66" s="543"/>
      <c r="M66" s="544"/>
      <c r="N66" s="1152"/>
      <c r="O66" s="1152"/>
      <c r="P66" s="2630"/>
      <c r="Q66" s="503"/>
    </row>
    <row r="67" spans="1:17" ht="15.75" thickTop="1">
      <c r="A67" s="533"/>
      <c r="B67" s="545" t="s">
        <v>2562</v>
      </c>
      <c r="C67" s="546" t="str">
        <f>C68&amp;"（含）"&amp;"-"&amp;D68</f>
        <v>0（含）-1</v>
      </c>
      <c r="D67" s="546" t="str">
        <f t="shared" ref="D67:L67" si="17">D68&amp;"（含）"&amp;"-"&amp;E68</f>
        <v>1（含）-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30"/>
      <c r="Q67" s="503"/>
    </row>
    <row r="68" spans="1:17" ht="15">
      <c r="A68" s="533"/>
      <c r="B68" s="547"/>
      <c r="C68" s="548">
        <v>0</v>
      </c>
      <c r="D68" s="548">
        <v>1</v>
      </c>
      <c r="E68" s="548"/>
      <c r="F68" s="548"/>
      <c r="G68" s="548"/>
      <c r="H68" s="548"/>
      <c r="I68" s="548"/>
      <c r="J68" s="548"/>
      <c r="K68" s="549"/>
      <c r="L68" s="550"/>
      <c r="M68" s="551"/>
      <c r="N68" s="1151"/>
      <c r="O68" s="1151"/>
      <c r="P68" s="2630"/>
      <c r="Q68" s="503"/>
    </row>
    <row r="69" spans="1:17" ht="15.75" thickBot="1">
      <c r="A69" s="533"/>
      <c r="B69" s="534"/>
      <c r="C69" s="543">
        <v>100</v>
      </c>
      <c r="D69" s="543">
        <f t="shared" ref="D69:M69" si="18">C69-$K11</f>
        <v>98</v>
      </c>
      <c r="E69" s="543">
        <f t="shared" si="18"/>
        <v>96</v>
      </c>
      <c r="F69" s="543">
        <f t="shared" si="18"/>
        <v>94</v>
      </c>
      <c r="G69" s="543">
        <f t="shared" si="18"/>
        <v>92</v>
      </c>
      <c r="H69" s="543">
        <f t="shared" si="18"/>
        <v>90</v>
      </c>
      <c r="I69" s="543">
        <f t="shared" si="18"/>
        <v>88</v>
      </c>
      <c r="J69" s="543">
        <f t="shared" si="18"/>
        <v>86</v>
      </c>
      <c r="K69" s="543">
        <f t="shared" si="18"/>
        <v>84</v>
      </c>
      <c r="L69" s="543">
        <f t="shared" si="18"/>
        <v>82</v>
      </c>
      <c r="M69" s="544">
        <f t="shared" si="18"/>
        <v>80</v>
      </c>
      <c r="N69" s="1152"/>
      <c r="O69" s="1152"/>
      <c r="P69" s="2630"/>
      <c r="Q69" s="503"/>
    </row>
    <row r="70" spans="1:17" s="470" customFormat="1" ht="15.75" thickTop="1">
      <c r="A70" s="552"/>
      <c r="B70" s="537">
        <f>B12</f>
        <v>111</v>
      </c>
      <c r="C70" s="553"/>
      <c r="D70" s="553"/>
      <c r="E70" s="553"/>
      <c r="F70" s="553"/>
      <c r="G70" s="553"/>
      <c r="H70" s="554"/>
      <c r="I70" s="554"/>
      <c r="J70" s="554"/>
      <c r="K70" s="554"/>
      <c r="L70" s="555"/>
      <c r="M70" s="556"/>
      <c r="N70" s="1153"/>
      <c r="O70" s="1153"/>
      <c r="P70" s="2631"/>
      <c r="Q70" s="558"/>
    </row>
    <row r="71" spans="1:17" s="470" customFormat="1" ht="15.75" thickBot="1">
      <c r="A71" s="552"/>
      <c r="B71" s="542"/>
      <c r="C71" s="559"/>
      <c r="D71" s="535"/>
      <c r="E71" s="535"/>
      <c r="F71" s="535"/>
      <c r="G71" s="535"/>
      <c r="H71" s="535"/>
      <c r="I71" s="535"/>
      <c r="J71" s="535"/>
      <c r="K71" s="535"/>
      <c r="L71" s="535"/>
      <c r="M71" s="536"/>
      <c r="N71" s="1152"/>
      <c r="O71" s="1152"/>
      <c r="P71" s="2631"/>
      <c r="Q71" s="558"/>
    </row>
    <row r="72" spans="1:17" s="470" customFormat="1" ht="15.75" thickTop="1">
      <c r="A72" s="552"/>
      <c r="B72" s="537">
        <f>B13</f>
        <v>111</v>
      </c>
      <c r="C72" s="553"/>
      <c r="D72" s="553"/>
      <c r="E72" s="553"/>
      <c r="F72" s="553"/>
      <c r="G72" s="553"/>
      <c r="H72" s="554"/>
      <c r="I72" s="554"/>
      <c r="J72" s="554"/>
      <c r="K72" s="554"/>
      <c r="L72" s="555"/>
      <c r="M72" s="556"/>
      <c r="N72" s="1153"/>
      <c r="O72" s="1153"/>
      <c r="P72" s="2632"/>
      <c r="Q72" s="560"/>
    </row>
    <row r="73" spans="1:17" s="470" customFormat="1" ht="15.75" thickBot="1">
      <c r="A73" s="552"/>
      <c r="B73" s="542"/>
      <c r="C73" s="559"/>
      <c r="D73" s="535"/>
      <c r="E73" s="535"/>
      <c r="F73" s="535"/>
      <c r="G73" s="559"/>
      <c r="H73" s="561"/>
      <c r="I73" s="561"/>
      <c r="J73" s="561"/>
      <c r="K73" s="561"/>
      <c r="L73" s="561"/>
      <c r="M73" s="562"/>
      <c r="N73" s="1153"/>
      <c r="O73" s="1153"/>
      <c r="P73" s="2631"/>
      <c r="Q73" s="558"/>
    </row>
    <row r="74" spans="1:17" s="470" customFormat="1" ht="15.75" thickTop="1">
      <c r="A74" s="552"/>
      <c r="B74" s="545">
        <f>B14</f>
        <v>111</v>
      </c>
      <c r="C74" s="553"/>
      <c r="D74" s="553"/>
      <c r="E74" s="553"/>
      <c r="F74" s="553"/>
      <c r="G74" s="522"/>
      <c r="H74" s="563"/>
      <c r="I74" s="563"/>
      <c r="J74" s="563"/>
      <c r="K74" s="563"/>
      <c r="L74" s="564"/>
      <c r="M74" s="565"/>
      <c r="N74" s="1153"/>
      <c r="O74" s="1153"/>
      <c r="P74" s="2633"/>
      <c r="Q74" s="558"/>
    </row>
    <row r="75" spans="1:17" s="470" customFormat="1" ht="15.75" thickBot="1">
      <c r="A75" s="567"/>
      <c r="B75" s="568"/>
      <c r="C75" s="569"/>
      <c r="D75" s="569"/>
      <c r="E75" s="569"/>
      <c r="F75" s="569"/>
      <c r="G75" s="569"/>
      <c r="H75" s="570"/>
      <c r="I75" s="570"/>
      <c r="J75" s="570"/>
      <c r="K75" s="570"/>
      <c r="L75" s="570"/>
      <c r="M75" s="571"/>
      <c r="N75" s="1153"/>
      <c r="O75" s="1153"/>
      <c r="P75" s="2631"/>
      <c r="Q75" s="558"/>
    </row>
    <row r="76" spans="1:17">
      <c r="A76" s="526" t="s">
        <v>2563</v>
      </c>
      <c r="B76" s="527" t="s">
        <v>2600</v>
      </c>
      <c r="C76" s="572" t="s">
        <v>2601</v>
      </c>
      <c r="D76" s="572" t="s">
        <v>2602</v>
      </c>
      <c r="E76" s="572" t="s">
        <v>2603</v>
      </c>
      <c r="F76" s="572" t="s">
        <v>2604</v>
      </c>
      <c r="G76" s="572" t="s">
        <v>2605</v>
      </c>
      <c r="H76" s="528"/>
      <c r="I76" s="528"/>
      <c r="J76" s="528"/>
      <c r="K76" s="573"/>
      <c r="L76" s="574"/>
      <c r="M76" s="575"/>
      <c r="N76" s="1151"/>
      <c r="O76" s="1151"/>
      <c r="P76" s="2634"/>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2"/>
      <c r="O77" s="1152"/>
      <c r="P77" s="2630"/>
      <c r="Q77" s="503"/>
    </row>
    <row r="78" spans="1:17" ht="15.75" thickTop="1">
      <c r="A78" s="533"/>
      <c r="B78" s="537" t="s">
        <v>2606</v>
      </c>
      <c r="C78" s="577" t="s">
        <v>2601</v>
      </c>
      <c r="D78" s="577" t="s">
        <v>2602</v>
      </c>
      <c r="E78" s="577" t="s">
        <v>2603</v>
      </c>
      <c r="F78" s="577" t="s">
        <v>2604</v>
      </c>
      <c r="G78" s="577" t="s">
        <v>2605</v>
      </c>
      <c r="H78" s="538"/>
      <c r="I78" s="538"/>
      <c r="J78" s="538"/>
      <c r="K78" s="539"/>
      <c r="L78" s="540"/>
      <c r="M78" s="541"/>
      <c r="N78" s="1151"/>
      <c r="O78" s="1151"/>
      <c r="P78" s="2630"/>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52"/>
      <c r="O79" s="1152"/>
      <c r="P79" s="2630"/>
      <c r="Q79" s="503"/>
    </row>
    <row r="80" spans="1:17" ht="15.75" thickTop="1">
      <c r="A80" s="533"/>
      <c r="B80" s="537" t="s">
        <v>2607</v>
      </c>
      <c r="C80" s="577" t="s">
        <v>2601</v>
      </c>
      <c r="D80" s="577" t="s">
        <v>2602</v>
      </c>
      <c r="E80" s="577" t="s">
        <v>2603</v>
      </c>
      <c r="F80" s="577" t="s">
        <v>2604</v>
      </c>
      <c r="G80" s="577" t="s">
        <v>2605</v>
      </c>
      <c r="H80" s="538"/>
      <c r="I80" s="538"/>
      <c r="J80" s="538"/>
      <c r="K80" s="539"/>
      <c r="L80" s="540"/>
      <c r="M80" s="541"/>
      <c r="N80" s="1151"/>
      <c r="O80" s="1151"/>
      <c r="P80" s="2630"/>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52"/>
      <c r="O81" s="1152"/>
      <c r="P81" s="2630"/>
      <c r="Q81" s="503"/>
    </row>
    <row r="82" spans="1:17" ht="15.75" thickTop="1">
      <c r="A82" s="533"/>
      <c r="B82" s="545" t="s">
        <v>2659</v>
      </c>
      <c r="C82" s="659" t="s">
        <v>2679</v>
      </c>
      <c r="D82" s="659" t="s">
        <v>2680</v>
      </c>
      <c r="E82" s="659" t="s">
        <v>2681</v>
      </c>
      <c r="F82" s="659" t="s">
        <v>2682</v>
      </c>
      <c r="G82" s="659" t="s">
        <v>2683</v>
      </c>
      <c r="H82" s="538"/>
      <c r="I82" s="538"/>
      <c r="J82" s="538"/>
      <c r="K82" s="538"/>
      <c r="L82" s="538"/>
      <c r="M82" s="1381"/>
      <c r="N82" s="1152"/>
      <c r="O82" s="1152"/>
      <c r="P82" s="2630"/>
      <c r="Q82" s="503"/>
    </row>
    <row r="83" spans="1:17" ht="15.75" thickBot="1">
      <c r="A83" s="533"/>
      <c r="B83" s="545"/>
      <c r="C83" s="543">
        <v>100</v>
      </c>
      <c r="D83" s="543">
        <f>C83-$K21</f>
        <v>98</v>
      </c>
      <c r="E83" s="543">
        <f t="shared" ref="E83:G83" si="19">D83-$K21</f>
        <v>96</v>
      </c>
      <c r="F83" s="543">
        <f t="shared" si="19"/>
        <v>94</v>
      </c>
      <c r="G83" s="543">
        <f t="shared" si="19"/>
        <v>92</v>
      </c>
      <c r="H83" s="659"/>
      <c r="I83" s="659"/>
      <c r="J83" s="659"/>
      <c r="K83" s="659"/>
      <c r="L83" s="659"/>
      <c r="M83" s="449"/>
      <c r="N83" s="1152"/>
      <c r="O83" s="1152"/>
      <c r="P83" s="2630"/>
      <c r="Q83" s="503"/>
    </row>
    <row r="84" spans="1:17" ht="15.75" thickTop="1">
      <c r="A84" s="533"/>
      <c r="B84" s="537" t="s">
        <v>2613</v>
      </c>
      <c r="C84" s="577" t="s">
        <v>2601</v>
      </c>
      <c r="D84" s="577" t="s">
        <v>2602</v>
      </c>
      <c r="E84" s="577" t="s">
        <v>2603</v>
      </c>
      <c r="F84" s="577" t="s">
        <v>2604</v>
      </c>
      <c r="G84" s="577" t="s">
        <v>2605</v>
      </c>
      <c r="H84" s="538"/>
      <c r="I84" s="538"/>
      <c r="J84" s="538"/>
      <c r="K84" s="539"/>
      <c r="L84" s="540"/>
      <c r="M84" s="541"/>
      <c r="N84" s="1151"/>
      <c r="O84" s="1151"/>
      <c r="P84" s="2630"/>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52"/>
      <c r="O85" s="1152"/>
      <c r="P85" s="2630"/>
      <c r="Q85" s="503"/>
    </row>
    <row r="86" spans="1:17" s="116" customFormat="1" ht="15.75" thickTop="1">
      <c r="A86" s="578"/>
      <c r="B86" s="537" t="s">
        <v>2684</v>
      </c>
      <c r="C86" s="2988" t="s">
        <v>3329</v>
      </c>
      <c r="D86" s="2988" t="s">
        <v>3330</v>
      </c>
      <c r="E86" s="2988" t="s">
        <v>3331</v>
      </c>
      <c r="F86" s="2988" t="s">
        <v>3332</v>
      </c>
      <c r="G86" s="553"/>
      <c r="H86" s="553"/>
      <c r="I86" s="553"/>
      <c r="J86" s="553"/>
      <c r="K86" s="553"/>
      <c r="L86" s="579"/>
      <c r="M86" s="580"/>
      <c r="N86" s="1150"/>
      <c r="O86" s="1150"/>
      <c r="P86" s="2630"/>
      <c r="Q86" s="503"/>
    </row>
    <row r="87" spans="1:17" s="116" customFormat="1" ht="15.75" thickBot="1">
      <c r="A87" s="578"/>
      <c r="B87" s="542"/>
      <c r="C87" s="581">
        <v>100</v>
      </c>
      <c r="D87" s="543">
        <f t="shared" ref="D87:M87" si="20">C87-$K25</f>
        <v>97</v>
      </c>
      <c r="E87" s="543">
        <f t="shared" si="20"/>
        <v>94</v>
      </c>
      <c r="F87" s="543">
        <f t="shared" si="20"/>
        <v>91</v>
      </c>
      <c r="G87" s="543">
        <f t="shared" si="20"/>
        <v>88</v>
      </c>
      <c r="H87" s="543">
        <f t="shared" si="20"/>
        <v>85</v>
      </c>
      <c r="I87" s="543">
        <f t="shared" si="20"/>
        <v>82</v>
      </c>
      <c r="J87" s="543">
        <f t="shared" si="20"/>
        <v>79</v>
      </c>
      <c r="K87" s="543">
        <f t="shared" si="20"/>
        <v>76</v>
      </c>
      <c r="L87" s="543">
        <f t="shared" si="20"/>
        <v>73</v>
      </c>
      <c r="M87" s="543">
        <f t="shared" si="20"/>
        <v>70</v>
      </c>
      <c r="N87" s="1152"/>
      <c r="O87" s="1152"/>
      <c r="P87" s="2630"/>
      <c r="Q87" s="503"/>
    </row>
    <row r="88" spans="1:17" s="116" customFormat="1" ht="15.75" thickTop="1">
      <c r="A88" s="578"/>
      <c r="B88" s="537" t="str">
        <f>B26</f>
        <v>平面位置/可视性</v>
      </c>
      <c r="C88" s="2988" t="s">
        <v>3333</v>
      </c>
      <c r="D88" s="2988" t="s">
        <v>3334</v>
      </c>
      <c r="E88" s="2988" t="s">
        <v>3335</v>
      </c>
      <c r="F88" s="2993" t="s">
        <v>3336</v>
      </c>
      <c r="G88" s="2988" t="s">
        <v>3337</v>
      </c>
      <c r="H88" s="553"/>
      <c r="I88" s="553"/>
      <c r="J88" s="553"/>
      <c r="K88" s="553"/>
      <c r="L88" s="553"/>
      <c r="M88" s="580"/>
      <c r="N88" s="1150"/>
      <c r="O88" s="1150"/>
      <c r="P88" s="2630"/>
      <c r="Q88" s="503"/>
    </row>
    <row r="89" spans="1:17" s="116" customFormat="1" ht="15.75" thickBot="1">
      <c r="A89" s="578"/>
      <c r="B89" s="542"/>
      <c r="C89" s="559">
        <v>100</v>
      </c>
      <c r="D89" s="535">
        <v>97</v>
      </c>
      <c r="E89" s="535">
        <v>94</v>
      </c>
      <c r="F89" s="535"/>
      <c r="G89" s="535"/>
      <c r="H89" s="535"/>
      <c r="I89" s="535"/>
      <c r="J89" s="535"/>
      <c r="K89" s="535"/>
      <c r="L89" s="535"/>
      <c r="M89" s="535"/>
      <c r="N89" s="1152"/>
      <c r="O89" s="1152"/>
      <c r="P89" s="2630"/>
      <c r="Q89" s="503"/>
    </row>
    <row r="90" spans="1:17" s="470" customFormat="1" ht="15.75" thickTop="1">
      <c r="A90" s="552"/>
      <c r="B90" s="537" t="str">
        <f>B27</f>
        <v>人流量</v>
      </c>
      <c r="C90" s="2988" t="s">
        <v>3338</v>
      </c>
      <c r="D90" s="2988" t="s">
        <v>3339</v>
      </c>
      <c r="E90" s="2988" t="s">
        <v>3335</v>
      </c>
      <c r="F90" s="2988" t="s">
        <v>3336</v>
      </c>
      <c r="G90" s="2988" t="s">
        <v>3337</v>
      </c>
      <c r="H90" s="554"/>
      <c r="I90" s="554"/>
      <c r="J90" s="554"/>
      <c r="K90" s="554"/>
      <c r="L90" s="555"/>
      <c r="M90" s="556"/>
      <c r="N90" s="1153"/>
      <c r="O90" s="1153"/>
      <c r="P90" s="2631"/>
      <c r="Q90" s="558"/>
    </row>
    <row r="91" spans="1:17" s="470" customFormat="1" ht="15.75" thickBot="1">
      <c r="A91" s="552"/>
      <c r="B91" s="542"/>
      <c r="C91" s="581">
        <v>100</v>
      </c>
      <c r="D91" s="543">
        <f>C91-$K27</f>
        <v>97</v>
      </c>
      <c r="E91" s="543">
        <f t="shared" ref="E91:M91" si="21">D91-$K27</f>
        <v>94</v>
      </c>
      <c r="F91" s="543">
        <f t="shared" si="21"/>
        <v>91</v>
      </c>
      <c r="G91" s="543">
        <f t="shared" si="21"/>
        <v>88</v>
      </c>
      <c r="H91" s="543">
        <f t="shared" si="21"/>
        <v>85</v>
      </c>
      <c r="I91" s="543">
        <f t="shared" si="21"/>
        <v>82</v>
      </c>
      <c r="J91" s="543">
        <f t="shared" si="21"/>
        <v>79</v>
      </c>
      <c r="K91" s="543">
        <f t="shared" si="21"/>
        <v>76</v>
      </c>
      <c r="L91" s="543">
        <f t="shared" si="21"/>
        <v>73</v>
      </c>
      <c r="M91" s="543">
        <f t="shared" si="21"/>
        <v>70</v>
      </c>
      <c r="N91" s="1153"/>
      <c r="O91" s="1153"/>
      <c r="P91" s="2631"/>
      <c r="Q91" s="558"/>
    </row>
    <row r="92" spans="1:17" ht="15.75" thickTop="1">
      <c r="A92" s="533"/>
      <c r="B92" s="537" t="str">
        <f>B28</f>
        <v>楼层</v>
      </c>
      <c r="C92" s="553" t="s">
        <v>3340</v>
      </c>
      <c r="D92" s="553" t="s">
        <v>3341</v>
      </c>
      <c r="E92" s="553" t="s">
        <v>3342</v>
      </c>
      <c r="F92" s="553" t="s">
        <v>3343</v>
      </c>
      <c r="G92" s="553"/>
      <c r="H92" s="553"/>
      <c r="I92" s="553"/>
      <c r="J92" s="553"/>
      <c r="K92" s="553"/>
      <c r="L92" s="579"/>
      <c r="M92" s="580"/>
      <c r="N92" s="1151"/>
      <c r="O92" s="1151"/>
      <c r="P92" s="2630"/>
      <c r="Q92" s="503"/>
    </row>
    <row r="93" spans="1:17" ht="15.75" thickBot="1">
      <c r="A93" s="533"/>
      <c r="B93" s="542"/>
      <c r="C93" s="535">
        <v>100</v>
      </c>
      <c r="D93" s="535"/>
      <c r="E93" s="535"/>
      <c r="F93" s="535">
        <v>70</v>
      </c>
      <c r="G93" s="535"/>
      <c r="H93" s="535"/>
      <c r="I93" s="535"/>
      <c r="J93" s="535"/>
      <c r="K93" s="535"/>
      <c r="L93" s="535"/>
      <c r="M93" s="536"/>
      <c r="N93" s="1152"/>
      <c r="O93" s="1152"/>
      <c r="P93" s="2630"/>
      <c r="Q93" s="503"/>
    </row>
    <row r="94" spans="1:17" ht="15.75" thickTop="1">
      <c r="A94" s="533"/>
      <c r="B94" s="537">
        <f>B29</f>
        <v>111</v>
      </c>
      <c r="C94" s="553"/>
      <c r="D94" s="553"/>
      <c r="E94" s="553"/>
      <c r="F94" s="553"/>
      <c r="G94" s="582"/>
      <c r="H94" s="582"/>
      <c r="I94" s="582"/>
      <c r="J94" s="582"/>
      <c r="K94" s="583"/>
      <c r="L94" s="584"/>
      <c r="M94" s="585"/>
      <c r="N94" s="1151"/>
      <c r="O94" s="1151"/>
      <c r="P94" s="2630"/>
      <c r="Q94" s="503"/>
    </row>
    <row r="95" spans="1:17" ht="15.75" thickBot="1">
      <c r="A95" s="533"/>
      <c r="B95" s="542"/>
      <c r="C95" s="559"/>
      <c r="D95" s="535"/>
      <c r="E95" s="535"/>
      <c r="F95" s="535"/>
      <c r="G95" s="535"/>
      <c r="H95" s="535"/>
      <c r="I95" s="535"/>
      <c r="J95" s="535"/>
      <c r="K95" s="535"/>
      <c r="L95" s="535"/>
      <c r="M95" s="536"/>
      <c r="N95" s="1152"/>
      <c r="O95" s="1152"/>
      <c r="P95" s="2630"/>
      <c r="Q95" s="503"/>
    </row>
    <row r="96" spans="1:17" ht="15.75" thickTop="1">
      <c r="A96" s="533"/>
      <c r="B96" s="537">
        <f>B30</f>
        <v>111</v>
      </c>
      <c r="C96" s="553"/>
      <c r="D96" s="553"/>
      <c r="E96" s="553"/>
      <c r="F96" s="553"/>
      <c r="G96" s="582"/>
      <c r="H96" s="582"/>
      <c r="I96" s="582"/>
      <c r="J96" s="582"/>
      <c r="K96" s="583"/>
      <c r="L96" s="584"/>
      <c r="M96" s="585"/>
      <c r="N96" s="1151"/>
      <c r="O96" s="1151"/>
      <c r="P96" s="2630"/>
      <c r="Q96" s="503"/>
    </row>
    <row r="97" spans="1:17" ht="15.75" thickBot="1">
      <c r="A97" s="533"/>
      <c r="B97" s="542"/>
      <c r="C97" s="559"/>
      <c r="D97" s="535"/>
      <c r="E97" s="535"/>
      <c r="F97" s="535"/>
      <c r="G97" s="535"/>
      <c r="H97" s="535"/>
      <c r="I97" s="535"/>
      <c r="J97" s="535"/>
      <c r="K97" s="535"/>
      <c r="L97" s="535"/>
      <c r="M97" s="536"/>
      <c r="N97" s="1152"/>
      <c r="O97" s="1152"/>
      <c r="P97" s="2630"/>
      <c r="Q97" s="503"/>
    </row>
    <row r="98" spans="1:17" ht="15.75" thickTop="1">
      <c r="A98" s="533"/>
      <c r="B98" s="545">
        <f>B31</f>
        <v>111</v>
      </c>
      <c r="C98" s="553"/>
      <c r="D98" s="553"/>
      <c r="E98" s="553"/>
      <c r="F98" s="553"/>
      <c r="G98" s="586"/>
      <c r="H98" s="586"/>
      <c r="I98" s="586"/>
      <c r="J98" s="586"/>
      <c r="K98" s="587"/>
      <c r="L98" s="588"/>
      <c r="M98" s="589"/>
      <c r="N98" s="1151"/>
      <c r="O98" s="1151"/>
      <c r="P98" s="2630"/>
      <c r="Q98" s="503"/>
    </row>
    <row r="99" spans="1:17" ht="15.75" thickBot="1">
      <c r="A99" s="2636"/>
      <c r="B99" s="568"/>
      <c r="C99" s="569"/>
      <c r="D99" s="569"/>
      <c r="E99" s="569"/>
      <c r="F99" s="569"/>
      <c r="G99" s="590"/>
      <c r="H99" s="590"/>
      <c r="I99" s="590"/>
      <c r="J99" s="590"/>
      <c r="K99" s="590"/>
      <c r="L99" s="590"/>
      <c r="M99" s="591"/>
      <c r="N99" s="1152"/>
      <c r="O99" s="1152"/>
      <c r="P99" s="2630"/>
      <c r="Q99" s="503"/>
    </row>
    <row r="100" spans="1:17">
      <c r="A100" s="526" t="s">
        <v>2567</v>
      </c>
      <c r="B100" s="527" t="s">
        <v>2685</v>
      </c>
      <c r="C100" s="2996" t="s">
        <v>3357</v>
      </c>
      <c r="D100" s="2996" t="s">
        <v>3358</v>
      </c>
      <c r="E100" s="2996" t="s">
        <v>3359</v>
      </c>
      <c r="F100" s="2996" t="s">
        <v>3360</v>
      </c>
      <c r="G100" s="2996" t="s">
        <v>3361</v>
      </c>
      <c r="H100" s="2996"/>
      <c r="I100" s="529"/>
      <c r="J100" s="529"/>
      <c r="K100" s="530"/>
      <c r="L100" s="531"/>
      <c r="M100" s="532"/>
      <c r="N100" s="1151"/>
      <c r="O100" s="1151"/>
      <c r="P100" s="2630"/>
      <c r="Q100" s="503"/>
    </row>
    <row r="101" spans="1:17" ht="15.75" thickBot="1">
      <c r="A101" s="533"/>
      <c r="B101" s="542"/>
      <c r="C101" s="543">
        <v>100</v>
      </c>
      <c r="D101" s="543">
        <f t="shared" ref="D101:M101" si="22">C101-$K32</f>
        <v>98</v>
      </c>
      <c r="E101" s="543">
        <f t="shared" si="22"/>
        <v>96</v>
      </c>
      <c r="F101" s="543">
        <f t="shared" si="22"/>
        <v>94</v>
      </c>
      <c r="G101" s="543">
        <f t="shared" si="22"/>
        <v>92</v>
      </c>
      <c r="H101" s="543">
        <f t="shared" si="22"/>
        <v>90</v>
      </c>
      <c r="I101" s="543">
        <f t="shared" si="22"/>
        <v>88</v>
      </c>
      <c r="J101" s="543">
        <f t="shared" si="22"/>
        <v>86</v>
      </c>
      <c r="K101" s="543">
        <f t="shared" si="22"/>
        <v>84</v>
      </c>
      <c r="L101" s="543">
        <f t="shared" si="22"/>
        <v>82</v>
      </c>
      <c r="M101" s="544">
        <f t="shared" si="22"/>
        <v>80</v>
      </c>
      <c r="N101" s="1152"/>
      <c r="O101" s="1152"/>
      <c r="P101" s="2630"/>
      <c r="Q101" s="503"/>
    </row>
    <row r="102" spans="1:17" ht="29.25" thickTop="1">
      <c r="A102" s="533"/>
      <c r="B102" s="537" t="s">
        <v>2617</v>
      </c>
      <c r="C102" s="577" t="str">
        <f>C103&amp;"(含)"&amp;"-"&amp;D103</f>
        <v>0(含)-100</v>
      </c>
      <c r="D102" s="577" t="str">
        <f t="shared" ref="D102:L102" si="23">D103&amp;"(含)"&amp;"-"&amp;E103</f>
        <v>100(含)-200</v>
      </c>
      <c r="E102" s="577" t="str">
        <f t="shared" si="23"/>
        <v>200(含)-500</v>
      </c>
      <c r="F102" s="577" t="str">
        <f t="shared" si="23"/>
        <v>500(含)-1000</v>
      </c>
      <c r="G102" s="577" t="str">
        <f t="shared" si="23"/>
        <v>1000(含)-5000</v>
      </c>
      <c r="H102" s="577" t="str">
        <f t="shared" si="23"/>
        <v>5000(含)-10000</v>
      </c>
      <c r="I102" s="577" t="str">
        <f t="shared" si="23"/>
        <v>10000(含)-20000</v>
      </c>
      <c r="J102" s="577" t="str">
        <f t="shared" si="23"/>
        <v>20000(含)-</v>
      </c>
      <c r="K102" s="577" t="str">
        <f t="shared" si="23"/>
        <v>(含)-</v>
      </c>
      <c r="L102" s="577" t="str">
        <f t="shared" si="23"/>
        <v>(含)-</v>
      </c>
      <c r="M102" s="621" t="str">
        <f>M103&amp;"(含)"&amp;"-"&amp;P103</f>
        <v>(含)-</v>
      </c>
      <c r="N102" s="1150"/>
      <c r="O102" s="1150"/>
      <c r="P102" s="2630"/>
      <c r="Q102" s="503"/>
    </row>
    <row r="103" spans="1:17" s="470" customFormat="1">
      <c r="A103" s="592"/>
      <c r="B103" s="593"/>
      <c r="C103" s="594">
        <v>0</v>
      </c>
      <c r="D103" s="594">
        <v>100</v>
      </c>
      <c r="E103" s="594">
        <v>200</v>
      </c>
      <c r="F103" s="594">
        <v>500</v>
      </c>
      <c r="G103" s="594">
        <v>1000</v>
      </c>
      <c r="H103" s="594">
        <v>5000</v>
      </c>
      <c r="I103" s="594">
        <v>10000</v>
      </c>
      <c r="J103" s="595">
        <v>20000</v>
      </c>
      <c r="K103" s="595"/>
      <c r="L103" s="596"/>
      <c r="M103" s="597"/>
      <c r="N103" s="1153"/>
      <c r="O103" s="1153"/>
      <c r="P103" s="2631"/>
      <c r="Q103" s="558"/>
    </row>
    <row r="104" spans="1:17" s="470" customFormat="1" ht="15.75" thickBot="1">
      <c r="A104" s="552"/>
      <c r="B104" s="542"/>
      <c r="C104" s="559">
        <v>100</v>
      </c>
      <c r="D104" s="535">
        <v>98</v>
      </c>
      <c r="E104" s="535">
        <v>96</v>
      </c>
      <c r="F104" s="535">
        <v>94</v>
      </c>
      <c r="G104" s="535">
        <v>92</v>
      </c>
      <c r="H104" s="535">
        <v>90</v>
      </c>
      <c r="I104" s="535">
        <v>88</v>
      </c>
      <c r="J104" s="535">
        <v>86</v>
      </c>
      <c r="K104" s="535"/>
      <c r="L104" s="535"/>
      <c r="M104" s="536"/>
      <c r="N104" s="1152"/>
      <c r="O104" s="1152"/>
      <c r="P104" s="2631"/>
      <c r="Q104" s="558"/>
    </row>
    <row r="105" spans="1:17" ht="15" thickTop="1">
      <c r="A105" s="598"/>
      <c r="B105" s="537" t="s">
        <v>2618</v>
      </c>
      <c r="C105" s="2988" t="s">
        <v>3344</v>
      </c>
      <c r="D105" s="553"/>
      <c r="E105" s="582"/>
      <c r="F105" s="582"/>
      <c r="G105" s="582"/>
      <c r="H105" s="582"/>
      <c r="I105" s="582"/>
      <c r="J105" s="582"/>
      <c r="K105" s="583"/>
      <c r="L105" s="584"/>
      <c r="M105" s="585"/>
      <c r="N105" s="1151"/>
      <c r="O105" s="1151"/>
      <c r="P105" s="2630"/>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4">
        <f t="shared" si="24"/>
        <v>80</v>
      </c>
      <c r="N106" s="1152"/>
      <c r="O106" s="1152"/>
      <c r="P106" s="2630"/>
      <c r="Q106" s="503"/>
    </row>
    <row r="107" spans="1:17" ht="15" thickTop="1">
      <c r="A107" s="598"/>
      <c r="B107" s="537" t="s">
        <v>2620</v>
      </c>
      <c r="C107" s="2988" t="s">
        <v>3345</v>
      </c>
      <c r="D107" s="2988" t="s">
        <v>3346</v>
      </c>
      <c r="E107" s="2988" t="s">
        <v>3347</v>
      </c>
      <c r="F107" s="2994" t="s">
        <v>3348</v>
      </c>
      <c r="G107" s="582"/>
      <c r="H107" s="582"/>
      <c r="I107" s="582"/>
      <c r="J107" s="582"/>
      <c r="K107" s="583"/>
      <c r="L107" s="584"/>
      <c r="M107" s="585"/>
      <c r="N107" s="1151"/>
      <c r="O107" s="1151"/>
      <c r="P107" s="2630"/>
      <c r="Q107" s="503"/>
    </row>
    <row r="108" spans="1:17" ht="15.75" thickBot="1">
      <c r="A108" s="533"/>
      <c r="B108" s="542"/>
      <c r="C108" s="543">
        <v>100</v>
      </c>
      <c r="D108" s="543">
        <f t="shared" ref="D108:M108" si="25">C108-$K35</f>
        <v>97</v>
      </c>
      <c r="E108" s="543">
        <f t="shared" si="25"/>
        <v>94</v>
      </c>
      <c r="F108" s="543">
        <f t="shared" si="25"/>
        <v>91</v>
      </c>
      <c r="G108" s="543">
        <f t="shared" si="25"/>
        <v>88</v>
      </c>
      <c r="H108" s="543">
        <f t="shared" si="25"/>
        <v>85</v>
      </c>
      <c r="I108" s="543">
        <f t="shared" si="25"/>
        <v>82</v>
      </c>
      <c r="J108" s="543">
        <f t="shared" si="25"/>
        <v>79</v>
      </c>
      <c r="K108" s="543">
        <f t="shared" si="25"/>
        <v>76</v>
      </c>
      <c r="L108" s="543">
        <f t="shared" si="25"/>
        <v>73</v>
      </c>
      <c r="M108" s="544">
        <f t="shared" si="25"/>
        <v>70</v>
      </c>
      <c r="N108" s="1152"/>
      <c r="O108" s="1152"/>
      <c r="P108" s="2630"/>
      <c r="Q108" s="503"/>
    </row>
    <row r="109" spans="1:17" ht="15" thickTop="1">
      <c r="A109" s="598"/>
      <c r="B109" s="537" t="s">
        <v>1998</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30"/>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30"/>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2"/>
      <c r="O111" s="1152"/>
      <c r="P111" s="2630"/>
      <c r="Q111" s="503"/>
    </row>
    <row r="112" spans="1:17" s="470" customFormat="1" ht="15" thickTop="1">
      <c r="A112" s="592"/>
      <c r="B112" s="537" t="s">
        <v>2622</v>
      </c>
      <c r="C112" s="2988" t="s">
        <v>3349</v>
      </c>
      <c r="D112" s="553"/>
      <c r="E112" s="553"/>
      <c r="F112" s="553"/>
      <c r="G112" s="553"/>
      <c r="H112" s="582"/>
      <c r="I112" s="582"/>
      <c r="J112" s="582"/>
      <c r="K112" s="583"/>
      <c r="L112" s="584"/>
      <c r="M112" s="585"/>
      <c r="N112" s="1153"/>
      <c r="O112" s="1153"/>
      <c r="P112" s="2631"/>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3"/>
      <c r="O113" s="1153"/>
      <c r="P113" s="2631"/>
      <c r="Q113" s="558"/>
    </row>
    <row r="114" spans="1:17" ht="15" thickTop="1">
      <c r="A114" s="598"/>
      <c r="B114" s="537" t="s">
        <v>2686</v>
      </c>
      <c r="C114" s="2988" t="s">
        <v>3350</v>
      </c>
      <c r="D114" s="2988" t="s">
        <v>3351</v>
      </c>
      <c r="E114" s="582"/>
      <c r="F114" s="582"/>
      <c r="G114" s="582"/>
      <c r="H114" s="582"/>
      <c r="I114" s="582"/>
      <c r="J114" s="582"/>
      <c r="K114" s="583"/>
      <c r="L114" s="584"/>
      <c r="M114" s="585"/>
      <c r="N114" s="1151"/>
      <c r="O114" s="1151"/>
      <c r="P114" s="2630"/>
      <c r="Q114" s="503"/>
    </row>
    <row r="115" spans="1:17" ht="15.75" thickBot="1">
      <c r="A115" s="533"/>
      <c r="B115" s="542"/>
      <c r="C115" s="543">
        <v>100</v>
      </c>
      <c r="D115" s="543">
        <f t="shared" ref="D115:M115" si="28">C115-$K38</f>
        <v>97</v>
      </c>
      <c r="E115" s="543">
        <f t="shared" si="28"/>
        <v>94</v>
      </c>
      <c r="F115" s="543">
        <f t="shared" si="28"/>
        <v>91</v>
      </c>
      <c r="G115" s="543">
        <f t="shared" si="28"/>
        <v>88</v>
      </c>
      <c r="H115" s="543">
        <f t="shared" si="28"/>
        <v>85</v>
      </c>
      <c r="I115" s="543">
        <f t="shared" si="28"/>
        <v>82</v>
      </c>
      <c r="J115" s="543">
        <f t="shared" si="28"/>
        <v>79</v>
      </c>
      <c r="K115" s="543">
        <f t="shared" si="28"/>
        <v>76</v>
      </c>
      <c r="L115" s="543">
        <f t="shared" si="28"/>
        <v>73</v>
      </c>
      <c r="M115" s="544">
        <f t="shared" si="28"/>
        <v>70</v>
      </c>
      <c r="N115" s="1152"/>
      <c r="O115" s="1152"/>
      <c r="P115" s="2630"/>
      <c r="Q115" s="503"/>
    </row>
    <row r="116" spans="1:17" ht="15" thickTop="1">
      <c r="A116" s="598"/>
      <c r="B116" s="537" t="s">
        <v>2687</v>
      </c>
      <c r="C116" s="2988" t="s">
        <v>3352</v>
      </c>
      <c r="D116" s="2988" t="s">
        <v>3353</v>
      </c>
      <c r="E116" s="2988" t="s">
        <v>3354</v>
      </c>
      <c r="F116" s="553"/>
      <c r="G116" s="553"/>
      <c r="H116" s="582"/>
      <c r="I116" s="582"/>
      <c r="J116" s="582"/>
      <c r="K116" s="583"/>
      <c r="L116" s="584"/>
      <c r="M116" s="585"/>
      <c r="N116" s="1151"/>
      <c r="O116" s="1151"/>
      <c r="P116" s="2630"/>
      <c r="Q116" s="503"/>
    </row>
    <row r="117" spans="1:17" ht="15.75" thickBot="1">
      <c r="A117" s="533"/>
      <c r="B117" s="542"/>
      <c r="C117" s="543">
        <v>100</v>
      </c>
      <c r="D117" s="543">
        <f>C117-$K39</f>
        <v>97</v>
      </c>
      <c r="E117" s="543">
        <f>D117-$K39</f>
        <v>94</v>
      </c>
      <c r="F117" s="543">
        <f>E117-$K39</f>
        <v>91</v>
      </c>
      <c r="G117" s="543">
        <f>F117-$K39</f>
        <v>88</v>
      </c>
      <c r="H117" s="543"/>
      <c r="I117" s="543"/>
      <c r="J117" s="543"/>
      <c r="K117" s="543"/>
      <c r="L117" s="543"/>
      <c r="M117" s="544"/>
      <c r="N117" s="1152"/>
      <c r="O117" s="1152"/>
      <c r="P117" s="2630"/>
      <c r="Q117" s="503"/>
    </row>
    <row r="118" spans="1:17" ht="15" thickTop="1">
      <c r="A118" s="598"/>
      <c r="B118" s="537" t="s">
        <v>2688</v>
      </c>
      <c r="C118" s="626"/>
      <c r="D118" s="626"/>
      <c r="E118" s="626"/>
      <c r="F118" s="626"/>
      <c r="G118" s="626"/>
      <c r="H118" s="554"/>
      <c r="I118" s="554"/>
      <c r="J118" s="554"/>
      <c r="K118" s="554"/>
      <c r="L118" s="555"/>
      <c r="M118" s="556"/>
      <c r="N118" s="1151"/>
      <c r="O118" s="1151"/>
      <c r="P118" s="2630"/>
      <c r="Q118" s="503"/>
    </row>
    <row r="119" spans="1:17" ht="15.75" thickBot="1">
      <c r="A119" s="533"/>
      <c r="B119" s="542"/>
      <c r="C119" s="559"/>
      <c r="D119" s="535"/>
      <c r="E119" s="535"/>
      <c r="F119" s="535"/>
      <c r="G119" s="535"/>
      <c r="H119" s="535"/>
      <c r="I119" s="535"/>
      <c r="J119" s="535"/>
      <c r="K119" s="535"/>
      <c r="L119" s="535"/>
      <c r="M119" s="536"/>
      <c r="N119" s="1152"/>
      <c r="O119" s="1152"/>
      <c r="P119" s="2630"/>
      <c r="Q119" s="503"/>
    </row>
    <row r="120" spans="1:17" s="470" customFormat="1" ht="15" thickTop="1">
      <c r="A120" s="592"/>
      <c r="B120" s="537" t="s">
        <v>2689</v>
      </c>
      <c r="C120" s="582"/>
      <c r="D120" s="582"/>
      <c r="E120" s="582"/>
      <c r="F120" s="582"/>
      <c r="G120" s="554"/>
      <c r="H120" s="554"/>
      <c r="I120" s="554"/>
      <c r="J120" s="554"/>
      <c r="K120" s="554"/>
      <c r="L120" s="555"/>
      <c r="M120" s="556"/>
      <c r="N120" s="1153"/>
      <c r="O120" s="1153"/>
      <c r="P120" s="2631"/>
      <c r="Q120" s="558"/>
    </row>
    <row r="121" spans="1:17" s="470" customFormat="1" ht="15.75" thickBot="1">
      <c r="A121" s="552"/>
      <c r="B121" s="534"/>
      <c r="C121" s="581">
        <v>100</v>
      </c>
      <c r="D121" s="543">
        <f>C121-$K41</f>
        <v>97</v>
      </c>
      <c r="E121" s="543">
        <f t="shared" ref="E121:M121" si="29">D121-$K41</f>
        <v>94</v>
      </c>
      <c r="F121" s="543">
        <f t="shared" si="29"/>
        <v>91</v>
      </c>
      <c r="G121" s="543">
        <f t="shared" si="29"/>
        <v>88</v>
      </c>
      <c r="H121" s="543">
        <f t="shared" si="29"/>
        <v>85</v>
      </c>
      <c r="I121" s="543">
        <f t="shared" si="29"/>
        <v>82</v>
      </c>
      <c r="J121" s="543">
        <f t="shared" si="29"/>
        <v>79</v>
      </c>
      <c r="K121" s="543">
        <f t="shared" si="29"/>
        <v>76</v>
      </c>
      <c r="L121" s="543">
        <f t="shared" si="29"/>
        <v>73</v>
      </c>
      <c r="M121" s="544">
        <f t="shared" si="29"/>
        <v>70</v>
      </c>
      <c r="N121" s="1153"/>
      <c r="O121" s="1153"/>
      <c r="P121" s="2631"/>
      <c r="Q121" s="558"/>
    </row>
    <row r="122" spans="1:17" ht="15" thickTop="1">
      <c r="A122" s="598"/>
      <c r="B122" s="537" t="s">
        <v>2624</v>
      </c>
      <c r="C122" s="2988" t="s">
        <v>3345</v>
      </c>
      <c r="D122" s="2988" t="s">
        <v>3346</v>
      </c>
      <c r="E122" s="2988" t="s">
        <v>3347</v>
      </c>
      <c r="F122" s="2994" t="s">
        <v>3348</v>
      </c>
      <c r="G122" s="582"/>
      <c r="H122" s="582"/>
      <c r="I122" s="582"/>
      <c r="J122" s="582"/>
      <c r="K122" s="583"/>
      <c r="L122" s="584"/>
      <c r="M122" s="585"/>
      <c r="N122" s="1151"/>
      <c r="O122" s="1151"/>
      <c r="P122" s="2630"/>
      <c r="Q122" s="503"/>
    </row>
    <row r="123" spans="1:17" ht="15.75" thickBot="1">
      <c r="A123" s="533"/>
      <c r="B123" s="542"/>
      <c r="C123" s="543">
        <v>100</v>
      </c>
      <c r="D123" s="543">
        <f t="shared" ref="D123:M123" si="30">C123-$K42</f>
        <v>99</v>
      </c>
      <c r="E123" s="543">
        <f t="shared" si="30"/>
        <v>98</v>
      </c>
      <c r="F123" s="543">
        <f t="shared" si="30"/>
        <v>97</v>
      </c>
      <c r="G123" s="543">
        <f t="shared" si="30"/>
        <v>96</v>
      </c>
      <c r="H123" s="543">
        <f t="shared" si="30"/>
        <v>95</v>
      </c>
      <c r="I123" s="543">
        <f t="shared" si="30"/>
        <v>94</v>
      </c>
      <c r="J123" s="543">
        <f t="shared" si="30"/>
        <v>93</v>
      </c>
      <c r="K123" s="543">
        <f t="shared" si="30"/>
        <v>92</v>
      </c>
      <c r="L123" s="543">
        <f t="shared" si="30"/>
        <v>91</v>
      </c>
      <c r="M123" s="544">
        <f t="shared" si="30"/>
        <v>90</v>
      </c>
      <c r="N123" s="1152"/>
      <c r="O123" s="1152"/>
      <c r="P123" s="2630"/>
      <c r="Q123" s="503"/>
    </row>
    <row r="124" spans="1:17" ht="15" thickTop="1">
      <c r="A124" s="598"/>
      <c r="B124" s="537" t="s">
        <v>2625</v>
      </c>
      <c r="C124" s="577" t="s">
        <v>2601</v>
      </c>
      <c r="D124" s="577" t="s">
        <v>2602</v>
      </c>
      <c r="E124" s="577" t="s">
        <v>2603</v>
      </c>
      <c r="F124" s="577" t="s">
        <v>2604</v>
      </c>
      <c r="G124" s="577" t="s">
        <v>2605</v>
      </c>
      <c r="H124" s="538"/>
      <c r="I124" s="538"/>
      <c r="J124" s="538"/>
      <c r="K124" s="539"/>
      <c r="L124" s="540"/>
      <c r="M124" s="541"/>
      <c r="N124" s="1151"/>
      <c r="O124" s="1151"/>
      <c r="P124" s="2631"/>
      <c r="Q124" s="503"/>
    </row>
    <row r="125" spans="1:17" ht="15.75" thickBot="1">
      <c r="A125" s="533"/>
      <c r="B125" s="542"/>
      <c r="C125" s="543">
        <v>100</v>
      </c>
      <c r="D125" s="543">
        <f>C125-$K43</f>
        <v>97</v>
      </c>
      <c r="E125" s="543">
        <f>D125-$K43</f>
        <v>94</v>
      </c>
      <c r="F125" s="543">
        <f>E125-$K43</f>
        <v>91</v>
      </c>
      <c r="G125" s="543">
        <f>F125-$K43</f>
        <v>88</v>
      </c>
      <c r="H125" s="543"/>
      <c r="I125" s="543"/>
      <c r="J125" s="543"/>
      <c r="K125" s="543"/>
      <c r="L125" s="543"/>
      <c r="M125" s="544"/>
      <c r="N125" s="1152"/>
      <c r="O125" s="1152"/>
      <c r="P125" s="2630"/>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31"/>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31"/>
      <c r="Q127" s="558"/>
    </row>
    <row r="128" spans="1:17" ht="15" thickTop="1">
      <c r="A128" s="598"/>
      <c r="B128" s="537">
        <f>B45</f>
        <v>111</v>
      </c>
      <c r="C128" s="553"/>
      <c r="D128" s="553"/>
      <c r="E128" s="553"/>
      <c r="F128" s="553"/>
      <c r="G128" s="582"/>
      <c r="H128" s="582"/>
      <c r="I128" s="582"/>
      <c r="J128" s="582"/>
      <c r="K128" s="583"/>
      <c r="L128" s="584"/>
      <c r="M128" s="585"/>
      <c r="N128" s="1151"/>
      <c r="O128" s="1151"/>
      <c r="P128" s="2630"/>
      <c r="Q128" s="503"/>
    </row>
    <row r="129" spans="1:17" ht="15.75" thickBot="1">
      <c r="A129" s="533"/>
      <c r="B129" s="542"/>
      <c r="C129" s="559"/>
      <c r="D129" s="535"/>
      <c r="E129" s="535"/>
      <c r="F129" s="535"/>
      <c r="G129" s="535"/>
      <c r="H129" s="535"/>
      <c r="I129" s="535"/>
      <c r="J129" s="535"/>
      <c r="K129" s="535"/>
      <c r="L129" s="535"/>
      <c r="M129" s="536"/>
      <c r="N129" s="1152"/>
      <c r="O129" s="1152"/>
      <c r="P129" s="2630"/>
      <c r="Q129" s="503"/>
    </row>
    <row r="130" spans="1:17" ht="15" thickTop="1">
      <c r="A130" s="598"/>
      <c r="B130" s="545">
        <f>B46</f>
        <v>0.98</v>
      </c>
      <c r="C130" s="553"/>
      <c r="D130" s="553"/>
      <c r="E130" s="553"/>
      <c r="F130" s="553"/>
      <c r="G130" s="586"/>
      <c r="H130" s="586"/>
      <c r="I130" s="586"/>
      <c r="J130" s="586"/>
      <c r="K130" s="522"/>
      <c r="L130" s="523"/>
      <c r="M130" s="589"/>
      <c r="N130" s="1151"/>
      <c r="O130" s="1151"/>
      <c r="P130" s="2630"/>
      <c r="Q130" s="503"/>
    </row>
    <row r="131" spans="1:17" ht="15.75" thickBot="1">
      <c r="A131" s="2636"/>
      <c r="B131" s="568"/>
      <c r="C131" s="569"/>
      <c r="D131" s="569"/>
      <c r="E131" s="569"/>
      <c r="F131" s="569"/>
      <c r="G131" s="590"/>
      <c r="H131" s="590"/>
      <c r="I131" s="590"/>
      <c r="J131" s="590"/>
      <c r="K131" s="590"/>
      <c r="L131" s="590"/>
      <c r="M131" s="591"/>
      <c r="N131" s="1152"/>
      <c r="O131" s="1152"/>
      <c r="P131" s="2630"/>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8" priority="17" stopIfTrue="1" operator="containsText" text="超过">
      <formula>NOT(ISERROR(SEARCH("超过",F52)))</formula>
    </cfRule>
  </conditionalFormatting>
  <conditionalFormatting sqref="H54">
    <cfRule type="containsText" dxfId="127" priority="15" stopIfTrue="1" operator="containsText" text="超过">
      <formula>NOT(ISERROR(SEARCH("超过",H54)))</formula>
    </cfRule>
  </conditionalFormatting>
  <conditionalFormatting sqref="F54">
    <cfRule type="containsText" dxfId="126" priority="14" stopIfTrue="1" operator="containsText" text="超过">
      <formula>NOT(ISERROR(SEARCH("超过",F54)))</formula>
    </cfRule>
  </conditionalFormatting>
  <conditionalFormatting sqref="F53 H53">
    <cfRule type="containsText" dxfId="125" priority="13" stopIfTrue="1" operator="containsText" text="超过">
      <formula>NOT(ISERROR(SEARCH("超过",F53)))</formula>
    </cfRule>
  </conditionalFormatting>
  <conditionalFormatting sqref="E52">
    <cfRule type="expression" dxfId="124" priority="12" stopIfTrue="1">
      <formula>$F$52="超过30%"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4">
    <cfRule type="expression" dxfId="121" priority="9" stopIfTrue="1">
      <formula>$H$54="超过30%"</formula>
    </cfRule>
  </conditionalFormatting>
  <conditionalFormatting sqref="G52">
    <cfRule type="expression" dxfId="120" priority="8" stopIfTrue="1">
      <formula>$H$52="超过30%"</formula>
    </cfRule>
  </conditionalFormatting>
  <conditionalFormatting sqref="G53">
    <cfRule type="expression" dxfId="119" priority="7" stopIfTrue="1">
      <formula>$H$53="超过20%"</formula>
    </cfRule>
  </conditionalFormatting>
  <conditionalFormatting sqref="J52">
    <cfRule type="containsText" dxfId="118" priority="6" stopIfTrue="1" operator="containsText" text="超过">
      <formula>NOT(ISERROR(SEARCH("超过",J52)))</formula>
    </cfRule>
  </conditionalFormatting>
  <conditionalFormatting sqref="J54">
    <cfRule type="containsText" dxfId="117" priority="5" stopIfTrue="1" operator="containsText" text="超过">
      <formula>NOT(ISERROR(SEARCH("超过",J54)))</formula>
    </cfRule>
  </conditionalFormatting>
  <conditionalFormatting sqref="J53">
    <cfRule type="containsText" dxfId="116" priority="4" stopIfTrue="1" operator="containsText" text="超过">
      <formula>NOT(ISERROR(SEARCH("超过",J53)))</formula>
    </cfRule>
  </conditionalFormatting>
  <conditionalFormatting sqref="I52">
    <cfRule type="expression" dxfId="115" priority="3" stopIfTrue="1">
      <formula>$J$52="超过30%"</formula>
    </cfRule>
  </conditionalFormatting>
  <conditionalFormatting sqref="I53">
    <cfRule type="expression" dxfId="114" priority="2" stopIfTrue="1">
      <formula>$J$53="超过20%"</formula>
    </cfRule>
  </conditionalFormatting>
  <conditionalFormatting sqref="I54">
    <cfRule type="expression" dxfId="11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1611</v>
      </c>
    </row>
    <row r="2" spans="1:1">
      <c r="A2" s="1945"/>
    </row>
    <row r="3" spans="1:1" ht="18">
      <c r="A3" s="1946" t="str">
        <f>项目基本情况!B5&amp;"："</f>
        <v>北京国锐房地产开发有限公司：</v>
      </c>
    </row>
    <row r="4" spans="1:1" ht="18">
      <c r="A4" s="1947" t="str">
        <f>"受贵公司委托，我公司对"&amp;项目基本情况!S1&amp;"进行了预评估。"</f>
        <v>受贵公司委托，我公司对北京市房地产抵押价值进行了预评估。</v>
      </c>
    </row>
    <row r="5" spans="1:1" ht="18.75">
      <c r="A5" s="1948" t="s">
        <v>1612</v>
      </c>
    </row>
    <row r="6" spans="1:1" ht="18.75">
      <c r="A6" s="1949" t="s">
        <v>1613</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估价对象为北京市房地产，为所有。根据《国有土地使用证》[]，估价对象（分摊）出让国有建设用地使用权面积为3260.64平方米，建筑面积为14974.55平方米。</v>
      </c>
    </row>
    <row r="8" spans="1:1" ht="57.75">
      <c r="A8" s="1950" t="s">
        <v>1614</v>
      </c>
    </row>
    <row r="9" spans="1:1" ht="18.75">
      <c r="A9" s="1949" t="s">
        <v>1615</v>
      </c>
    </row>
    <row r="10" spans="1:1" ht="54">
      <c r="A10" s="1947"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估价对象为北京市房地产,属开发建设的居住项目，该项目尚在开发建设中。根据《国有土地使用证》[]，估价对象（分摊）出让国有建设用地使用权面积为3260.64平方米，规划建筑面积为14974.55平方米。</v>
      </c>
    </row>
    <row r="11" spans="1:1" ht="76.5">
      <c r="A11" s="1950" t="s">
        <v>1616</v>
      </c>
    </row>
    <row r="12" spans="1:1" ht="18.75">
      <c r="A12" s="1948" t="s">
        <v>1617</v>
      </c>
    </row>
    <row r="13" spans="1:1" ht="38.25" customHeight="1">
      <c r="A13" s="1951" t="str">
        <f>IF(项目基本情况!B8="抵押",IF(项目基本情况!B5=项目基本情况!B6,定义!C51,定义!B51),定义!D51)</f>
        <v>为估价委托人在向工行丰台幸福街支行办理贷款手续过程中，确定房地产抵押贷款额度提供参考依据而评估房地产抵押价值。</v>
      </c>
    </row>
    <row r="14" spans="1:1" ht="18.75">
      <c r="A14" s="1952" t="s">
        <v>1618</v>
      </c>
    </row>
    <row r="15" spans="1:1" ht="18">
      <c r="A15" s="1953" t="str">
        <f>TEXT(项目基本情况!D3,"yyyy年m月d日;;")&amp;IF(项目基本情况!D3=项目基本情况!B3,"（评估专业人员实地查勘之日）","")</f>
        <v>2018年6月1日（评估专业人员实地查勘之日）</v>
      </c>
    </row>
    <row r="16" spans="1:1" ht="18.75">
      <c r="A16" s="1952" t="s">
        <v>1619</v>
      </c>
    </row>
    <row r="17" spans="1:1" ht="75">
      <c r="A17" s="1947" t="s">
        <v>1620</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1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1609</v>
      </c>
    </row>
    <row r="24" spans="1:1" ht="18">
      <c r="A24" s="1954" t="str">
        <f>"本次评估采用的主估价方法为"&amp;结果表办公!K4&amp;"和"&amp;结果表办公!L4&amp;"。"</f>
        <v>本次评估采用的主估价方法为比较法和收益法。</v>
      </c>
    </row>
    <row r="25" spans="1:1" ht="18">
      <c r="A25" s="1954"/>
    </row>
    <row r="26" spans="1:1" ht="18.75">
      <c r="A26" s="1955" t="s">
        <v>1610</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3" zoomScale="90" zoomScaleNormal="90" zoomScaleSheetLayoutView="90" workbookViewId="0">
      <selection activeCell="E24" sqref="E24"/>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4"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1589</v>
      </c>
      <c r="B1" s="781"/>
      <c r="C1" s="1836" t="s">
        <v>1377</v>
      </c>
      <c r="D1" s="1819" t="s">
        <v>70</v>
      </c>
      <c r="E1" s="1820" t="s">
        <v>1387</v>
      </c>
      <c r="F1" s="1282" t="e">
        <f ca="1">J53</f>
        <v>#N/A</v>
      </c>
      <c r="G1" s="1835"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1515</v>
      </c>
      <c r="B2" s="1843" t="e">
        <f ca="1">C40+J29+L46</f>
        <v>#N/A</v>
      </c>
      <c r="C2" s="1844" t="s">
        <v>1516</v>
      </c>
      <c r="D2" s="1844"/>
      <c r="E2" s="1845"/>
      <c r="F2" s="1846"/>
      <c r="G2" s="1847"/>
      <c r="H2" s="1839"/>
      <c r="I2" s="1839"/>
      <c r="J2" s="1839"/>
      <c r="K2" s="1840"/>
      <c r="L2" s="1839"/>
      <c r="M2" s="1839"/>
    </row>
    <row r="3" spans="1:37" ht="18" customHeight="1" thickBot="1">
      <c r="A3" s="1848" t="s">
        <v>1517</v>
      </c>
      <c r="B3" s="1849">
        <f ca="1">IF(ISERROR(B2*10000/F43),0,ROUND(B2*10000/F43,0))</f>
        <v>0</v>
      </c>
      <c r="C3" s="1844" t="s">
        <v>1518</v>
      </c>
      <c r="D3" s="1844"/>
      <c r="E3" s="1845"/>
      <c r="F3" s="1846"/>
      <c r="G3" s="1847"/>
      <c r="H3" s="743" t="s">
        <v>1588</v>
      </c>
      <c r="I3" s="1839"/>
      <c r="J3" s="1839"/>
      <c r="K3" s="1840"/>
      <c r="L3" s="1839"/>
      <c r="M3" s="1839"/>
    </row>
    <row r="4" spans="1:37" ht="18" customHeight="1">
      <c r="A4" s="339" t="s">
        <v>1396</v>
      </c>
      <c r="B4" s="340" t="s">
        <v>1397</v>
      </c>
      <c r="C4" s="340" t="s">
        <v>1398</v>
      </c>
      <c r="D4" s="340" t="s">
        <v>1399</v>
      </c>
      <c r="E4" s="341" t="s">
        <v>1400</v>
      </c>
      <c r="F4" s="342"/>
      <c r="G4" s="1850"/>
      <c r="H4" s="339" t="s">
        <v>1396</v>
      </c>
      <c r="I4" s="340" t="s">
        <v>1397</v>
      </c>
      <c r="J4" s="340" t="s">
        <v>1398</v>
      </c>
      <c r="K4" s="340" t="s">
        <v>1399</v>
      </c>
      <c r="L4" s="341" t="s">
        <v>1400</v>
      </c>
      <c r="M4" s="342"/>
    </row>
    <row r="5" spans="1:37" ht="18" customHeight="1">
      <c r="A5" s="343">
        <v>1</v>
      </c>
      <c r="B5" s="344" t="s">
        <v>1401</v>
      </c>
      <c r="C5" s="1291" t="e">
        <f ca="1">C6+C10+C12</f>
        <v>#N/A</v>
      </c>
      <c r="D5" s="1821" t="s">
        <v>1402</v>
      </c>
      <c r="E5" s="1292"/>
      <c r="F5" s="1293"/>
      <c r="G5" s="1850"/>
      <c r="H5" s="343">
        <v>1</v>
      </c>
      <c r="I5" s="344" t="s">
        <v>1401</v>
      </c>
      <c r="J5" s="1291" t="e">
        <f ca="1">J6+J10+J12</f>
        <v>#N/A</v>
      </c>
      <c r="K5" s="1821" t="s">
        <v>1402</v>
      </c>
      <c r="L5" s="1292"/>
      <c r="M5" s="1293"/>
    </row>
    <row r="6" spans="1:37" ht="18" customHeight="1">
      <c r="A6" s="1290" t="s">
        <v>1035</v>
      </c>
      <c r="B6" s="3212" t="s">
        <v>1403</v>
      </c>
      <c r="C6" s="1295" t="e">
        <f ca="1">ROUND(F6*F8*F7*(1-F9)/10000,0)</f>
        <v>#N/A</v>
      </c>
      <c r="D6" s="163" t="s">
        <v>3036</v>
      </c>
      <c r="E6" s="346" t="s">
        <v>1405</v>
      </c>
      <c r="F6" s="347" t="e">
        <f ca="1">INDIRECT("'数据-取费表'!u"&amp;$G$1)</f>
        <v>#N/A</v>
      </c>
      <c r="G6" s="1850"/>
      <c r="H6" s="1290" t="s">
        <v>1035</v>
      </c>
      <c r="I6" s="3212" t="s">
        <v>1403</v>
      </c>
      <c r="J6" s="345" t="e">
        <f ca="1">ROUND(M6*M8*M7*(1-M9)/10000,0)</f>
        <v>#N/A</v>
      </c>
      <c r="K6" s="163" t="s">
        <v>3035</v>
      </c>
      <c r="L6" s="346" t="s">
        <v>1405</v>
      </c>
      <c r="M6" s="347" t="e">
        <f ca="1">INDIRECT("'数据-取费表'!z"&amp;$G$1)</f>
        <v>#N/A</v>
      </c>
    </row>
    <row r="7" spans="1:37" ht="18" customHeight="1">
      <c r="A7" s="1294"/>
      <c r="B7" s="3213"/>
      <c r="C7" s="1296"/>
      <c r="D7" s="351"/>
      <c r="E7" s="2963" t="s">
        <v>1406</v>
      </c>
      <c r="F7" s="347" t="e">
        <f ca="1">IF(INDIRECT("'数据-取费表'!ah"&amp;$G$1)="",INDIRECT("'数据-取费表'!k"&amp;$G$1),INDIRECT("'数据-取费表'!ah"&amp;$G$1))</f>
        <v>#N/A</v>
      </c>
      <c r="G7" s="1850"/>
      <c r="H7" s="348"/>
      <c r="I7" s="3213"/>
      <c r="J7" s="350"/>
      <c r="K7" s="351"/>
      <c r="L7" s="346" t="s">
        <v>1406</v>
      </c>
      <c r="M7" s="347" t="e">
        <f ca="1">F7</f>
        <v>#N/A</v>
      </c>
    </row>
    <row r="8" spans="1:37" ht="18" customHeight="1">
      <c r="A8" s="348"/>
      <c r="B8" s="3213"/>
      <c r="C8" s="350"/>
      <c r="D8" s="351"/>
      <c r="E8" s="346" t="s">
        <v>1407</v>
      </c>
      <c r="F8" s="347" t="e">
        <f ca="1">INDIRECT("'数据-取费表'!ai"&amp;$G$1)</f>
        <v>#N/A</v>
      </c>
      <c r="G8" s="1850"/>
      <c r="H8" s="348"/>
      <c r="I8" s="3213"/>
      <c r="J8" s="350"/>
      <c r="K8" s="351"/>
      <c r="L8" s="346" t="s">
        <v>1407</v>
      </c>
      <c r="M8" s="347" t="e">
        <f ca="1">INDIRECT("'数据-取费表'!ai"&amp;$G$1)</f>
        <v>#N/A</v>
      </c>
    </row>
    <row r="9" spans="1:37" ht="18" customHeight="1">
      <c r="A9" s="348"/>
      <c r="B9" s="3214"/>
      <c r="C9" s="350"/>
      <c r="D9" s="351"/>
      <c r="E9" s="346" t="s">
        <v>1408</v>
      </c>
      <c r="F9" s="356" t="e">
        <f ca="1">INDIRECT("'数据-取费表'!w"&amp;$G$1)</f>
        <v>#N/A</v>
      </c>
      <c r="G9" s="1850"/>
      <c r="H9" s="348"/>
      <c r="I9" s="3214"/>
      <c r="J9" s="350"/>
      <c r="K9" s="351"/>
      <c r="L9" s="357" t="s">
        <v>1408</v>
      </c>
      <c r="M9" s="358" t="e">
        <f ca="1">INDIRECT("'数据-取费表'!ab"&amp;$G$1)</f>
        <v>#N/A</v>
      </c>
    </row>
    <row r="10" spans="1:37" ht="18" customHeight="1">
      <c r="A10" s="1290" t="s">
        <v>1039</v>
      </c>
      <c r="B10" s="1822" t="s">
        <v>1409</v>
      </c>
      <c r="C10" s="360" t="e">
        <f ca="1">ROUND(IF(F10="押一",C6/12*F11,IF(F10="押二",C6/12*2*F11,IF(F10="押三",C6/12*3*F11,C11*F11))),0)</f>
        <v>#N/A</v>
      </c>
      <c r="D10" s="1823" t="s">
        <v>3044</v>
      </c>
      <c r="E10" s="357" t="s">
        <v>1410</v>
      </c>
      <c r="F10" s="1365" t="s">
        <v>3106</v>
      </c>
      <c r="G10" s="1850"/>
      <c r="H10" s="1290" t="s">
        <v>1039</v>
      </c>
      <c r="I10" s="1822" t="s">
        <v>1409</v>
      </c>
      <c r="J10" s="345" t="e">
        <f ca="1">ROUND(IF(M10="押一",J6/12*M11,IF(M10="押二",J6/12*2*M11,IF(M10="押三",J6/12*3*M11,J11*M11))),0)</f>
        <v>#N/A</v>
      </c>
      <c r="K10" s="1823" t="s">
        <v>3044</v>
      </c>
      <c r="L10" s="357" t="s">
        <v>1410</v>
      </c>
      <c r="M10" s="1365" t="s">
        <v>1411</v>
      </c>
    </row>
    <row r="11" spans="1:37" ht="18" customHeight="1">
      <c r="A11" s="352"/>
      <c r="B11" s="1824" t="s">
        <v>1388</v>
      </c>
      <c r="C11" s="1177"/>
      <c r="D11" s="1825"/>
      <c r="E11" s="357" t="s">
        <v>1412</v>
      </c>
      <c r="F11" s="358">
        <f ca="1">'数据-取费表'!B39</f>
        <v>1.4999999999999999E-2</v>
      </c>
      <c r="G11" s="1850"/>
      <c r="H11" s="1298"/>
      <c r="I11" s="1824" t="s">
        <v>1388</v>
      </c>
      <c r="J11" s="1177"/>
      <c r="K11" s="747"/>
      <c r="L11" s="357" t="s">
        <v>1412</v>
      </c>
      <c r="M11" s="1055">
        <f ca="1">'数据-取费表'!B39</f>
        <v>1.4999999999999999E-2</v>
      </c>
    </row>
    <row r="12" spans="1:37" ht="18" customHeight="1" thickBot="1">
      <c r="A12" s="1332" t="s">
        <v>1075</v>
      </c>
      <c r="B12" s="1826" t="s">
        <v>1413</v>
      </c>
      <c r="C12" s="1333"/>
      <c r="D12" s="1334"/>
      <c r="E12" s="1339"/>
      <c r="F12" s="1335"/>
      <c r="G12" s="1850"/>
      <c r="H12" s="1332" t="s">
        <v>1075</v>
      </c>
      <c r="I12" s="1826" t="s">
        <v>1413</v>
      </c>
      <c r="J12" s="1333"/>
      <c r="K12" s="1347"/>
      <c r="L12" s="1339"/>
      <c r="M12" s="1348"/>
    </row>
    <row r="13" spans="1:37" ht="18" customHeight="1" thickTop="1">
      <c r="A13" s="1328">
        <v>2</v>
      </c>
      <c r="B13" s="1329" t="s">
        <v>1414</v>
      </c>
      <c r="C13" s="354" t="e">
        <f ca="1">ROUND(C29*F13,0)</f>
        <v>#N/A</v>
      </c>
      <c r="D13" s="1330" t="s">
        <v>1415</v>
      </c>
      <c r="E13" s="1330" t="s">
        <v>1416</v>
      </c>
      <c r="F13" s="1331" t="e">
        <f ca="1">INDIRECT("'数据-取费表'!y"&amp;$G$1)</f>
        <v>#N/A</v>
      </c>
      <c r="G13" s="1850"/>
      <c r="H13" s="1328">
        <v>2</v>
      </c>
      <c r="I13" s="1329" t="s">
        <v>1414</v>
      </c>
      <c r="J13" s="1289" t="e">
        <f ca="1">ROUND(J14*J15,0)</f>
        <v>#N/A</v>
      </c>
      <c r="K13" s="1336" t="s">
        <v>1415</v>
      </c>
      <c r="L13" s="1851"/>
      <c r="M13" s="1852"/>
    </row>
    <row r="14" spans="1:37" ht="18" customHeight="1">
      <c r="A14" s="1200" t="s">
        <v>1034</v>
      </c>
      <c r="B14" s="346" t="s">
        <v>1417</v>
      </c>
      <c r="C14" s="362" t="e">
        <f ca="1">INDIRECT("'数据-取费表'!m"&amp;$G$1)+INDIRECT("'数据-取费表'!t"&amp;$G$1)</f>
        <v>#N/A</v>
      </c>
      <c r="D14" s="2950" t="s">
        <v>1418</v>
      </c>
      <c r="E14" s="2945"/>
      <c r="F14" s="363"/>
      <c r="G14" s="1850"/>
      <c r="H14" s="1200" t="s">
        <v>1035</v>
      </c>
      <c r="I14" s="346" t="s">
        <v>1419</v>
      </c>
      <c r="J14" s="24" t="e">
        <f ca="1">C29</f>
        <v>#N/A</v>
      </c>
      <c r="K14" s="2962"/>
      <c r="L14" s="978"/>
      <c r="M14" s="979"/>
    </row>
    <row r="15" spans="1:37" s="1857" customFormat="1" ht="18" customHeight="1" thickBot="1">
      <c r="A15" s="1200" t="s">
        <v>1036</v>
      </c>
      <c r="B15" s="346" t="s">
        <v>1420</v>
      </c>
      <c r="C15" s="24" t="e">
        <f ca="1">ROUND(C14*F15,0)</f>
        <v>#N/A</v>
      </c>
      <c r="D15" s="364" t="s">
        <v>1421</v>
      </c>
      <c r="E15" s="364" t="s">
        <v>1422</v>
      </c>
      <c r="F15" s="365">
        <f>'数据-取费表'!B33</f>
        <v>0.03</v>
      </c>
      <c r="G15" s="1853"/>
      <c r="H15" s="1338" t="s">
        <v>1039</v>
      </c>
      <c r="I15" s="1339" t="s">
        <v>1416</v>
      </c>
      <c r="J15" s="1348" t="e">
        <f ca="1">INDIRECT("'数据-取费表'!ad"&amp;$G$1)</f>
        <v>#N/A</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6" t="s">
        <v>1423</v>
      </c>
      <c r="C16" s="24" t="e">
        <f ca="1">ROUND(INDIRECT("'数据-取费表'!m"&amp;$G$1)*F16,0)</f>
        <v>#N/A</v>
      </c>
      <c r="D16" s="346" t="s">
        <v>1421</v>
      </c>
      <c r="E16" s="346" t="s">
        <v>1422</v>
      </c>
      <c r="F16" s="366" t="e">
        <f ca="1">IF(INDIRECT("'数据-取费表'!c"&amp;$G$1)="住宅",'数据-取费表'!B34,0)</f>
        <v>#N/A</v>
      </c>
      <c r="G16" s="1850"/>
      <c r="H16" s="1328" t="s">
        <v>1030</v>
      </c>
      <c r="I16" s="1329" t="s">
        <v>1424</v>
      </c>
      <c r="J16" s="354" t="e">
        <f ca="1">ROUND(J17+J22+J23+J24,0)</f>
        <v>#N/A</v>
      </c>
      <c r="K16" s="1336" t="s">
        <v>1425</v>
      </c>
      <c r="L16" s="2952"/>
      <c r="M16" s="1293"/>
    </row>
    <row r="17" spans="1:37" s="1857" customFormat="1" ht="18" customHeight="1">
      <c r="A17" s="1200" t="s">
        <v>1390</v>
      </c>
      <c r="B17" s="346" t="s">
        <v>1426</v>
      </c>
      <c r="C17" s="24" t="e">
        <f ca="1">ROUND(F17*(F43+INDIRECT("'数据-取费表'!S"&amp;$G$1))/10000,0)</f>
        <v>#N/A</v>
      </c>
      <c r="D17" s="346" t="s">
        <v>1427</v>
      </c>
      <c r="E17" s="346" t="s">
        <v>1428</v>
      </c>
      <c r="F17" s="26">
        <f>'数据-取费表'!B35</f>
        <v>200</v>
      </c>
      <c r="G17" s="1853"/>
      <c r="H17" s="1200" t="s">
        <v>1035</v>
      </c>
      <c r="I17" s="346" t="s">
        <v>1429</v>
      </c>
      <c r="J17" s="24" t="e">
        <f ca="1">ROUND(IF(项目基本情况!B11="自然人",J5*M17,J18+J19+J20),1)</f>
        <v>#N/A</v>
      </c>
      <c r="K17" s="2950" t="s">
        <v>1430</v>
      </c>
      <c r="L17" s="2948" t="s">
        <v>1431</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6" t="s">
        <v>1432</v>
      </c>
      <c r="C18" s="24" t="e">
        <f ca="1">ROUND(C14*F18,0)</f>
        <v>#N/A</v>
      </c>
      <c r="D18" s="346" t="s">
        <v>1421</v>
      </c>
      <c r="E18" s="346" t="s">
        <v>1422</v>
      </c>
      <c r="F18" s="366">
        <f>'数据-取费表'!B36</f>
        <v>1.4999999999999999E-2</v>
      </c>
      <c r="G18" s="1853"/>
      <c r="H18" s="1200" t="s">
        <v>1034</v>
      </c>
      <c r="I18" s="346" t="s">
        <v>1433</v>
      </c>
      <c r="J18" s="24" t="e">
        <f ca="1">ROUND(J5*M18/(1+'数据-取费表'!C42),2)</f>
        <v>#N/A</v>
      </c>
      <c r="K18" s="2948" t="s">
        <v>1434</v>
      </c>
      <c r="L18" s="346" t="s">
        <v>1422</v>
      </c>
      <c r="M18" s="366">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6" t="s">
        <v>1435</v>
      </c>
      <c r="C19" s="24" t="e">
        <f ca="1">SUM(C14:C18)</f>
        <v>#N/A</v>
      </c>
      <c r="D19" s="139" t="s">
        <v>1436</v>
      </c>
      <c r="E19" s="2960"/>
      <c r="F19" s="26"/>
      <c r="G19" s="1850"/>
      <c r="H19" s="1200" t="s">
        <v>1036</v>
      </c>
      <c r="I19" s="346" t="s">
        <v>1437</v>
      </c>
      <c r="J19" s="24" t="e">
        <f ca="1">IF(K19="按租金收入计税",ROUND(J5*M19,2),ROUND(C29*M19*0.7,2))</f>
        <v>#N/A</v>
      </c>
      <c r="K19" s="1827" t="s">
        <v>1438</v>
      </c>
      <c r="L19" s="346" t="s">
        <v>1422</v>
      </c>
      <c r="M19" s="366">
        <f>IF(K19="按租金收入计税",'数据-取费表'!B51,'数据-取费表'!B50)</f>
        <v>1.2E-2</v>
      </c>
    </row>
    <row r="20" spans="1:37" s="1857" customFormat="1" ht="18" customHeight="1">
      <c r="A20" s="1200" t="s">
        <v>1039</v>
      </c>
      <c r="B20" s="346" t="s">
        <v>1439</v>
      </c>
      <c r="C20" s="24" t="e">
        <f ca="1">ROUND(C19*F20,0)</f>
        <v>#N/A</v>
      </c>
      <c r="D20" s="368" t="s">
        <v>1440</v>
      </c>
      <c r="E20" s="346" t="s">
        <v>1422</v>
      </c>
      <c r="F20" s="366">
        <f>'数据-取费表'!B37</f>
        <v>0.03</v>
      </c>
      <c r="G20" s="1853"/>
      <c r="H20" s="1200" t="s">
        <v>1389</v>
      </c>
      <c r="I20" s="163" t="s">
        <v>1441</v>
      </c>
      <c r="J20" s="25" t="e">
        <f ca="1">ROUND(M20*M21/10000,2)</f>
        <v>#N/A</v>
      </c>
      <c r="K20" s="369" t="s">
        <v>1442</v>
      </c>
      <c r="L20" s="346" t="s">
        <v>1443</v>
      </c>
      <c r="M20" s="370">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6" t="s">
        <v>1444</v>
      </c>
      <c r="C21" s="24" t="s">
        <v>18</v>
      </c>
      <c r="D21" s="368" t="s">
        <v>1445</v>
      </c>
      <c r="E21" s="346" t="s">
        <v>1446</v>
      </c>
      <c r="F21" s="366">
        <f>'数据-取费表'!B38</f>
        <v>0.03</v>
      </c>
      <c r="G21" s="1853"/>
      <c r="H21" s="371"/>
      <c r="I21" s="355"/>
      <c r="J21" s="29"/>
      <c r="K21" s="372"/>
      <c r="L21" s="346" t="s">
        <v>1447</v>
      </c>
      <c r="M21" s="347" t="e">
        <f ca="1">INDIRECT("'数据-取费表'!r"&amp;$G$1)</f>
        <v>#N/A</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6" t="s">
        <v>1448</v>
      </c>
      <c r="C22" s="24"/>
      <c r="D22" s="139" t="str">
        <f>IF(F23&lt;=1,"单利计息。","复利计息。")&amp;"建造成本、管理费用、销售费用产生的利息。"</f>
        <v>复利计息。建造成本、管理费用、销售费用产生的利息。</v>
      </c>
      <c r="E22" s="2960"/>
      <c r="F22" s="26"/>
      <c r="G22" s="1850"/>
      <c r="H22" s="1200" t="s">
        <v>1039</v>
      </c>
      <c r="I22" s="346" t="s">
        <v>1449</v>
      </c>
      <c r="J22" s="24" t="e">
        <f ca="1">ROUND(J14*M22,1)</f>
        <v>#N/A</v>
      </c>
      <c r="K22" s="2948" t="s">
        <v>1450</v>
      </c>
      <c r="L22" s="346" t="s">
        <v>1422</v>
      </c>
      <c r="M22" s="373" t="e">
        <f ca="1">INDIRECT("'数据-取费表'!Ak"&amp;$G$1)</f>
        <v>#N/A</v>
      </c>
    </row>
    <row r="23" spans="1:37" s="1857" customFormat="1" ht="18" customHeight="1">
      <c r="A23" s="1200" t="s">
        <v>1034</v>
      </c>
      <c r="B23" s="346" t="s">
        <v>1451</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1452</v>
      </c>
      <c r="F23" s="370">
        <f>'数据-取费表'!B20</f>
        <v>2</v>
      </c>
      <c r="G23" s="1853"/>
      <c r="H23" s="1200" t="s">
        <v>1075</v>
      </c>
      <c r="I23" s="346" t="s">
        <v>1453</v>
      </c>
      <c r="J23" s="24" t="e">
        <f ca="1">ROUND(J13*M23,1)</f>
        <v>#N/A</v>
      </c>
      <c r="K23" s="2948" t="s">
        <v>1454</v>
      </c>
      <c r="L23" s="346" t="s">
        <v>1422</v>
      </c>
      <c r="M23" s="375" t="e">
        <f ca="1">INDIRECT("'数据-取费表'!Al"&amp;$G$1)</f>
        <v>#N/A</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1456</v>
      </c>
      <c r="B24" s="346" t="s">
        <v>1457</v>
      </c>
      <c r="C24" s="24">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3"/>
      <c r="H24" s="1338" t="s">
        <v>1392</v>
      </c>
      <c r="I24" s="1339" t="s">
        <v>1439</v>
      </c>
      <c r="J24" s="1340" t="e">
        <f ca="1">ROUND(J5*M24,1)</f>
        <v>#N/A</v>
      </c>
      <c r="K24" s="1341" t="s">
        <v>1459</v>
      </c>
      <c r="L24" s="1339" t="s">
        <v>1422</v>
      </c>
      <c r="M24" s="1335" t="e">
        <f ca="1">INDIRECT("'数据-取费表'!Am"&amp;$G$1)</f>
        <v>#N/A</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1460</v>
      </c>
      <c r="B25" s="346" t="s">
        <v>1461</v>
      </c>
      <c r="C25" s="24"/>
      <c r="D25" s="139" t="s">
        <v>1462</v>
      </c>
      <c r="E25" s="2960"/>
      <c r="F25" s="26"/>
      <c r="G25" s="1850"/>
      <c r="H25" s="1328" t="s">
        <v>1031</v>
      </c>
      <c r="I25" s="1343" t="s">
        <v>1463</v>
      </c>
      <c r="J25" s="354" t="e">
        <f ca="1">J5-J16</f>
        <v>#N/A</v>
      </c>
      <c r="K25" s="1344" t="s">
        <v>1464</v>
      </c>
      <c r="L25" s="1345"/>
      <c r="M25" s="1346"/>
    </row>
    <row r="26" spans="1:37">
      <c r="A26" s="1200" t="s">
        <v>1034</v>
      </c>
      <c r="B26" s="346" t="s">
        <v>1465</v>
      </c>
      <c r="C26" s="24" t="e">
        <f ca="1">ROUND((C19+C20)*F26,0)</f>
        <v>#N/A</v>
      </c>
      <c r="D26" s="368" t="s">
        <v>1466</v>
      </c>
      <c r="E26" s="357" t="s">
        <v>1467</v>
      </c>
      <c r="F26" s="356" t="e">
        <f ca="1">INDIRECT("'数据-取费表'!q"&amp;$G$1)</f>
        <v>#N/A</v>
      </c>
      <c r="G26" s="1850"/>
      <c r="H26" s="343" t="s">
        <v>1032</v>
      </c>
      <c r="I26" s="344" t="s">
        <v>1468</v>
      </c>
      <c r="J26" s="345" t="e">
        <f ca="1">IF(J5&lt;&gt;0,ROUND(J25*(1-((1+M28)/(1+M26))^M27)/(M26-M28),0),0)</f>
        <v>#N/A</v>
      </c>
      <c r="K26" s="369" t="s">
        <v>1469</v>
      </c>
      <c r="L26" s="346" t="s">
        <v>1470</v>
      </c>
      <c r="M26" s="356" t="e">
        <f ca="1">INDIRECT("'数据-取费表'!I"&amp;$G$1)</f>
        <v>#N/A</v>
      </c>
    </row>
    <row r="27" spans="1:37" ht="18" customHeight="1">
      <c r="A27" s="1200" t="s">
        <v>1036</v>
      </c>
      <c r="B27" s="346" t="s">
        <v>1471</v>
      </c>
      <c r="C27" s="24" t="e">
        <f ca="1">ROUND(F21*F26,4)</f>
        <v>#N/A</v>
      </c>
      <c r="D27" s="368" t="s">
        <v>1472</v>
      </c>
      <c r="E27" s="364"/>
      <c r="F27" s="365"/>
      <c r="G27" s="1850"/>
      <c r="H27" s="348"/>
      <c r="I27" s="349"/>
      <c r="J27" s="350"/>
      <c r="K27" s="377" t="s">
        <v>1473</v>
      </c>
      <c r="L27" s="346" t="s">
        <v>1474</v>
      </c>
      <c r="M27" s="378" t="e">
        <f ca="1">INDIRECT("'数据-取费表'!ag"&amp;$G$1)</f>
        <v>#N/A</v>
      </c>
    </row>
    <row r="28" spans="1:37" s="1857" customFormat="1" ht="18" customHeight="1">
      <c r="A28" s="1200" t="s">
        <v>1037</v>
      </c>
      <c r="B28" s="346" t="s">
        <v>1475</v>
      </c>
      <c r="C28" s="24">
        <f>ROUND(F28/(1+'数据-取费表'!C42),4)</f>
        <v>5.2400000000000002E-2</v>
      </c>
      <c r="D28" s="368" t="s">
        <v>1476</v>
      </c>
      <c r="E28" s="346" t="s">
        <v>1422</v>
      </c>
      <c r="F28" s="366">
        <f>'数据-取费表'!B41</f>
        <v>5.5000000000000007E-2</v>
      </c>
      <c r="G28" s="1853"/>
      <c r="H28" s="352"/>
      <c r="I28" s="353"/>
      <c r="J28" s="354"/>
      <c r="K28" s="372"/>
      <c r="L28" s="346" t="s">
        <v>1477</v>
      </c>
      <c r="M28" s="356" t="e">
        <f ca="1">INDIRECT("'数据-取费表'!aa"&amp;$G$1)</f>
        <v>#N/A</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1478</v>
      </c>
      <c r="C29" s="1340" t="e">
        <f ca="1">ROUND((C19+C20+C23+C26)/(1-F21-C24-C27-C28),0)</f>
        <v>#N/A</v>
      </c>
      <c r="D29" s="1341"/>
      <c r="E29" s="1339"/>
      <c r="F29" s="1342"/>
      <c r="G29" s="1853"/>
      <c r="H29" s="379" t="s">
        <v>1033</v>
      </c>
      <c r="I29" s="380" t="s">
        <v>1479</v>
      </c>
      <c r="J29" s="381" t="e">
        <f ca="1">ROUND(J26/(1+F40)^F41,0)</f>
        <v>#N/A</v>
      </c>
      <c r="K29" s="382" t="s">
        <v>1480</v>
      </c>
      <c r="L29" s="383"/>
      <c r="M29" s="384" t="e">
        <f ca="1">INDIRECT("'数据-取费表'!k"&amp;$G$1)</f>
        <v>#N/A</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1424</v>
      </c>
      <c r="C30" s="354" t="e">
        <f ca="1">ROUND(C31+C36+C37+C38,0)</f>
        <v>#N/A</v>
      </c>
      <c r="D30" s="1336" t="s">
        <v>1425</v>
      </c>
      <c r="E30" s="2952"/>
      <c r="F30" s="1293"/>
      <c r="G30" s="1850"/>
      <c r="H30" s="744"/>
      <c r="I30" s="745"/>
      <c r="J30" s="746"/>
      <c r="K30" s="747"/>
      <c r="L30" s="748"/>
      <c r="M30" s="749"/>
    </row>
    <row r="31" spans="1:37" ht="18" customHeight="1">
      <c r="A31" s="1200" t="s">
        <v>1035</v>
      </c>
      <c r="B31" s="346" t="s">
        <v>1429</v>
      </c>
      <c r="C31" s="24" t="e">
        <f ca="1">ROUND(IF(项目基本情况!B11="自然人",C5*F31,C32+C33+C34),1)</f>
        <v>#N/A</v>
      </c>
      <c r="D31" s="2950" t="s">
        <v>1430</v>
      </c>
      <c r="E31" s="2948" t="s">
        <v>1481</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1034</v>
      </c>
      <c r="B32" s="346" t="s">
        <v>1433</v>
      </c>
      <c r="C32" s="24" t="e">
        <f ca="1">IF(项目基本情况!B11="自然人","——",ROUND(C5*F32/(1+'数据-取费表'!C42),2))</f>
        <v>#N/A</v>
      </c>
      <c r="D32" s="2948" t="s">
        <v>1434</v>
      </c>
      <c r="E32" s="346" t="s">
        <v>1422</v>
      </c>
      <c r="F32" s="376">
        <f>'数据-取费表'!B41</f>
        <v>5.5000000000000007E-2</v>
      </c>
      <c r="G32" s="1850"/>
      <c r="H32" s="744"/>
      <c r="I32" s="745"/>
      <c r="J32" s="746"/>
      <c r="K32" s="747"/>
      <c r="L32" s="748"/>
      <c r="M32" s="749"/>
    </row>
    <row r="33" spans="1:18" ht="18" customHeight="1">
      <c r="A33" s="1200" t="s">
        <v>1036</v>
      </c>
      <c r="B33" s="346" t="s">
        <v>1437</v>
      </c>
      <c r="C33" s="24" t="e">
        <f ca="1">IF(项目基本情况!B11="自然人","——",IF(D33="按租金收入计税",ROUND(C5*F33,2),IF(D33="按房产原值计税",ROUND(C29*F33*0.7,2),INDIRECT("'数据-取费表'!Aj"&amp;$G$1))))</f>
        <v>#N/A</v>
      </c>
      <c r="D33" s="1827" t="s">
        <v>3109</v>
      </c>
      <c r="E33" s="346" t="s">
        <v>1422</v>
      </c>
      <c r="F33" s="366">
        <f>IF(D33="按票据","——",IF(D33="按租金收入计税",'数据-取费表'!B51,'数据-取费表'!B50))</f>
        <v>0.12</v>
      </c>
      <c r="G33" s="1850"/>
      <c r="H33" s="1858"/>
      <c r="I33" s="1859"/>
      <c r="J33" s="1860"/>
      <c r="K33" s="1861"/>
      <c r="L33" s="1858"/>
      <c r="M33" s="1858"/>
    </row>
    <row r="34" spans="1:18" ht="18" customHeight="1">
      <c r="A34" s="1290" t="s">
        <v>1389</v>
      </c>
      <c r="B34" s="163" t="s">
        <v>1441</v>
      </c>
      <c r="C34" s="25" t="e">
        <f ca="1">IF(项目基本情况!B11="自然人","——",ROUND(F34*F35/10000,2))</f>
        <v>#N/A</v>
      </c>
      <c r="D34" s="369" t="s">
        <v>1442</v>
      </c>
      <c r="E34" s="346" t="s">
        <v>1443</v>
      </c>
      <c r="F34" s="370">
        <f>'数据-取费表'!B52</f>
        <v>1.5</v>
      </c>
      <c r="G34" s="1850"/>
      <c r="H34" s="744"/>
      <c r="I34" s="1859"/>
      <c r="J34" s="1860"/>
      <c r="K34" s="1862"/>
      <c r="L34" s="1863"/>
      <c r="M34" s="1863"/>
    </row>
    <row r="35" spans="1:18" ht="18" customHeight="1">
      <c r="A35" s="1352"/>
      <c r="B35" s="1350"/>
      <c r="C35" s="29"/>
      <c r="D35" s="372"/>
      <c r="E35" s="346" t="s">
        <v>1447</v>
      </c>
      <c r="F35" s="347" t="e">
        <f ca="1">INDIRECT("'数据-取费表'!r"&amp;$G$1)</f>
        <v>#N/A</v>
      </c>
      <c r="G35" s="1850"/>
      <c r="H35" s="744"/>
      <c r="I35" s="1859"/>
      <c r="J35" s="1860"/>
      <c r="K35" s="1861"/>
      <c r="L35" s="1858"/>
      <c r="M35" s="1858"/>
    </row>
    <row r="36" spans="1:18" ht="18" customHeight="1">
      <c r="A36" s="1351" t="s">
        <v>1039</v>
      </c>
      <c r="B36" s="346" t="s">
        <v>1449</v>
      </c>
      <c r="C36" s="24" t="e">
        <f ca="1">ROUND(C29*F36,1)</f>
        <v>#N/A</v>
      </c>
      <c r="D36" s="2948" t="s">
        <v>1482</v>
      </c>
      <c r="E36" s="346" t="s">
        <v>1422</v>
      </c>
      <c r="F36" s="373" t="e">
        <f ca="1">INDIRECT("'数据-取费表'!Ak"&amp;$G$1)</f>
        <v>#N/A</v>
      </c>
      <c r="G36" s="1850"/>
      <c r="H36" s="1858"/>
      <c r="I36" s="1859"/>
      <c r="J36" s="1860"/>
      <c r="K36" s="750"/>
      <c r="L36" s="1858"/>
      <c r="M36" s="1858"/>
    </row>
    <row r="37" spans="1:18" ht="18" customHeight="1">
      <c r="A37" s="1200" t="s">
        <v>1075</v>
      </c>
      <c r="B37" s="346" t="s">
        <v>1453</v>
      </c>
      <c r="C37" s="24" t="e">
        <f ca="1">ROUND(C13*F37,1)</f>
        <v>#N/A</v>
      </c>
      <c r="D37" s="2948" t="s">
        <v>1454</v>
      </c>
      <c r="E37" s="346" t="s">
        <v>1422</v>
      </c>
      <c r="F37" s="375" t="e">
        <f ca="1">INDIRECT("'数据-取费表'!Al"&amp;$G$1)</f>
        <v>#N/A</v>
      </c>
      <c r="G37" s="1850"/>
      <c r="H37" s="1858"/>
      <c r="I37" s="1859"/>
      <c r="J37" s="1860"/>
      <c r="K37" s="750"/>
      <c r="L37" s="1858"/>
      <c r="M37" s="1858"/>
    </row>
    <row r="38" spans="1:18" ht="18" customHeight="1" thickBot="1">
      <c r="A38" s="1338" t="s">
        <v>1392</v>
      </c>
      <c r="B38" s="1339" t="s">
        <v>1439</v>
      </c>
      <c r="C38" s="1340" t="e">
        <f ca="1">ROUND(C5*F38,1)</f>
        <v>#N/A</v>
      </c>
      <c r="D38" s="1341" t="s">
        <v>1459</v>
      </c>
      <c r="E38" s="1339" t="s">
        <v>1422</v>
      </c>
      <c r="F38" s="1335" t="e">
        <f ca="1">INDIRECT("'数据-取费表'!Am"&amp;$G$1)</f>
        <v>#N/A</v>
      </c>
      <c r="G38" s="1850"/>
      <c r="H38" s="1858"/>
      <c r="I38" s="1859"/>
      <c r="J38" s="1860"/>
      <c r="K38" s="1864"/>
      <c r="L38" s="1858"/>
      <c r="M38" s="1858"/>
    </row>
    <row r="39" spans="1:18" ht="24.6" customHeight="1" thickTop="1">
      <c r="A39" s="1328" t="s">
        <v>1031</v>
      </c>
      <c r="B39" s="1343" t="s">
        <v>1463</v>
      </c>
      <c r="C39" s="354" t="e">
        <f ca="1">C5-C30</f>
        <v>#N/A</v>
      </c>
      <c r="D39" s="1344" t="s">
        <v>1464</v>
      </c>
      <c r="E39" s="1345"/>
      <c r="F39" s="1346"/>
      <c r="G39" s="1850"/>
      <c r="H39" s="1858"/>
      <c r="I39" s="1859"/>
      <c r="J39" s="1860"/>
      <c r="K39" s="1864"/>
      <c r="L39" s="1858"/>
      <c r="M39" s="1858"/>
    </row>
    <row r="40" spans="1:18" ht="18" customHeight="1">
      <c r="A40" s="343" t="s">
        <v>1032</v>
      </c>
      <c r="B40" s="344" t="s">
        <v>1485</v>
      </c>
      <c r="C40" s="345" t="e">
        <f ca="1">ROUND(C39*(1-((1+F42)/(1+F40))^F41)/(F40-F42),0)</f>
        <v>#N/A</v>
      </c>
      <c r="D40" s="369" t="s">
        <v>1469</v>
      </c>
      <c r="E40" s="346" t="s">
        <v>1470</v>
      </c>
      <c r="F40" s="356" t="e">
        <f ca="1">INDIRECT("'数据-取费表'!I"&amp;$G$1)</f>
        <v>#N/A</v>
      </c>
      <c r="G40" s="1850"/>
      <c r="H40" s="1838"/>
      <c r="I40" s="1859"/>
      <c r="J40" s="1860"/>
      <c r="K40" s="1864"/>
      <c r="L40" s="1838"/>
      <c r="M40" s="1838"/>
    </row>
    <row r="41" spans="1:18" ht="18" customHeight="1">
      <c r="A41" s="348"/>
      <c r="B41" s="349"/>
      <c r="C41" s="350"/>
      <c r="D41" s="377" t="s">
        <v>1486</v>
      </c>
      <c r="E41" s="346" t="s">
        <v>1474</v>
      </c>
      <c r="F41" s="378" t="e">
        <f ca="1">IF(INDIRECT("'数据-取费表'!af"&amp;$G$1)=0,INDIRECT("'数据-取费表'!ae"&amp;$G$1),INDIRECT("'数据-取费表'!af"&amp;$G$1))</f>
        <v>#N/A</v>
      </c>
      <c r="G41" s="1850"/>
      <c r="H41" s="731"/>
      <c r="I41" s="1859"/>
      <c r="J41" s="1860"/>
      <c r="K41" s="750"/>
      <c r="L41" s="731"/>
      <c r="M41" s="731"/>
    </row>
    <row r="42" spans="1:18" ht="18" customHeight="1">
      <c r="A42" s="352"/>
      <c r="B42" s="353"/>
      <c r="C42" s="354"/>
      <c r="D42" s="372"/>
      <c r="E42" s="346" t="s">
        <v>1477</v>
      </c>
      <c r="F42" s="356" t="e">
        <f ca="1">INDIRECT("'数据-取费表'!v"&amp;$G$1)</f>
        <v>#N/A</v>
      </c>
      <c r="G42" s="1850"/>
      <c r="H42" s="731"/>
      <c r="I42" s="1859"/>
      <c r="J42" s="1860"/>
      <c r="K42" s="750"/>
      <c r="L42" s="731"/>
      <c r="M42" s="731"/>
    </row>
    <row r="43" spans="1:18" ht="18" customHeight="1" thickBot="1">
      <c r="A43" s="379" t="s">
        <v>1033</v>
      </c>
      <c r="B43" s="380" t="s">
        <v>1487</v>
      </c>
      <c r="C43" s="381" t="e">
        <f ca="1">ROUND(C40*10000/F43,0)</f>
        <v>#N/A</v>
      </c>
      <c r="D43" s="382" t="s">
        <v>1488</v>
      </c>
      <c r="E43" s="383" t="s">
        <v>1489</v>
      </c>
      <c r="F43" s="384" t="e">
        <f ca="1">INDIRECT("'数据-取费表'!k"&amp;$G$1)</f>
        <v>#N/A</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1519</v>
      </c>
      <c r="P45" s="1838"/>
      <c r="Q45" s="1838"/>
      <c r="R45" s="1838"/>
    </row>
    <row r="46" spans="1:18" s="1841" customFormat="1" ht="13.5" thickBot="1">
      <c r="A46" s="1869" t="s">
        <v>1520</v>
      </c>
      <c r="C46" s="1870" t="e">
        <f ca="1">C68-C40</f>
        <v>#N/A</v>
      </c>
      <c r="D46" s="1871" t="str">
        <f>C2</f>
        <v>万元</v>
      </c>
      <c r="E46" s="1865"/>
      <c r="F46" s="1865"/>
      <c r="I46" s="1872" t="s">
        <v>1521</v>
      </c>
      <c r="J46" s="1873"/>
      <c r="K46" s="1874"/>
      <c r="L46" s="1875" t="e">
        <f ca="1">IF(M47="住宅",0,IF(L48&gt;J51,L60,J60))</f>
        <v>#N/A</v>
      </c>
      <c r="O46" s="1876" t="s">
        <v>1522</v>
      </c>
      <c r="P46" s="1877" t="s">
        <v>1523</v>
      </c>
      <c r="Q46" s="1878" t="s">
        <v>1524</v>
      </c>
      <c r="R46" s="1878" t="s">
        <v>1525</v>
      </c>
    </row>
    <row r="47" spans="1:18" s="1841" customFormat="1" ht="13.5" thickBot="1">
      <c r="A47" s="1164" t="s">
        <v>1396</v>
      </c>
      <c r="B47" s="1196" t="s">
        <v>1397</v>
      </c>
      <c r="C47" s="1366" t="s">
        <v>1398</v>
      </c>
      <c r="D47" s="1196" t="s">
        <v>1399</v>
      </c>
      <c r="E47" s="1278" t="s">
        <v>1400</v>
      </c>
      <c r="F47" s="1279"/>
      <c r="G47" s="791"/>
      <c r="I47" s="1879" t="s">
        <v>1526</v>
      </c>
      <c r="J47" s="1880" t="s">
        <v>3107</v>
      </c>
      <c r="K47" s="1881" t="s">
        <v>1527</v>
      </c>
      <c r="L47" s="1882" t="e">
        <f ca="1">INDIRECT("'数据-取费表'!d"&amp;$G$1)</f>
        <v>#N/A</v>
      </c>
      <c r="M47" s="1837" t="str">
        <f>IF(ISNUMBER(FIND("住宅",C1)),"住宅","非住宅")</f>
        <v>非住宅</v>
      </c>
      <c r="O47" s="1883" t="s">
        <v>1040</v>
      </c>
      <c r="P47" s="1884" t="s">
        <v>1528</v>
      </c>
      <c r="Q47" s="1885" t="e">
        <f ca="1">C40+J29</f>
        <v>#N/A</v>
      </c>
      <c r="R47" s="1885" t="s">
        <v>1529</v>
      </c>
    </row>
    <row r="48" spans="1:18" s="1841" customFormat="1" ht="28.5" thickBot="1">
      <c r="A48" s="1359" t="s">
        <v>1135</v>
      </c>
      <c r="B48" s="344" t="s">
        <v>1401</v>
      </c>
      <c r="C48" s="2959" t="e">
        <f ca="1">C49+C53+C55</f>
        <v>#N/A</v>
      </c>
      <c r="D48" s="1361"/>
      <c r="E48" s="1362"/>
      <c r="F48" s="1180"/>
      <c r="G48" s="791"/>
      <c r="H48" s="792"/>
      <c r="I48" s="1886" t="s">
        <v>1530</v>
      </c>
      <c r="J48" s="1887" t="s">
        <v>3108</v>
      </c>
      <c r="K48" s="1888" t="s">
        <v>1531</v>
      </c>
      <c r="L48" s="1889" t="e">
        <f ca="1">INDIRECT("'数据-取费表'!f"&amp;$G$1)</f>
        <v>#N/A</v>
      </c>
      <c r="O48" s="1883" t="s">
        <v>1041</v>
      </c>
      <c r="P48" s="1884" t="s">
        <v>1532</v>
      </c>
      <c r="Q48" s="1885" t="e">
        <f ca="1">J60</f>
        <v>#N/A</v>
      </c>
      <c r="R48" s="1885" t="s">
        <v>1533</v>
      </c>
    </row>
    <row r="49" spans="1:18" s="1841" customFormat="1" ht="13.5" thickBot="1">
      <c r="A49" s="1193" t="s">
        <v>1136</v>
      </c>
      <c r="B49" s="1828" t="s">
        <v>1490</v>
      </c>
      <c r="C49" s="1363" t="e">
        <f ca="1">ROUND(F49*F51*F50*(1-F52)/10000,0)</f>
        <v>#N/A</v>
      </c>
      <c r="D49" s="1275" t="s">
        <v>3035</v>
      </c>
      <c r="E49" s="1829" t="s">
        <v>1491</v>
      </c>
      <c r="F49" s="1280"/>
      <c r="G49" s="1890"/>
      <c r="H49" s="792"/>
      <c r="I49" s="1886" t="s">
        <v>1534</v>
      </c>
      <c r="J49" s="1891">
        <v>2018</v>
      </c>
      <c r="K49" s="1888" t="s">
        <v>1535</v>
      </c>
      <c r="L49" s="1892"/>
      <c r="O49" s="1893" t="s">
        <v>1042</v>
      </c>
      <c r="P49" s="1884" t="s">
        <v>1536</v>
      </c>
      <c r="Q49" s="1885" t="e">
        <f ca="1">C29</f>
        <v>#N/A</v>
      </c>
      <c r="R49" s="1885" t="s">
        <v>1529</v>
      </c>
    </row>
    <row r="50" spans="1:18" s="1841" customFormat="1" ht="13.5" thickBot="1">
      <c r="A50" s="1194"/>
      <c r="B50" s="1197"/>
      <c r="C50" s="1367"/>
      <c r="D50" s="1171"/>
      <c r="E50" s="1276" t="s">
        <v>1406</v>
      </c>
      <c r="F50" s="1277" t="e">
        <f ca="1">F7</f>
        <v>#N/A</v>
      </c>
      <c r="H50" s="792"/>
      <c r="I50" s="1886" t="s">
        <v>1537</v>
      </c>
      <c r="J50" s="1894">
        <f>SUMPRODUCT((I63:I65=J47)*(J62:L62=J48)*(J63:L65))</f>
        <v>60</v>
      </c>
      <c r="K50" s="1888" t="s">
        <v>1538</v>
      </c>
      <c r="L50" s="1892"/>
      <c r="M50" s="1895"/>
      <c r="O50" s="1893" t="s">
        <v>1043</v>
      </c>
      <c r="P50" s="1884" t="s">
        <v>1539</v>
      </c>
      <c r="Q50" s="1896" t="e">
        <f ca="1">J58</f>
        <v>#N/A</v>
      </c>
      <c r="R50" s="1885"/>
    </row>
    <row r="51" spans="1:18" s="1841" customFormat="1" ht="13.5" thickBot="1">
      <c r="A51" s="1195"/>
      <c r="B51" s="1197"/>
      <c r="C51" s="1198"/>
      <c r="D51" s="1171"/>
      <c r="E51" s="1199" t="s">
        <v>1407</v>
      </c>
      <c r="F51" s="347" t="e">
        <f ca="1">F8</f>
        <v>#N/A</v>
      </c>
      <c r="I51" s="1897" t="s">
        <v>1540</v>
      </c>
      <c r="J51" s="1898">
        <f>IF(J49="",J50,J49+J50-YEAR('数据-取费表'!B2))</f>
        <v>60</v>
      </c>
      <c r="K51" s="1899" t="s">
        <v>1541</v>
      </c>
      <c r="L51" s="1900" t="e">
        <f ca="1">ROUND(-PV(INDIRECT("'数据-取费表'!h"&amp;$G$1),L48,(C39-C13*C76),0),0)</f>
        <v>#N/A</v>
      </c>
      <c r="M51" s="1901"/>
      <c r="O51" s="1893" t="s">
        <v>1044</v>
      </c>
      <c r="P51" s="1884" t="s">
        <v>1542</v>
      </c>
      <c r="Q51" s="1896">
        <f>J52</f>
        <v>0.09</v>
      </c>
      <c r="R51" s="1885"/>
    </row>
    <row r="52" spans="1:18" s="1841" customFormat="1" ht="13.5" thickBot="1">
      <c r="A52" s="1195"/>
      <c r="B52" s="1197"/>
      <c r="C52" s="1198"/>
      <c r="D52" s="1171"/>
      <c r="E52" s="1199" t="s">
        <v>1408</v>
      </c>
      <c r="F52" s="1274"/>
      <c r="I52" s="1902" t="s">
        <v>1543</v>
      </c>
      <c r="J52" s="1903">
        <v>0.09</v>
      </c>
      <c r="K52" s="1902" t="s">
        <v>1544</v>
      </c>
      <c r="L52" s="1903"/>
      <c r="O52" s="1893" t="s">
        <v>1045</v>
      </c>
      <c r="P52" s="1884" t="s">
        <v>1545</v>
      </c>
      <c r="Q52" s="1885" t="e">
        <f ca="1">J53</f>
        <v>#N/A</v>
      </c>
      <c r="R52" s="1885" t="s">
        <v>1546</v>
      </c>
    </row>
    <row r="53" spans="1:18" s="1841" customFormat="1" ht="24.75" thickBot="1">
      <c r="A53" s="1404" t="s">
        <v>1137</v>
      </c>
      <c r="B53" s="1830" t="s">
        <v>1409</v>
      </c>
      <c r="C53" s="360">
        <f ca="1">ROUND(IF(F53="押一",C49/12*F11,IF(F53="押二",C49/12*2*F11,IF(F53="押三",C49/12*3*F11,C54*F11))),0)</f>
        <v>0</v>
      </c>
      <c r="D53" s="1823" t="s">
        <v>3044</v>
      </c>
      <c r="E53" s="357" t="s">
        <v>1410</v>
      </c>
      <c r="F53" s="1365"/>
      <c r="I53" s="1904" t="s">
        <v>1547</v>
      </c>
      <c r="J53" s="1905" t="e">
        <f ca="1">IF(M47="住宅",J51,IF(D1="——",MIN(J51,L48),IF(D1="在建（套用方法）",MIN(J51,L48-'数据-取费表'!B24),IF(D1="土地（套用方法）",MIN(J51,L48-'数据-取费表'!B20)))))</f>
        <v>#N/A</v>
      </c>
      <c r="K53" s="3215" t="s">
        <v>1548</v>
      </c>
      <c r="L53" s="3216"/>
      <c r="O53" s="1883" t="s">
        <v>1046</v>
      </c>
      <c r="P53" s="1884" t="s">
        <v>1549</v>
      </c>
      <c r="Q53" s="1885" t="e">
        <f ca="1">Q47+Q48</f>
        <v>#N/A</v>
      </c>
      <c r="R53" s="1885" t="s">
        <v>1047</v>
      </c>
    </row>
    <row r="54" spans="1:18" s="1841" customFormat="1" ht="13.5" thickBot="1">
      <c r="A54" s="1405"/>
      <c r="B54" s="1824" t="s">
        <v>1388</v>
      </c>
      <c r="C54" s="1177"/>
      <c r="D54" s="1823"/>
      <c r="E54" s="2955"/>
      <c r="F54" s="1906"/>
      <c r="I54" s="19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8"/>
      <c r="K54" s="1908"/>
      <c r="L54" s="1908"/>
      <c r="M54" s="1890"/>
      <c r="O54" s="1868" t="s">
        <v>1550</v>
      </c>
      <c r="P54" s="1838"/>
      <c r="Q54" s="1838"/>
      <c r="R54" s="1838"/>
    </row>
    <row r="55" spans="1:18" s="1841" customFormat="1" ht="13.5" thickBot="1">
      <c r="A55" s="1332" t="s">
        <v>1075</v>
      </c>
      <c r="B55" s="1826" t="s">
        <v>1413</v>
      </c>
      <c r="C55" s="1333"/>
      <c r="D55" s="1823"/>
      <c r="E55" s="2955"/>
      <c r="F55" s="1906"/>
      <c r="I55" s="1909" t="s">
        <v>1551</v>
      </c>
      <c r="J55" s="1910" t="e">
        <f ca="1">ROUND(IF(J47="钢混",J57/J50,1-(1-2%)*(J50-J57)/J50),3)</f>
        <v>#N/A</v>
      </c>
      <c r="K55" s="1911" t="s">
        <v>1552</v>
      </c>
      <c r="L55" s="1912" t="s">
        <v>1553</v>
      </c>
      <c r="O55" s="1876" t="s">
        <v>1522</v>
      </c>
      <c r="P55" s="1877" t="s">
        <v>1523</v>
      </c>
      <c r="Q55" s="1878" t="s">
        <v>1524</v>
      </c>
      <c r="R55" s="1878" t="s">
        <v>1525</v>
      </c>
    </row>
    <row r="56" spans="1:18" s="1841" customFormat="1" ht="25.5" thickTop="1" thickBot="1">
      <c r="A56" s="1175">
        <v>2</v>
      </c>
      <c r="B56" s="1176" t="s">
        <v>1414</v>
      </c>
      <c r="C56" s="275" t="e">
        <f ca="1">C13</f>
        <v>#N/A</v>
      </c>
      <c r="D56" s="1913"/>
      <c r="E56" s="1914"/>
      <c r="F56" s="1906"/>
      <c r="I56" s="1915" t="s">
        <v>1554</v>
      </c>
      <c r="J56" s="3001" t="s">
        <v>3543</v>
      </c>
      <c r="K56" s="1886" t="s">
        <v>1555</v>
      </c>
      <c r="L56" s="1889" t="e">
        <f ca="1">IF(L48&lt;J51,"——",L48-J53)</f>
        <v>#N/A</v>
      </c>
      <c r="O56" s="1883" t="s">
        <v>1040</v>
      </c>
      <c r="P56" s="1884" t="s">
        <v>1528</v>
      </c>
      <c r="Q56" s="1885" t="e">
        <f ca="1">C40+J29</f>
        <v>#N/A</v>
      </c>
      <c r="R56" s="1885" t="s">
        <v>1529</v>
      </c>
    </row>
    <row r="57" spans="1:18" s="1841" customFormat="1" ht="24.75" thickBot="1">
      <c r="A57" s="1917"/>
      <c r="B57" s="1168" t="s">
        <v>1478</v>
      </c>
      <c r="C57" s="281" t="e">
        <f ca="1">C29</f>
        <v>#N/A</v>
      </c>
      <c r="D57" s="1918"/>
      <c r="E57" s="1919"/>
      <c r="F57" s="1920"/>
      <c r="I57" s="1921" t="s">
        <v>1556</v>
      </c>
      <c r="J57" s="1922" t="e">
        <f ca="1">IF(OR(M47="住宅",J51&lt;L48,J56="是"),"——",J51-L48)</f>
        <v>#N/A</v>
      </c>
      <c r="K57" s="1886" t="s">
        <v>1557</v>
      </c>
      <c r="L57" s="1889" t="e">
        <f ca="1">IF(L48&lt;J51,"——",IF(L55="比较法",L49,IF(L55="基准地价",L50,L51)))</f>
        <v>#N/A</v>
      </c>
      <c r="O57" s="1883" t="s">
        <v>1041</v>
      </c>
      <c r="P57" s="1884" t="s">
        <v>1558</v>
      </c>
      <c r="Q57" s="1885" t="e">
        <f ca="1">L60</f>
        <v>#N/A</v>
      </c>
      <c r="R57" s="1885" t="s">
        <v>1559</v>
      </c>
    </row>
    <row r="58" spans="1:18" s="1841" customFormat="1" ht="24.75" thickBot="1">
      <c r="A58" s="359" t="s">
        <v>1030</v>
      </c>
      <c r="B58" s="1176" t="s">
        <v>1424</v>
      </c>
      <c r="C58" s="360" t="e">
        <f ca="1">ROUND(C59+C64+C65+C66,0)</f>
        <v>#N/A</v>
      </c>
      <c r="D58" s="1178" t="s">
        <v>1425</v>
      </c>
      <c r="E58" s="1179"/>
      <c r="F58" s="1180"/>
      <c r="I58" s="1921" t="s">
        <v>1560</v>
      </c>
      <c r="J58" s="1923" t="e">
        <f ca="1">IF(J55&lt;0.4,0.4,J55)</f>
        <v>#N/A</v>
      </c>
      <c r="K58" s="1899" t="s">
        <v>1561</v>
      </c>
      <c r="L58" s="1889" t="e">
        <f ca="1">ROUND(POWER(1+L52,L47-L48)*(POWER(1+L52,L48)-1)/(POWER(1+L52,L47)-1),4)</f>
        <v>#N/A</v>
      </c>
      <c r="O58" s="1893" t="s">
        <v>1042</v>
      </c>
      <c r="P58" s="1884" t="s">
        <v>1562</v>
      </c>
      <c r="Q58" s="1885">
        <f>IF(L55="比较法",L49,IF(L55="基准地价",L50,0))</f>
        <v>0</v>
      </c>
      <c r="R58" s="1885" t="s">
        <v>1529</v>
      </c>
    </row>
    <row r="59" spans="1:18" s="1841" customFormat="1" ht="24.75" thickBot="1">
      <c r="A59" s="1200" t="s">
        <v>1035</v>
      </c>
      <c r="B59" s="1168" t="s">
        <v>1429</v>
      </c>
      <c r="C59" s="24" t="e">
        <f ca="1">ROUND(IF(项目基本情况!B11="自然人",C48*F59,C60+C61+C62),1)</f>
        <v>#N/A</v>
      </c>
      <c r="D59" s="1181" t="s">
        <v>1430</v>
      </c>
      <c r="E59" s="1182" t="s">
        <v>1431</v>
      </c>
      <c r="F59" s="367" t="str">
        <f ca="1">IF(项目基本情况!B11="企业","",IF(INDIRECT("'数据-取费表'!c"&amp;$G$1)="住宅",5%,IF(F49*F50*F51/12/(1+'数据-取费表'!C42)&gt;20000,12%,7%)))</f>
        <v/>
      </c>
      <c r="I59" s="1921" t="s">
        <v>1563</v>
      </c>
      <c r="J59" s="1922" t="e">
        <f ca="1">IF(OR(M47="住宅",J51&lt;L48,J56="是"),"——",ROUND(C29*J58,0))</f>
        <v>#N/A</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#N/A</v>
      </c>
      <c r="M59" s="1837" t="e">
        <f ca="1">ROUND(POWER(1+L52,L47-(J51+'数据-取费表'!B24))*(POWER(1+L52,(J51+'数据-取费表'!B24))-1)/(POWER(1+L52,L47)-1),4)</f>
        <v>#N/A</v>
      </c>
      <c r="N59" s="1837" t="e">
        <f ca="1">ROUND(POWER(1+L52,L47-(J51+'数据-取费表'!B20))*(POWER(1+L52,(J51+'数据-取费表'!B20))-1)/(POWER(1+L52,L47)-1),4)</f>
        <v>#N/A</v>
      </c>
      <c r="O59" s="1893" t="s">
        <v>1043</v>
      </c>
      <c r="P59" s="1884" t="s">
        <v>1564</v>
      </c>
      <c r="Q59" s="1896">
        <f>L52</f>
        <v>0</v>
      </c>
      <c r="R59" s="1885"/>
    </row>
    <row r="60" spans="1:18" s="1841" customFormat="1" ht="16.5" thickBot="1">
      <c r="A60" s="1200" t="s">
        <v>1034</v>
      </c>
      <c r="B60" s="1168" t="s">
        <v>1433</v>
      </c>
      <c r="C60" s="24" t="e">
        <f ca="1">IF(项目基本情况!B11="自然人","——",ROUND(C48*F60/(1+'数据-取费表'!C42),2))</f>
        <v>#N/A</v>
      </c>
      <c r="D60" s="1182" t="s">
        <v>1434</v>
      </c>
      <c r="E60" s="1168" t="s">
        <v>1422</v>
      </c>
      <c r="F60" s="376">
        <f t="shared" ref="F60:F66" si="0">F32</f>
        <v>5.5000000000000007E-2</v>
      </c>
      <c r="I60" s="1924" t="s">
        <v>1565</v>
      </c>
      <c r="J60" s="1925" t="e">
        <f ca="1">IF(OR(M47="住宅",J51&lt;L48,J56="是"),"0",ROUND(J59/(1+J52)^J53,0))</f>
        <v>#N/A</v>
      </c>
      <c r="K60" s="1926" t="s">
        <v>1566</v>
      </c>
      <c r="L60" s="1925" t="e">
        <f ca="1">IF(OR(M47="住宅",L48&lt;J51),0,ROUND(L57*(L58/L59-1),0))</f>
        <v>#N/A</v>
      </c>
      <c r="O60" s="1893" t="s">
        <v>1044</v>
      </c>
      <c r="P60" s="1884" t="s">
        <v>1567</v>
      </c>
      <c r="Q60" s="1885" t="e">
        <f ca="1">L58</f>
        <v>#N/A</v>
      </c>
      <c r="R60" s="1885" t="s">
        <v>1568</v>
      </c>
    </row>
    <row r="61" spans="1:18" s="1841" customFormat="1" ht="13.5" thickBot="1">
      <c r="A61" s="1200" t="s">
        <v>1492</v>
      </c>
      <c r="B61" s="1168" t="s">
        <v>1437</v>
      </c>
      <c r="C61" s="24" t="e">
        <f ca="1">IF(项目基本情况!B11="自然人","——",IF(D61="按租金收入计税",ROUND(C48*F61,2),IF(D61="按房产原值计税",ROUND(C57*F61*0.7,2),INDIRECT("'数据-取费表'!Aj"&amp;$G$1))))</f>
        <v>#N/A</v>
      </c>
      <c r="D61" s="1827" t="s">
        <v>1438</v>
      </c>
      <c r="E61" s="1168" t="s">
        <v>1422</v>
      </c>
      <c r="F61" s="366">
        <f t="shared" si="0"/>
        <v>0.12</v>
      </c>
      <c r="I61" s="1927"/>
      <c r="J61" s="1927"/>
      <c r="K61" s="1927"/>
      <c r="L61" s="1927"/>
      <c r="O61" s="1893" t="s">
        <v>1045</v>
      </c>
      <c r="P61" s="1884" t="str">
        <f>K59</f>
        <v>建筑物剩余耐用年限下的土地年期修正系数Kn</v>
      </c>
      <c r="Q61" s="1885" t="e">
        <f ca="1">L59</f>
        <v>#N/A</v>
      </c>
      <c r="R61" s="1885" t="s">
        <v>1569</v>
      </c>
    </row>
    <row r="62" spans="1:18" s="1841" customFormat="1" ht="13.5" thickBot="1">
      <c r="A62" s="1200" t="s">
        <v>1495</v>
      </c>
      <c r="B62" s="1167" t="s">
        <v>1441</v>
      </c>
      <c r="C62" s="25" t="e">
        <f ca="1">IF(项目基本情况!B11="自然人","——",ROUND(F62*F63/10000,2))</f>
        <v>#N/A</v>
      </c>
      <c r="D62" s="1183" t="s">
        <v>1442</v>
      </c>
      <c r="E62" s="1168" t="s">
        <v>1443</v>
      </c>
      <c r="F62" s="370">
        <f t="shared" si="0"/>
        <v>1.5</v>
      </c>
      <c r="I62" s="1928" t="s">
        <v>1570</v>
      </c>
      <c r="J62" s="1929" t="s">
        <v>1571</v>
      </c>
      <c r="K62" s="1929" t="s">
        <v>1572</v>
      </c>
      <c r="L62" s="1929" t="s">
        <v>1573</v>
      </c>
      <c r="M62" s="1930" t="s">
        <v>1574</v>
      </c>
      <c r="O62" s="1883" t="s">
        <v>1046</v>
      </c>
      <c r="P62" s="1884" t="s">
        <v>1549</v>
      </c>
      <c r="Q62" s="1885" t="e">
        <f ca="1">Q56+Q57</f>
        <v>#N/A</v>
      </c>
      <c r="R62" s="1885" t="s">
        <v>1047</v>
      </c>
    </row>
    <row r="63" spans="1:18" s="1841" customFormat="1" ht="13.5" thickBot="1">
      <c r="A63" s="371"/>
      <c r="B63" s="1174"/>
      <c r="C63" s="29"/>
      <c r="D63" s="1184"/>
      <c r="E63" s="1168" t="s">
        <v>1447</v>
      </c>
      <c r="F63" s="347" t="e">
        <f t="shared" ca="1" si="0"/>
        <v>#N/A</v>
      </c>
      <c r="I63" s="1928" t="s">
        <v>1576</v>
      </c>
      <c r="J63" s="1929">
        <v>70</v>
      </c>
      <c r="K63" s="1929">
        <v>50</v>
      </c>
      <c r="L63" s="1929">
        <v>80</v>
      </c>
      <c r="M63" s="1931">
        <v>0.02</v>
      </c>
      <c r="O63" s="1868" t="s">
        <v>1577</v>
      </c>
      <c r="P63" s="1838"/>
      <c r="Q63" s="1838"/>
      <c r="R63" s="1838"/>
    </row>
    <row r="64" spans="1:18" s="1841" customFormat="1" ht="13.5" thickBot="1">
      <c r="A64" s="1200" t="s">
        <v>1500</v>
      </c>
      <c r="B64" s="1168" t="s">
        <v>1449</v>
      </c>
      <c r="C64" s="24" t="e">
        <f ca="1">ROUND(C57*F64,1)</f>
        <v>#N/A</v>
      </c>
      <c r="D64" s="1182" t="s">
        <v>1482</v>
      </c>
      <c r="E64" s="1168" t="s">
        <v>1422</v>
      </c>
      <c r="F64" s="373" t="e">
        <f t="shared" ca="1" si="0"/>
        <v>#N/A</v>
      </c>
      <c r="I64" s="1928" t="s">
        <v>1578</v>
      </c>
      <c r="J64" s="1929">
        <v>50</v>
      </c>
      <c r="K64" s="1929">
        <v>35</v>
      </c>
      <c r="L64" s="1929">
        <v>60</v>
      </c>
      <c r="M64" s="1930">
        <v>0</v>
      </c>
      <c r="O64" s="1876" t="s">
        <v>1522</v>
      </c>
      <c r="P64" s="1877" t="s">
        <v>1523</v>
      </c>
      <c r="Q64" s="1878" t="s">
        <v>1524</v>
      </c>
      <c r="R64" s="1878" t="s">
        <v>1525</v>
      </c>
    </row>
    <row r="65" spans="1:18" s="1841" customFormat="1" ht="13.5" thickBot="1">
      <c r="A65" s="1200" t="s">
        <v>1503</v>
      </c>
      <c r="B65" s="1168" t="s">
        <v>1453</v>
      </c>
      <c r="C65" s="24" t="e">
        <f ca="1">ROUND(C56*F65,1)</f>
        <v>#N/A</v>
      </c>
      <c r="D65" s="1182" t="s">
        <v>1454</v>
      </c>
      <c r="E65" s="1168" t="s">
        <v>1422</v>
      </c>
      <c r="F65" s="375" t="e">
        <f t="shared" ca="1" si="0"/>
        <v>#N/A</v>
      </c>
      <c r="I65" s="1928" t="s">
        <v>1579</v>
      </c>
      <c r="J65" s="1929">
        <v>40</v>
      </c>
      <c r="K65" s="1929">
        <v>30</v>
      </c>
      <c r="L65" s="1929">
        <v>50</v>
      </c>
      <c r="M65" s="1931">
        <v>0.02</v>
      </c>
      <c r="O65" s="1883" t="s">
        <v>1040</v>
      </c>
      <c r="P65" s="1884" t="s">
        <v>1528</v>
      </c>
      <c r="Q65" s="1885" t="e">
        <f ca="1">C40+J29</f>
        <v>#N/A</v>
      </c>
      <c r="R65" s="1885" t="s">
        <v>1529</v>
      </c>
    </row>
    <row r="66" spans="1:18" s="1841" customFormat="1" ht="16.5" thickBot="1">
      <c r="A66" s="1200" t="s">
        <v>1504</v>
      </c>
      <c r="B66" s="1168" t="s">
        <v>1439</v>
      </c>
      <c r="C66" s="24" t="e">
        <f ca="1">ROUND(C48*F66,1)</f>
        <v>#N/A</v>
      </c>
      <c r="D66" s="1182" t="s">
        <v>1459</v>
      </c>
      <c r="E66" s="1168" t="s">
        <v>1422</v>
      </c>
      <c r="F66" s="356" t="e">
        <f t="shared" ca="1" si="0"/>
        <v>#N/A</v>
      </c>
      <c r="O66" s="1883" t="s">
        <v>1041</v>
      </c>
      <c r="P66" s="1884" t="s">
        <v>1558</v>
      </c>
      <c r="Q66" s="1885" t="e">
        <f ca="1">L60</f>
        <v>#N/A</v>
      </c>
      <c r="R66" s="1885" t="s">
        <v>1581</v>
      </c>
    </row>
    <row r="67" spans="1:18" s="1841" customFormat="1" ht="16.5" thickBot="1">
      <c r="A67" s="1175" t="s">
        <v>1031</v>
      </c>
      <c r="B67" s="1185" t="s">
        <v>1463</v>
      </c>
      <c r="C67" s="360" t="e">
        <f ca="1">C48-C58</f>
        <v>#N/A</v>
      </c>
      <c r="D67" s="1181" t="s">
        <v>1464</v>
      </c>
      <c r="E67" s="1186"/>
      <c r="F67" s="1187"/>
      <c r="O67" s="1893" t="s">
        <v>1042</v>
      </c>
      <c r="P67" s="1884" t="s">
        <v>1562</v>
      </c>
      <c r="Q67" s="1932" t="e">
        <f ca="1">L51</f>
        <v>#N/A</v>
      </c>
      <c r="R67" s="1885" t="s">
        <v>1582</v>
      </c>
    </row>
    <row r="68" spans="1:18" s="1841" customFormat="1" ht="16.5" thickBot="1">
      <c r="A68" s="1165" t="s">
        <v>1032</v>
      </c>
      <c r="B68" s="1166" t="s">
        <v>1485</v>
      </c>
      <c r="C68" s="345" t="e">
        <f ca="1">ROUND(C67*(1-((1+F70)/(1+F68))^F69)/(F68-F70),0)</f>
        <v>#N/A</v>
      </c>
      <c r="D68" s="1183" t="s">
        <v>1469</v>
      </c>
      <c r="E68" s="1168" t="s">
        <v>1470</v>
      </c>
      <c r="F68" s="356" t="e">
        <f ca="1">F40</f>
        <v>#N/A</v>
      </c>
      <c r="O68" s="1893" t="s">
        <v>1043</v>
      </c>
      <c r="P68" s="1933" t="s">
        <v>1583</v>
      </c>
      <c r="Q68" s="1885" t="e">
        <f ca="1">ROUND(Q69-Q70*Q71,0)</f>
        <v>#N/A</v>
      </c>
      <c r="R68" s="1885" t="s">
        <v>1051</v>
      </c>
    </row>
    <row r="69" spans="1:18" s="1841" customFormat="1" ht="13.5" thickBot="1">
      <c r="A69" s="1169"/>
      <c r="B69" s="1170"/>
      <c r="C69" s="350"/>
      <c r="D69" s="1188" t="s">
        <v>1473</v>
      </c>
      <c r="E69" s="1168" t="s">
        <v>1474</v>
      </c>
      <c r="F69" s="378" t="e">
        <f ca="1">F41</f>
        <v>#N/A</v>
      </c>
      <c r="O69" s="1893" t="s">
        <v>1048</v>
      </c>
      <c r="P69" s="1933" t="s">
        <v>1584</v>
      </c>
      <c r="Q69" s="1885" t="e">
        <f ca="1">C39</f>
        <v>#N/A</v>
      </c>
      <c r="R69" s="1885" t="s">
        <v>1529</v>
      </c>
    </row>
    <row r="70" spans="1:18" s="1841" customFormat="1" ht="13.5" thickBot="1">
      <c r="A70" s="1172"/>
      <c r="B70" s="1173"/>
      <c r="C70" s="354"/>
      <c r="D70" s="1184"/>
      <c r="E70" s="1168" t="s">
        <v>1477</v>
      </c>
      <c r="F70" s="1274"/>
      <c r="O70" s="1893" t="s">
        <v>1049</v>
      </c>
      <c r="P70" s="1933" t="s">
        <v>1585</v>
      </c>
      <c r="Q70" s="1885" t="e">
        <f ca="1">C13</f>
        <v>#N/A</v>
      </c>
      <c r="R70" s="1885" t="s">
        <v>1529</v>
      </c>
    </row>
    <row r="71" spans="1:18" s="1841" customFormat="1" ht="13.5" thickBot="1">
      <c r="A71" s="1189" t="s">
        <v>1033</v>
      </c>
      <c r="B71" s="1190" t="s">
        <v>1487</v>
      </c>
      <c r="C71" s="381" t="e">
        <f ca="1">ROUND(C68*10000/F71,0)</f>
        <v>#N/A</v>
      </c>
      <c r="D71" s="1191" t="s">
        <v>1488</v>
      </c>
      <c r="E71" s="1192" t="s">
        <v>1489</v>
      </c>
      <c r="F71" s="384" t="e">
        <f ca="1">F43</f>
        <v>#N/A</v>
      </c>
      <c r="O71" s="1893" t="s">
        <v>1050</v>
      </c>
      <c r="P71" s="1933" t="s">
        <v>1586</v>
      </c>
      <c r="Q71" s="1896" t="e">
        <f ca="1">C76</f>
        <v>#N/A</v>
      </c>
      <c r="R71" s="1885"/>
    </row>
    <row r="72" spans="1:18" s="1841" customFormat="1" ht="13.5" thickBot="1">
      <c r="B72" s="795"/>
      <c r="C72" s="795"/>
      <c r="O72" s="1893" t="s">
        <v>1044</v>
      </c>
      <c r="P72" s="1884" t="s">
        <v>1564</v>
      </c>
      <c r="Q72" s="1896">
        <f>L52</f>
        <v>0</v>
      </c>
      <c r="R72" s="1885"/>
    </row>
    <row r="73" spans="1:18" ht="16.5" thickBot="1">
      <c r="A73" s="1841"/>
      <c r="B73" s="795"/>
      <c r="C73" s="795"/>
      <c r="D73" s="1841"/>
      <c r="E73" s="1841"/>
      <c r="F73" s="1841"/>
      <c r="O73" s="1893" t="s">
        <v>1045</v>
      </c>
      <c r="P73" s="1884" t="s">
        <v>1567</v>
      </c>
      <c r="Q73" s="1885" t="e">
        <f ca="1">L58</f>
        <v>#N/A</v>
      </c>
      <c r="R73" s="1885" t="s">
        <v>1568</v>
      </c>
    </row>
    <row r="74" spans="1:18" ht="13.5" thickBot="1">
      <c r="A74" s="1841"/>
      <c r="B74" s="316" t="s">
        <v>1587</v>
      </c>
      <c r="C74" s="1935"/>
      <c r="D74" s="1841"/>
      <c r="E74" s="1841"/>
      <c r="F74" s="1841"/>
      <c r="O74" s="1893" t="s">
        <v>1052</v>
      </c>
      <c r="P74" s="1884" t="str">
        <f>K59</f>
        <v>建筑物剩余耐用年限下的土地年期修正系数Kn</v>
      </c>
      <c r="Q74" s="1885" t="e">
        <f ca="1">L59</f>
        <v>#N/A</v>
      </c>
      <c r="R74" s="1885" t="s">
        <v>1569</v>
      </c>
    </row>
    <row r="75" spans="1:18" ht="13.5" thickBot="1">
      <c r="A75" s="1841"/>
      <c r="B75" s="385" t="s">
        <v>1506</v>
      </c>
      <c r="C75" s="386" t="e">
        <f ca="1">ROUND(C13*C76,0)</f>
        <v>#N/A</v>
      </c>
      <c r="D75" s="1841"/>
      <c r="E75" s="1841"/>
      <c r="F75" s="1841"/>
      <c r="K75" s="1867"/>
      <c r="L75" s="1841"/>
      <c r="O75" s="1883" t="s">
        <v>1046</v>
      </c>
      <c r="P75" s="1884" t="s">
        <v>1549</v>
      </c>
      <c r="Q75" s="1885" t="e">
        <f ca="1">Q65+Q66</f>
        <v>#N/A</v>
      </c>
      <c r="R75" s="1885" t="s">
        <v>1047</v>
      </c>
    </row>
    <row r="76" spans="1:18">
      <c r="B76" s="387" t="s">
        <v>1507</v>
      </c>
      <c r="C76" s="388" t="e">
        <f ca="1">INDIRECT("'数据-取费表'!j"&amp;$G$1)</f>
        <v>#N/A</v>
      </c>
      <c r="I76" s="1841"/>
      <c r="J76" s="1841"/>
      <c r="K76" s="1867"/>
      <c r="L76" s="1841"/>
    </row>
    <row r="77" spans="1:18">
      <c r="B77" s="389" t="s">
        <v>1508</v>
      </c>
      <c r="C77" s="390"/>
      <c r="I77" s="1841"/>
      <c r="J77" s="1841"/>
      <c r="K77" s="1867"/>
      <c r="L77" s="1841"/>
    </row>
    <row r="78" spans="1:18">
      <c r="B78" s="313" t="s">
        <v>1509</v>
      </c>
      <c r="C78" s="391"/>
    </row>
    <row r="79" spans="1:18">
      <c r="B79" s="385" t="s">
        <v>1510</v>
      </c>
      <c r="C79" s="317" t="e">
        <f ca="1">1-C80</f>
        <v>#N/A</v>
      </c>
    </row>
    <row r="80" spans="1:18">
      <c r="B80" s="385" t="s">
        <v>1511</v>
      </c>
      <c r="C80" s="317" t="e">
        <f ca="1">ROUND(C75/C39,3)</f>
        <v>#N/A</v>
      </c>
    </row>
    <row r="81" spans="2:3">
      <c r="B81" s="313" t="s">
        <v>1512</v>
      </c>
      <c r="C81" s="281"/>
    </row>
    <row r="82" spans="2:3">
      <c r="B82" s="316" t="s">
        <v>1513</v>
      </c>
      <c r="C82" s="318" t="e">
        <f ca="1">1-C83</f>
        <v>#N/A</v>
      </c>
    </row>
    <row r="83" spans="2:3">
      <c r="B83" s="316" t="s">
        <v>1514</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2" priority="4">
      <formula>$L$48&gt;$J$51</formula>
    </cfRule>
  </conditionalFormatting>
  <conditionalFormatting sqref="I55 I60">
    <cfRule type="expression" dxfId="111" priority="5">
      <formula>$J$51&gt;$L$48</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2532</v>
      </c>
      <c r="B1" s="2669" t="s">
        <v>2706</v>
      </c>
      <c r="C1" s="1619" t="s">
        <v>2534</v>
      </c>
      <c r="D1" s="1620"/>
      <c r="E1" s="1629"/>
      <c r="F1" s="2584"/>
      <c r="G1" s="1630" t="s">
        <v>2647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2331</v>
      </c>
      <c r="B2" s="1417" t="e">
        <f ca="1">IF(C2="——",ROUND(C43*D3/10000,0),ROUND(C43*D3/10000,0)-D2)</f>
        <v>#DIV/0!</v>
      </c>
      <c r="C2" s="2586"/>
      <c r="D2" s="1123" t="e">
        <f ca="1">SUMIF(INDIRECT("'"&amp;F2&amp;"'"&amp;"!A:A"),"承租人权益价值",INDIRECT("'"&amp;F2&amp;"'"&amp;"!c:c"))</f>
        <v>#REF!</v>
      </c>
      <c r="E2" s="2587" t="s">
        <v>2332</v>
      </c>
      <c r="F2" s="2588"/>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2333</v>
      </c>
      <c r="B3" s="608" t="e">
        <f ca="1">IF(C2="——",C43,ROUND(B2*10000/D3,0))</f>
        <v>#DIV/0!</v>
      </c>
      <c r="C3" s="399" t="s">
        <v>2648</v>
      </c>
      <c r="D3" s="398">
        <f>IF(D1="",'数据-汇总表'!E3,SUMIF('数据-汇总表'!$C19:$C33,D1,'数据-汇总表'!$E19:$E33))</f>
        <v>14974.55</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2649</v>
      </c>
      <c r="B4" s="401"/>
      <c r="C4" s="3235" t="s">
        <v>2650</v>
      </c>
      <c r="D4" s="3236"/>
      <c r="E4" s="3237" t="s">
        <v>2651</v>
      </c>
      <c r="F4" s="3238"/>
      <c r="G4" s="3235" t="s">
        <v>2652</v>
      </c>
      <c r="H4" s="3236"/>
      <c r="I4" s="3235" t="s">
        <v>2653</v>
      </c>
      <c r="J4" s="3236"/>
      <c r="K4" s="609" t="s">
        <v>2654</v>
      </c>
      <c r="L4" s="1129"/>
      <c r="M4" s="1130"/>
      <c r="N4" s="1130"/>
      <c r="O4" s="1130"/>
      <c r="P4" s="3294" t="s">
        <v>2655</v>
      </c>
      <c r="Q4" s="3295"/>
      <c r="R4" s="3298" t="s">
        <v>2651</v>
      </c>
      <c r="S4" s="3299"/>
      <c r="T4" s="3298" t="s">
        <v>2652</v>
      </c>
      <c r="U4" s="3299"/>
      <c r="V4" s="3252" t="s">
        <v>2653</v>
      </c>
      <c r="W4" s="3252"/>
      <c r="X4" s="1812"/>
      <c r="Y4" s="3298" t="s">
        <v>2655</v>
      </c>
      <c r="Z4" s="3299"/>
      <c r="AA4" s="3293" t="s">
        <v>2651</v>
      </c>
      <c r="AB4" s="3265" t="s">
        <v>2652</v>
      </c>
      <c r="AC4" s="3293" t="s">
        <v>2653</v>
      </c>
    </row>
    <row r="5" spans="1:29" ht="15">
      <c r="A5" s="403"/>
      <c r="B5" s="404"/>
      <c r="C5" s="3261" t="s">
        <v>2546</v>
      </c>
      <c r="D5" s="3256"/>
      <c r="E5" s="3300" t="s">
        <v>2547</v>
      </c>
      <c r="F5" s="3268"/>
      <c r="G5" s="3261" t="s">
        <v>2548</v>
      </c>
      <c r="H5" s="3256"/>
      <c r="I5" s="3261" t="s">
        <v>2549</v>
      </c>
      <c r="J5" s="3256"/>
      <c r="K5" s="609"/>
      <c r="L5" s="1129"/>
      <c r="M5" s="1130"/>
      <c r="N5" s="1130"/>
      <c r="O5" s="1130"/>
      <c r="P5" s="3296"/>
      <c r="Q5" s="3242"/>
      <c r="R5" s="3247"/>
      <c r="S5" s="3248"/>
      <c r="T5" s="3247"/>
      <c r="U5" s="3248"/>
      <c r="V5" s="3252"/>
      <c r="W5" s="3252"/>
      <c r="X5" s="1812"/>
      <c r="Y5" s="3247"/>
      <c r="Z5" s="3248"/>
      <c r="AA5" s="3265"/>
      <c r="AB5" s="3265"/>
      <c r="AC5" s="3265"/>
    </row>
    <row r="6" spans="1:29" ht="15.75" thickBot="1">
      <c r="A6" s="405"/>
      <c r="B6" s="406"/>
      <c r="C6" s="3253" t="s">
        <v>2550</v>
      </c>
      <c r="D6" s="3254"/>
      <c r="E6" s="3262" t="s">
        <v>2550</v>
      </c>
      <c r="F6" s="3263"/>
      <c r="G6" s="3253" t="s">
        <v>2550</v>
      </c>
      <c r="H6" s="3254"/>
      <c r="I6" s="3253" t="s">
        <v>2550</v>
      </c>
      <c r="J6" s="3254"/>
      <c r="K6" s="609" t="s">
        <v>2551</v>
      </c>
      <c r="L6" s="1129"/>
      <c r="M6" s="1130"/>
      <c r="N6" s="1130"/>
      <c r="O6" s="1130"/>
      <c r="P6" s="3297"/>
      <c r="Q6" s="3244"/>
      <c r="R6" s="3247"/>
      <c r="S6" s="3248"/>
      <c r="T6" s="3249"/>
      <c r="U6" s="3250"/>
      <c r="V6" s="3252"/>
      <c r="W6" s="3252"/>
      <c r="X6" s="1812"/>
      <c r="Y6" s="3249"/>
      <c r="Z6" s="3250"/>
      <c r="AA6" s="3266"/>
      <c r="AB6" s="3266"/>
      <c r="AC6" s="3266"/>
    </row>
    <row r="7" spans="1:29" s="116" customFormat="1" ht="15.75" thickBot="1">
      <c r="A7" s="407" t="s">
        <v>2552</v>
      </c>
      <c r="B7" s="408"/>
      <c r="C7" s="409">
        <f>'数据-取费表'!B2</f>
        <v>43252</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59" t="s">
        <v>2553</v>
      </c>
      <c r="Q7" s="3260"/>
      <c r="R7" s="769" t="s">
        <v>17</v>
      </c>
      <c r="S7" s="770">
        <f t="shared" ref="S7:S15" si="0">F7</f>
        <v>0</v>
      </c>
      <c r="T7" s="769" t="s">
        <v>17</v>
      </c>
      <c r="U7" s="770">
        <f t="shared" ref="U7:U15" si="1">H7</f>
        <v>0</v>
      </c>
      <c r="V7" s="769" t="s">
        <v>17</v>
      </c>
      <c r="W7" s="770">
        <f t="shared" ref="W7:W15" si="2">J7</f>
        <v>0</v>
      </c>
      <c r="X7" s="771"/>
      <c r="Y7" s="3259" t="s">
        <v>2553</v>
      </c>
      <c r="Z7" s="3258"/>
      <c r="AA7" s="772" t="e">
        <f>D7/F7</f>
        <v>#DIV/0!</v>
      </c>
      <c r="AB7" s="772" t="e">
        <f>D7/H7</f>
        <v>#DIV/0!</v>
      </c>
      <c r="AC7" s="772" t="e">
        <f>D7/J7</f>
        <v>#DIV/0!</v>
      </c>
    </row>
    <row r="8" spans="1:29" s="116" customFormat="1" ht="15.75" thickBot="1">
      <c r="A8" s="407" t="s">
        <v>2554</v>
      </c>
      <c r="B8" s="408"/>
      <c r="C8" s="413" t="s">
        <v>2555</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59" t="s">
        <v>2556</v>
      </c>
      <c r="Q8" s="3258"/>
      <c r="R8" s="769" t="s">
        <v>17</v>
      </c>
      <c r="S8" s="770">
        <f t="shared" si="0"/>
        <v>0</v>
      </c>
      <c r="T8" s="769" t="s">
        <v>17</v>
      </c>
      <c r="U8" s="770">
        <f t="shared" si="1"/>
        <v>0</v>
      </c>
      <c r="V8" s="769" t="s">
        <v>17</v>
      </c>
      <c r="W8" s="770">
        <f t="shared" si="2"/>
        <v>0</v>
      </c>
      <c r="X8" s="771"/>
      <c r="Y8" s="3259" t="s">
        <v>2556</v>
      </c>
      <c r="Z8" s="3258"/>
      <c r="AA8" s="772" t="e">
        <f t="shared" ref="AA8:AA40" si="3">D8/F8</f>
        <v>#DIV/0!</v>
      </c>
      <c r="AB8" s="772" t="e">
        <f t="shared" ref="AB8:AB40" si="4">D8/H8</f>
        <v>#DIV/0!</v>
      </c>
      <c r="AC8" s="772" t="e">
        <f t="shared" ref="AC8:AC40" si="5">D8/J8</f>
        <v>#DIV/0!</v>
      </c>
    </row>
    <row r="9" spans="1:29" s="116" customFormat="1">
      <c r="A9" s="414" t="s">
        <v>2557</v>
      </c>
      <c r="B9" s="71" t="s">
        <v>2558</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218" t="s">
        <v>2559</v>
      </c>
      <c r="Q9" s="1794" t="str">
        <f t="shared" ref="Q9:Q15" si="6">B9</f>
        <v>用途</v>
      </c>
      <c r="R9" s="769" t="s">
        <v>17</v>
      </c>
      <c r="S9" s="770">
        <f t="shared" si="0"/>
        <v>100</v>
      </c>
      <c r="T9" s="769" t="s">
        <v>17</v>
      </c>
      <c r="U9" s="770">
        <f t="shared" si="1"/>
        <v>100</v>
      </c>
      <c r="V9" s="769" t="s">
        <v>17</v>
      </c>
      <c r="W9" s="770">
        <f t="shared" si="2"/>
        <v>100</v>
      </c>
      <c r="X9" s="771"/>
      <c r="Y9" s="3052" t="s">
        <v>2560</v>
      </c>
      <c r="Z9" s="55" t="str">
        <f t="shared" ref="Z9:Z15" si="7">Q9</f>
        <v>用途</v>
      </c>
      <c r="AA9" s="772">
        <f t="shared" si="3"/>
        <v>1</v>
      </c>
      <c r="AB9" s="772">
        <f t="shared" si="4"/>
        <v>1</v>
      </c>
      <c r="AC9" s="772">
        <f t="shared" si="5"/>
        <v>1</v>
      </c>
    </row>
    <row r="10" spans="1:29" s="426" customFormat="1" ht="27">
      <c r="A10" s="420"/>
      <c r="B10" s="421" t="s">
        <v>2561</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218"/>
      <c r="Q10" s="1794" t="str">
        <f t="shared" si="6"/>
        <v>土地使用年限（年）</v>
      </c>
      <c r="R10" s="769" t="s">
        <v>17</v>
      </c>
      <c r="S10" s="770">
        <f t="shared" si="0"/>
        <v>100</v>
      </c>
      <c r="T10" s="769" t="s">
        <v>17</v>
      </c>
      <c r="U10" s="770">
        <f t="shared" si="1"/>
        <v>100</v>
      </c>
      <c r="V10" s="769" t="s">
        <v>17</v>
      </c>
      <c r="W10" s="770">
        <f t="shared" si="2"/>
        <v>100</v>
      </c>
      <c r="X10" s="771"/>
      <c r="Y10" s="3052"/>
      <c r="Z10" s="55" t="str">
        <f t="shared" si="7"/>
        <v>土地使用年限（年）</v>
      </c>
      <c r="AA10" s="772">
        <f t="shared" si="3"/>
        <v>1</v>
      </c>
      <c r="AB10" s="772">
        <f t="shared" si="4"/>
        <v>1</v>
      </c>
      <c r="AC10" s="772">
        <f t="shared" si="5"/>
        <v>1</v>
      </c>
    </row>
    <row r="11" spans="1:29" ht="15">
      <c r="A11" s="427"/>
      <c r="B11" s="421" t="s">
        <v>2562</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218"/>
      <c r="Q11" s="1794" t="str">
        <f t="shared" si="6"/>
        <v>容积率</v>
      </c>
      <c r="R11" s="769" t="s">
        <v>17</v>
      </c>
      <c r="S11" s="770" t="e">
        <f t="shared" si="0"/>
        <v>#N/A</v>
      </c>
      <c r="T11" s="769" t="s">
        <v>17</v>
      </c>
      <c r="U11" s="770" t="e">
        <f t="shared" si="1"/>
        <v>#N/A</v>
      </c>
      <c r="V11" s="769" t="s">
        <v>17</v>
      </c>
      <c r="W11" s="770" t="e">
        <f t="shared" si="2"/>
        <v>#N/A</v>
      </c>
      <c r="X11" s="771"/>
      <c r="Y11" s="3052"/>
      <c r="Z11" s="55" t="str">
        <f t="shared" si="7"/>
        <v>容积率</v>
      </c>
      <c r="AA11" s="772" t="e">
        <f t="shared" si="3"/>
        <v>#N/A</v>
      </c>
      <c r="AB11" s="772" t="e">
        <f t="shared" si="4"/>
        <v>#N/A</v>
      </c>
      <c r="AC11" s="772" t="e">
        <f t="shared" si="5"/>
        <v>#N/A</v>
      </c>
    </row>
    <row r="12" spans="1:29" s="116" customFormat="1" ht="15">
      <c r="A12" s="430"/>
      <c r="B12" s="2600">
        <v>111</v>
      </c>
      <c r="C12" s="431"/>
      <c r="D12" s="432">
        <v>100</v>
      </c>
      <c r="E12" s="433"/>
      <c r="F12" s="135">
        <f>SUMIF(64:64,E12,65:65)-SUMIF(64:64,C12,65:65)+100</f>
        <v>100</v>
      </c>
      <c r="G12" s="2692"/>
      <c r="H12" s="135">
        <f>SUMIF(64:64,G12,65:65)-SUMIF(64:64,C12,65:65)+100</f>
        <v>100</v>
      </c>
      <c r="I12" s="468"/>
      <c r="J12" s="135">
        <f>SUMIF(64:64,I12,65:65)-SUMIF(64:64,C12,65:65)+100</f>
        <v>100</v>
      </c>
      <c r="K12" s="612"/>
      <c r="L12" s="1131"/>
      <c r="M12" s="1132"/>
      <c r="N12" s="1132"/>
      <c r="O12" s="1133"/>
      <c r="P12" s="3218"/>
      <c r="Q12" s="1794">
        <f t="shared" si="6"/>
        <v>111</v>
      </c>
      <c r="R12" s="769" t="s">
        <v>17</v>
      </c>
      <c r="S12" s="770">
        <f t="shared" si="0"/>
        <v>100</v>
      </c>
      <c r="T12" s="769" t="s">
        <v>17</v>
      </c>
      <c r="U12" s="770">
        <f t="shared" si="1"/>
        <v>100</v>
      </c>
      <c r="V12" s="769" t="s">
        <v>17</v>
      </c>
      <c r="W12" s="770">
        <f t="shared" si="2"/>
        <v>100</v>
      </c>
      <c r="X12" s="771"/>
      <c r="Y12" s="3052"/>
      <c r="Z12" s="55">
        <f t="shared" si="7"/>
        <v>111</v>
      </c>
      <c r="AA12" s="772">
        <f>D12/F12</f>
        <v>1</v>
      </c>
      <c r="AB12" s="772">
        <f>D12/H12</f>
        <v>1</v>
      </c>
      <c r="AC12" s="772">
        <f>D12/J12</f>
        <v>1</v>
      </c>
    </row>
    <row r="13" spans="1:29" ht="15">
      <c r="A13" s="427"/>
      <c r="B13" s="2600">
        <v>111</v>
      </c>
      <c r="C13" s="433"/>
      <c r="D13" s="434">
        <v>100</v>
      </c>
      <c r="E13" s="433"/>
      <c r="F13" s="135">
        <f>SUMIF(66:66,E13,67:67)-SUMIF(66:66,C13,67:67)+100</f>
        <v>100</v>
      </c>
      <c r="G13" s="2692"/>
      <c r="H13" s="434">
        <f>SUMIF(66:66,G13,67:67)-SUMIF(66:66,C13,67:67)+100</f>
        <v>100</v>
      </c>
      <c r="I13" s="468"/>
      <c r="J13" s="434">
        <f>SUMIF(66:66,I13,67:67)-SUMIF(66:66,C13,67:67)+100</f>
        <v>100</v>
      </c>
      <c r="K13" s="612"/>
      <c r="L13" s="1139"/>
      <c r="M13" s="1130"/>
      <c r="N13" s="1130"/>
      <c r="O13" s="1138"/>
      <c r="P13" s="3218"/>
      <c r="Q13" s="1794">
        <f t="shared" si="6"/>
        <v>111</v>
      </c>
      <c r="R13" s="769" t="s">
        <v>17</v>
      </c>
      <c r="S13" s="770">
        <f t="shared" si="0"/>
        <v>100</v>
      </c>
      <c r="T13" s="769" t="s">
        <v>17</v>
      </c>
      <c r="U13" s="770">
        <f t="shared" si="1"/>
        <v>100</v>
      </c>
      <c r="V13" s="769" t="s">
        <v>17</v>
      </c>
      <c r="W13" s="770">
        <f t="shared" si="2"/>
        <v>100</v>
      </c>
      <c r="X13" s="771"/>
      <c r="Y13" s="3052"/>
      <c r="Z13" s="55">
        <f t="shared" si="7"/>
        <v>111</v>
      </c>
      <c r="AA13" s="772">
        <f t="shared" si="3"/>
        <v>1</v>
      </c>
      <c r="AB13" s="772">
        <f t="shared" si="4"/>
        <v>1</v>
      </c>
      <c r="AC13" s="772">
        <f t="shared" si="5"/>
        <v>1</v>
      </c>
    </row>
    <row r="14" spans="1:29" ht="15.75" thickBot="1">
      <c r="A14" s="435"/>
      <c r="B14" s="2602">
        <v>111</v>
      </c>
      <c r="C14" s="436"/>
      <c r="D14" s="437">
        <v>100</v>
      </c>
      <c r="E14" s="436"/>
      <c r="F14" s="437">
        <f>SUMIF(68:68,E14,69:69)-SUMIF(68:68,C14,69:69)+100</f>
        <v>100</v>
      </c>
      <c r="G14" s="2692"/>
      <c r="H14" s="437">
        <f>SUMIF(68:68,G14,69:69)-SUMIF(68:68,C14,69:69)+100</f>
        <v>100</v>
      </c>
      <c r="I14" s="468"/>
      <c r="J14" s="437">
        <f>SUMIF(68:68,I14,69:69)-SUMIF(68:68,C14,69:69)+100</f>
        <v>100</v>
      </c>
      <c r="K14" s="612"/>
      <c r="L14" s="1139"/>
      <c r="M14" s="1130"/>
      <c r="N14" s="1130"/>
      <c r="O14" s="1138"/>
      <c r="P14" s="3218"/>
      <c r="Q14" s="1794">
        <f t="shared" si="6"/>
        <v>111</v>
      </c>
      <c r="R14" s="769" t="s">
        <v>17</v>
      </c>
      <c r="S14" s="770">
        <f t="shared" si="0"/>
        <v>100</v>
      </c>
      <c r="T14" s="769" t="s">
        <v>17</v>
      </c>
      <c r="U14" s="770">
        <f t="shared" si="1"/>
        <v>100</v>
      </c>
      <c r="V14" s="769" t="s">
        <v>17</v>
      </c>
      <c r="W14" s="770">
        <f t="shared" si="2"/>
        <v>100</v>
      </c>
      <c r="X14" s="771"/>
      <c r="Y14" s="3052"/>
      <c r="Z14" s="55">
        <f t="shared" si="7"/>
        <v>111</v>
      </c>
      <c r="AA14" s="772">
        <f t="shared" si="3"/>
        <v>1</v>
      </c>
      <c r="AB14" s="772">
        <f t="shared" si="4"/>
        <v>1</v>
      </c>
      <c r="AC14" s="772">
        <f t="shared" si="5"/>
        <v>1</v>
      </c>
    </row>
    <row r="15" spans="1:29" ht="57">
      <c r="A15" s="439" t="s">
        <v>2563</v>
      </c>
      <c r="B15" s="69" t="s">
        <v>2707</v>
      </c>
      <c r="C15" s="2693"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25" t="s">
        <v>2564</v>
      </c>
      <c r="Q15" s="1809" t="str">
        <f t="shared" si="6"/>
        <v>产业集聚程度</v>
      </c>
      <c r="R15" s="773" t="s">
        <v>17</v>
      </c>
      <c r="S15" s="774">
        <f t="shared" si="0"/>
        <v>100</v>
      </c>
      <c r="T15" s="773" t="s">
        <v>17</v>
      </c>
      <c r="U15" s="774">
        <f t="shared" si="1"/>
        <v>100</v>
      </c>
      <c r="V15" s="773" t="s">
        <v>17</v>
      </c>
      <c r="W15" s="774">
        <f t="shared" si="2"/>
        <v>100</v>
      </c>
      <c r="X15" s="1812"/>
      <c r="Y15" s="3225" t="s">
        <v>2564</v>
      </c>
      <c r="Z15" s="1813" t="str">
        <f t="shared" si="7"/>
        <v>产业集聚程度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8"/>
      <c r="P16" s="3226"/>
      <c r="Q16" s="1809"/>
      <c r="R16" s="773"/>
      <c r="S16" s="774"/>
      <c r="T16" s="773"/>
      <c r="U16" s="774"/>
      <c r="V16" s="773"/>
      <c r="W16" s="774"/>
      <c r="X16" s="1812"/>
      <c r="Y16" s="3226"/>
      <c r="Z16" s="1813"/>
      <c r="AA16" s="1810">
        <v>1</v>
      </c>
      <c r="AB16" s="1810">
        <v>1</v>
      </c>
      <c r="AC16" s="1810">
        <v>1</v>
      </c>
    </row>
    <row r="17" spans="1:29" ht="85.5">
      <c r="A17" s="427"/>
      <c r="B17" s="450" t="s">
        <v>2100</v>
      </c>
      <c r="C17" s="2607"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26"/>
      <c r="Q17" s="1809" t="str">
        <f>B17</f>
        <v>交通便捷度</v>
      </c>
      <c r="R17" s="773" t="s">
        <v>17</v>
      </c>
      <c r="S17" s="774">
        <f>F17</f>
        <v>100</v>
      </c>
      <c r="T17" s="773" t="s">
        <v>17</v>
      </c>
      <c r="U17" s="774">
        <f>H17</f>
        <v>100</v>
      </c>
      <c r="V17" s="773" t="s">
        <v>17</v>
      </c>
      <c r="W17" s="774">
        <f>J17</f>
        <v>100</v>
      </c>
      <c r="X17" s="1812"/>
      <c r="Y17" s="3226"/>
      <c r="Z17" s="1813" t="str">
        <f>Q17</f>
        <v>交通便捷度</v>
      </c>
      <c r="AA17" s="1810">
        <f t="shared" si="3"/>
        <v>1</v>
      </c>
      <c r="AB17" s="1810">
        <f t="shared" si="4"/>
        <v>1</v>
      </c>
      <c r="AC17" s="1810">
        <f t="shared" si="5"/>
        <v>1</v>
      </c>
    </row>
    <row r="18" spans="1:29" ht="15">
      <c r="A18" s="427"/>
      <c r="B18" s="455"/>
      <c r="C18" s="2608"/>
      <c r="D18" s="449"/>
      <c r="E18" s="2610"/>
      <c r="F18" s="452"/>
      <c r="G18" s="2609"/>
      <c r="H18" s="447"/>
      <c r="I18" s="2610"/>
      <c r="J18" s="447"/>
      <c r="K18" s="614"/>
      <c r="L18" s="1139"/>
      <c r="M18" s="1130"/>
      <c r="N18" s="1130"/>
      <c r="O18" s="1138"/>
      <c r="P18" s="3226"/>
      <c r="Q18" s="1809"/>
      <c r="R18" s="773"/>
      <c r="S18" s="774"/>
      <c r="T18" s="773"/>
      <c r="U18" s="774"/>
      <c r="V18" s="773"/>
      <c r="W18" s="774"/>
      <c r="X18" s="1812"/>
      <c r="Y18" s="3226"/>
      <c r="Z18" s="1813"/>
      <c r="AA18" s="1810">
        <v>1</v>
      </c>
      <c r="AB18" s="1810">
        <v>1</v>
      </c>
      <c r="AC18" s="1810">
        <v>1</v>
      </c>
    </row>
    <row r="19" spans="1:29" ht="42.75">
      <c r="A19" s="427"/>
      <c r="B19" s="450" t="s">
        <v>2692</v>
      </c>
      <c r="C19" s="2607"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26"/>
      <c r="Q19" s="1809" t="str">
        <f>B19</f>
        <v>公共配套设施</v>
      </c>
      <c r="R19" s="773" t="s">
        <v>17</v>
      </c>
      <c r="S19" s="774">
        <f>F19</f>
        <v>100</v>
      </c>
      <c r="T19" s="773" t="s">
        <v>17</v>
      </c>
      <c r="U19" s="774">
        <f>H19</f>
        <v>100</v>
      </c>
      <c r="V19" s="773" t="s">
        <v>17</v>
      </c>
      <c r="W19" s="774">
        <f>J19</f>
        <v>100</v>
      </c>
      <c r="X19" s="1812"/>
      <c r="Y19" s="3226"/>
      <c r="Z19" s="1813" t="str">
        <f>Q19</f>
        <v>公共配套设施</v>
      </c>
      <c r="AA19" s="1810">
        <f t="shared" si="3"/>
        <v>1</v>
      </c>
      <c r="AB19" s="1810">
        <f t="shared" si="4"/>
        <v>1</v>
      </c>
      <c r="AC19" s="1810">
        <f t="shared" si="5"/>
        <v>1</v>
      </c>
    </row>
    <row r="20" spans="1:29" ht="15">
      <c r="A20" s="427"/>
      <c r="B20" s="455"/>
      <c r="C20" s="446"/>
      <c r="D20" s="447"/>
      <c r="E20" s="2605"/>
      <c r="F20" s="448"/>
      <c r="G20" s="2604"/>
      <c r="H20" s="447"/>
      <c r="I20" s="2605"/>
      <c r="J20" s="447"/>
      <c r="K20" s="614"/>
      <c r="L20" s="1139"/>
      <c r="M20" s="1130"/>
      <c r="N20" s="1130"/>
      <c r="O20" s="1138"/>
      <c r="P20" s="3226"/>
      <c r="Q20" s="1809"/>
      <c r="R20" s="773"/>
      <c r="S20" s="774"/>
      <c r="T20" s="773"/>
      <c r="U20" s="774"/>
      <c r="V20" s="773"/>
      <c r="W20" s="774"/>
      <c r="X20" s="1812"/>
      <c r="Y20" s="3226"/>
      <c r="Z20" s="1813"/>
      <c r="AA20" s="1810">
        <v>1</v>
      </c>
      <c r="AB20" s="1810">
        <v>1</v>
      </c>
      <c r="AC20" s="1810">
        <v>1</v>
      </c>
    </row>
    <row r="21" spans="1:29" ht="28.5">
      <c r="A21" s="427"/>
      <c r="B21" s="1383" t="s">
        <v>2693</v>
      </c>
      <c r="C21" s="2607"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26"/>
      <c r="Q21" s="1809" t="str">
        <f>B21</f>
        <v>基础设施水平</v>
      </c>
      <c r="R21" s="773" t="s">
        <v>17</v>
      </c>
      <c r="S21" s="774">
        <f>F21</f>
        <v>100</v>
      </c>
      <c r="T21" s="773" t="s">
        <v>17</v>
      </c>
      <c r="U21" s="774">
        <f>H21</f>
        <v>100</v>
      </c>
      <c r="V21" s="773" t="s">
        <v>17</v>
      </c>
      <c r="W21" s="774">
        <f>J21</f>
        <v>100</v>
      </c>
      <c r="X21" s="1812"/>
      <c r="Y21" s="3226"/>
      <c r="Z21" s="1813" t="str">
        <f>Q21</f>
        <v>基础设施水平</v>
      </c>
      <c r="AA21" s="1810">
        <f t="shared" ref="AA21" si="8">D21/F21</f>
        <v>1</v>
      </c>
      <c r="AB21" s="1810">
        <f t="shared" ref="AB21" si="9">D21/H21</f>
        <v>1</v>
      </c>
      <c r="AC21" s="1810">
        <f t="shared" ref="AC21" si="10">D21/J21</f>
        <v>1</v>
      </c>
    </row>
    <row r="22" spans="1:29" ht="15">
      <c r="A22" s="427"/>
      <c r="B22" s="1383"/>
      <c r="C22" s="2608"/>
      <c r="D22" s="447"/>
      <c r="E22" s="446"/>
      <c r="F22" s="448"/>
      <c r="G22" s="446"/>
      <c r="H22" s="447"/>
      <c r="I22" s="446"/>
      <c r="J22" s="447"/>
      <c r="K22" s="1382"/>
      <c r="L22" s="1139"/>
      <c r="M22" s="1130"/>
      <c r="N22" s="1130"/>
      <c r="O22" s="1138"/>
      <c r="P22" s="3226"/>
      <c r="Q22" s="1809"/>
      <c r="R22" s="773"/>
      <c r="S22" s="774"/>
      <c r="T22" s="773"/>
      <c r="U22" s="774"/>
      <c r="V22" s="773"/>
      <c r="W22" s="774"/>
      <c r="X22" s="1812"/>
      <c r="Y22" s="3226"/>
      <c r="Z22" s="1813"/>
      <c r="AA22" s="1810">
        <v>1</v>
      </c>
      <c r="AB22" s="1810">
        <v>1</v>
      </c>
      <c r="AC22" s="1810">
        <v>1</v>
      </c>
    </row>
    <row r="23" spans="1:29" ht="71.25">
      <c r="A23" s="427"/>
      <c r="B23" s="450" t="s">
        <v>2694</v>
      </c>
      <c r="C23" s="2607"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26"/>
      <c r="Q23" s="1809" t="str">
        <f>B23</f>
        <v>环境质量</v>
      </c>
      <c r="R23" s="773" t="s">
        <v>17</v>
      </c>
      <c r="S23" s="774">
        <f>F23</f>
        <v>100</v>
      </c>
      <c r="T23" s="773" t="s">
        <v>17</v>
      </c>
      <c r="U23" s="774">
        <f>H23</f>
        <v>100</v>
      </c>
      <c r="V23" s="773" t="s">
        <v>17</v>
      </c>
      <c r="W23" s="774">
        <f>J23</f>
        <v>100</v>
      </c>
      <c r="X23" s="1812"/>
      <c r="Y23" s="3226"/>
      <c r="Z23" s="1813" t="str">
        <f>Q23</f>
        <v>环境质量</v>
      </c>
      <c r="AA23" s="1810">
        <f t="shared" si="3"/>
        <v>1</v>
      </c>
      <c r="AB23" s="1810">
        <f t="shared" si="4"/>
        <v>1</v>
      </c>
      <c r="AC23" s="1810">
        <f t="shared" si="5"/>
        <v>1</v>
      </c>
    </row>
    <row r="24" spans="1:29" ht="15">
      <c r="A24" s="427"/>
      <c r="B24" s="1383"/>
      <c r="C24" s="446"/>
      <c r="D24" s="447"/>
      <c r="E24" s="2605"/>
      <c r="F24" s="448"/>
      <c r="G24" s="2604"/>
      <c r="H24" s="447"/>
      <c r="I24" s="2605"/>
      <c r="J24" s="447"/>
      <c r="K24" s="614"/>
      <c r="L24" s="1139"/>
      <c r="M24" s="1130"/>
      <c r="N24" s="1130"/>
      <c r="O24" s="1138"/>
      <c r="P24" s="3226"/>
      <c r="Q24" s="1809"/>
      <c r="R24" s="773"/>
      <c r="S24" s="774"/>
      <c r="T24" s="773"/>
      <c r="U24" s="774"/>
      <c r="V24" s="773"/>
      <c r="W24" s="774"/>
      <c r="X24" s="1812"/>
      <c r="Y24" s="3226"/>
      <c r="Z24" s="1813"/>
      <c r="AA24" s="1810">
        <v>1</v>
      </c>
      <c r="AB24" s="1810">
        <v>1</v>
      </c>
      <c r="AC24" s="1810">
        <v>1</v>
      </c>
    </row>
    <row r="25" spans="1:29" ht="1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26"/>
      <c r="Q25" s="1809">
        <f>B25</f>
        <v>111</v>
      </c>
      <c r="R25" s="773" t="s">
        <v>17</v>
      </c>
      <c r="S25" s="774">
        <f>F25</f>
        <v>100</v>
      </c>
      <c r="T25" s="773" t="s">
        <v>17</v>
      </c>
      <c r="U25" s="774">
        <f>H25</f>
        <v>100</v>
      </c>
      <c r="V25" s="773" t="s">
        <v>17</v>
      </c>
      <c r="W25" s="774">
        <f>J25</f>
        <v>100</v>
      </c>
      <c r="X25" s="1812"/>
      <c r="Y25" s="3226"/>
      <c r="Z25" s="1813">
        <f>Q25</f>
        <v>111</v>
      </c>
      <c r="AA25" s="1810">
        <f t="shared" si="3"/>
        <v>1</v>
      </c>
      <c r="AB25" s="1810">
        <f t="shared" si="4"/>
        <v>1</v>
      </c>
      <c r="AC25" s="1810">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26"/>
      <c r="Q26" s="1809">
        <f t="shared" ref="Q26:Q40" si="11">B26</f>
        <v>111</v>
      </c>
      <c r="R26" s="773" t="s">
        <v>17</v>
      </c>
      <c r="S26" s="774">
        <f>F26</f>
        <v>100</v>
      </c>
      <c r="T26" s="773" t="s">
        <v>17</v>
      </c>
      <c r="U26" s="774">
        <f>H26</f>
        <v>100</v>
      </c>
      <c r="V26" s="773" t="s">
        <v>17</v>
      </c>
      <c r="W26" s="774">
        <f>J26</f>
        <v>100</v>
      </c>
      <c r="X26" s="1812"/>
      <c r="Y26" s="3226"/>
      <c r="Z26" s="1813">
        <f>Q26</f>
        <v>111</v>
      </c>
      <c r="AA26" s="1810">
        <f t="shared" si="3"/>
        <v>1</v>
      </c>
      <c r="AB26" s="1810">
        <f t="shared" si="4"/>
        <v>1</v>
      </c>
      <c r="AC26" s="1810">
        <f t="shared" si="5"/>
        <v>1</v>
      </c>
    </row>
    <row r="27" spans="1:29" s="116"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26"/>
      <c r="Q27" s="1794">
        <f t="shared" si="11"/>
        <v>111</v>
      </c>
      <c r="R27" s="769" t="s">
        <v>17</v>
      </c>
      <c r="S27" s="770">
        <f>F27</f>
        <v>100</v>
      </c>
      <c r="T27" s="769" t="s">
        <v>17</v>
      </c>
      <c r="U27" s="770">
        <f>H27</f>
        <v>100</v>
      </c>
      <c r="V27" s="769" t="s">
        <v>17</v>
      </c>
      <c r="W27" s="770">
        <f>J27</f>
        <v>100</v>
      </c>
      <c r="X27" s="771"/>
      <c r="Y27" s="3226"/>
      <c r="Z27" s="55">
        <f>Q27</f>
        <v>111</v>
      </c>
      <c r="AA27" s="1810">
        <f>D27/F27</f>
        <v>1</v>
      </c>
      <c r="AB27" s="1810">
        <f>D27/H27</f>
        <v>1</v>
      </c>
      <c r="AC27" s="1810">
        <f>D27/J27</f>
        <v>1</v>
      </c>
    </row>
    <row r="28" spans="1:29" ht="15.75"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26"/>
      <c r="Q28" s="1809">
        <f t="shared" si="11"/>
        <v>111</v>
      </c>
      <c r="R28" s="773" t="s">
        <v>17</v>
      </c>
      <c r="S28" s="774">
        <f t="shared" ref="S28:S40" si="12">F28</f>
        <v>100</v>
      </c>
      <c r="T28" s="773" t="s">
        <v>17</v>
      </c>
      <c r="U28" s="774">
        <f t="shared" ref="U28:U40" si="13">H28</f>
        <v>100</v>
      </c>
      <c r="V28" s="773" t="s">
        <v>17</v>
      </c>
      <c r="W28" s="774">
        <f t="shared" ref="W28:W40" si="14">J28</f>
        <v>100</v>
      </c>
      <c r="X28" s="1812"/>
      <c r="Y28" s="3226"/>
      <c r="Z28" s="1813">
        <f t="shared" ref="Z28:Z40" si="15">Q28</f>
        <v>111</v>
      </c>
      <c r="AA28" s="1810">
        <f t="shared" si="3"/>
        <v>1</v>
      </c>
      <c r="AB28" s="1810">
        <f t="shared" si="4"/>
        <v>1</v>
      </c>
      <c r="AC28" s="1810">
        <f t="shared" si="5"/>
        <v>1</v>
      </c>
    </row>
    <row r="29" spans="1:29" ht="15">
      <c r="A29" s="465" t="s">
        <v>2567</v>
      </c>
      <c r="B29" s="71" t="s">
        <v>2697</v>
      </c>
      <c r="C29" s="2679"/>
      <c r="D29" s="466">
        <v>100</v>
      </c>
      <c r="E29" s="2679"/>
      <c r="F29" s="460">
        <f>SUMIF(88:88,E29,89:89)-SUMIF(88:88,C29,89:89)+100</f>
        <v>100</v>
      </c>
      <c r="G29" s="2679"/>
      <c r="H29" s="434">
        <f>SUMIF(88:88,G29,89:89)-SUMIF(88:88,C29,89:89)+100</f>
        <v>100</v>
      </c>
      <c r="I29" s="2679"/>
      <c r="J29" s="466">
        <f>SUMIF(88:88,I29,89:89)-SUMIF(88:88,C29,89:89)+100</f>
        <v>100</v>
      </c>
      <c r="K29" s="611"/>
      <c r="L29" s="1139"/>
      <c r="M29" s="1130"/>
      <c r="N29" s="1130"/>
      <c r="O29" s="1138"/>
      <c r="P29" s="3307" t="s">
        <v>2569</v>
      </c>
      <c r="Q29" s="1809" t="str">
        <f t="shared" si="11"/>
        <v>建筑类型</v>
      </c>
      <c r="R29" s="773" t="s">
        <v>17</v>
      </c>
      <c r="S29" s="774">
        <f t="shared" si="12"/>
        <v>100</v>
      </c>
      <c r="T29" s="773" t="s">
        <v>17</v>
      </c>
      <c r="U29" s="774">
        <f t="shared" si="13"/>
        <v>100</v>
      </c>
      <c r="V29" s="773" t="s">
        <v>17</v>
      </c>
      <c r="W29" s="774">
        <f t="shared" si="14"/>
        <v>100</v>
      </c>
      <c r="X29" s="1812"/>
      <c r="Y29" s="3230" t="s">
        <v>2569</v>
      </c>
      <c r="Z29" s="1813" t="str">
        <f t="shared" si="15"/>
        <v>建筑类型</v>
      </c>
      <c r="AA29" s="1810">
        <f t="shared" si="3"/>
        <v>1</v>
      </c>
      <c r="AB29" s="1810">
        <f t="shared" si="4"/>
        <v>1</v>
      </c>
      <c r="AC29" s="1810">
        <f t="shared" si="5"/>
        <v>1</v>
      </c>
    </row>
    <row r="30" spans="1:29" s="470" customFormat="1" ht="15">
      <c r="A30" s="467"/>
      <c r="B30" s="421" t="s">
        <v>2570</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230"/>
      <c r="Q30" s="775" t="str">
        <f t="shared" si="11"/>
        <v>项目建筑规模</v>
      </c>
      <c r="R30" s="776" t="s">
        <v>17</v>
      </c>
      <c r="S30" s="777" t="e">
        <f t="shared" si="12"/>
        <v>#N/A</v>
      </c>
      <c r="T30" s="776" t="s">
        <v>17</v>
      </c>
      <c r="U30" s="777" t="e">
        <f t="shared" si="13"/>
        <v>#N/A</v>
      </c>
      <c r="V30" s="776" t="s">
        <v>17</v>
      </c>
      <c r="W30" s="777" t="e">
        <f t="shared" si="14"/>
        <v>#N/A</v>
      </c>
      <c r="X30" s="778"/>
      <c r="Y30" s="3230"/>
      <c r="Z30" s="779" t="str">
        <f t="shared" si="15"/>
        <v>项目建筑规模</v>
      </c>
      <c r="AA30" s="1810" t="e">
        <f t="shared" si="3"/>
        <v>#N/A</v>
      </c>
      <c r="AB30" s="1810" t="e">
        <f t="shared" si="4"/>
        <v>#N/A</v>
      </c>
      <c r="AC30" s="1810" t="e">
        <f t="shared" si="5"/>
        <v>#N/A</v>
      </c>
    </row>
    <row r="31" spans="1:29" ht="15">
      <c r="A31" s="471"/>
      <c r="B31" s="421" t="s">
        <v>2571</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30"/>
      <c r="Q31" s="1809" t="str">
        <f t="shared" si="11"/>
        <v>建筑结构</v>
      </c>
      <c r="R31" s="773" t="s">
        <v>17</v>
      </c>
      <c r="S31" s="774">
        <f t="shared" si="12"/>
        <v>100</v>
      </c>
      <c r="T31" s="773" t="s">
        <v>17</v>
      </c>
      <c r="U31" s="774">
        <f t="shared" si="13"/>
        <v>100</v>
      </c>
      <c r="V31" s="773" t="s">
        <v>17</v>
      </c>
      <c r="W31" s="774">
        <f t="shared" si="14"/>
        <v>100</v>
      </c>
      <c r="X31" s="1812"/>
      <c r="Y31" s="3230"/>
      <c r="Z31" s="1813" t="str">
        <f t="shared" si="15"/>
        <v>建筑结构</v>
      </c>
      <c r="AA31" s="1810">
        <f t="shared" si="3"/>
        <v>1</v>
      </c>
      <c r="AB31" s="1810">
        <f t="shared" si="4"/>
        <v>1</v>
      </c>
      <c r="AC31" s="1810">
        <f t="shared" si="5"/>
        <v>1</v>
      </c>
    </row>
    <row r="32" spans="1:29" ht="15">
      <c r="A32" s="471"/>
      <c r="B32" s="421" t="s">
        <v>2665</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30"/>
      <c r="Q32" s="1809" t="str">
        <f t="shared" si="11"/>
        <v>公共部分装修</v>
      </c>
      <c r="R32" s="773" t="s">
        <v>17</v>
      </c>
      <c r="S32" s="774">
        <f t="shared" si="12"/>
        <v>100</v>
      </c>
      <c r="T32" s="773" t="s">
        <v>17</v>
      </c>
      <c r="U32" s="774">
        <f t="shared" si="13"/>
        <v>100</v>
      </c>
      <c r="V32" s="773" t="s">
        <v>17</v>
      </c>
      <c r="W32" s="774">
        <f t="shared" si="14"/>
        <v>100</v>
      </c>
      <c r="X32" s="1812"/>
      <c r="Y32" s="3230"/>
      <c r="Z32" s="1813" t="str">
        <f t="shared" si="15"/>
        <v>公共部分装修</v>
      </c>
      <c r="AA32" s="1810">
        <f t="shared" si="3"/>
        <v>1</v>
      </c>
      <c r="AB32" s="1810">
        <f t="shared" si="4"/>
        <v>1</v>
      </c>
      <c r="AC32" s="1810">
        <f t="shared" si="5"/>
        <v>1</v>
      </c>
    </row>
    <row r="33" spans="1:29" ht="15">
      <c r="A33" s="471"/>
      <c r="B33" s="421" t="s">
        <v>2666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30"/>
      <c r="Q33" s="1809" t="str">
        <f t="shared" si="11"/>
        <v>成新度</v>
      </c>
      <c r="R33" s="773" t="s">
        <v>17</v>
      </c>
      <c r="S33" s="774" t="e">
        <f t="shared" si="12"/>
        <v>#N/A</v>
      </c>
      <c r="T33" s="773" t="s">
        <v>17</v>
      </c>
      <c r="U33" s="774" t="e">
        <f t="shared" si="13"/>
        <v>#N/A</v>
      </c>
      <c r="V33" s="773" t="s">
        <v>17</v>
      </c>
      <c r="W33" s="774" t="e">
        <f t="shared" si="14"/>
        <v>#N/A</v>
      </c>
      <c r="X33" s="1812"/>
      <c r="Y33" s="3230"/>
      <c r="Z33" s="1813" t="str">
        <f t="shared" si="15"/>
        <v>成新度</v>
      </c>
      <c r="AA33" s="1810" t="e">
        <f t="shared" si="3"/>
        <v>#N/A</v>
      </c>
      <c r="AB33" s="1810" t="e">
        <f t="shared" si="4"/>
        <v>#N/A</v>
      </c>
      <c r="AC33" s="1810" t="e">
        <f t="shared" si="5"/>
        <v>#N/A</v>
      </c>
    </row>
    <row r="34" spans="1:29" s="116" customFormat="1" ht="15">
      <c r="A34" s="472"/>
      <c r="B34" s="421" t="s">
        <v>2699</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30"/>
      <c r="Q34" s="1794" t="str">
        <f t="shared" si="11"/>
        <v>物业管理</v>
      </c>
      <c r="R34" s="769" t="s">
        <v>17</v>
      </c>
      <c r="S34" s="770">
        <f t="shared" si="12"/>
        <v>100</v>
      </c>
      <c r="T34" s="769" t="s">
        <v>17</v>
      </c>
      <c r="U34" s="770">
        <f t="shared" si="13"/>
        <v>100</v>
      </c>
      <c r="V34" s="769" t="s">
        <v>17</v>
      </c>
      <c r="W34" s="770">
        <f t="shared" si="14"/>
        <v>100</v>
      </c>
      <c r="X34" s="771"/>
      <c r="Y34" s="3230"/>
      <c r="Z34" s="55" t="str">
        <f t="shared" si="15"/>
        <v>物业管理</v>
      </c>
      <c r="AA34" s="772">
        <f t="shared" si="3"/>
        <v>1</v>
      </c>
      <c r="AB34" s="772">
        <f t="shared" si="4"/>
        <v>1</v>
      </c>
      <c r="AC34" s="772">
        <f t="shared" si="5"/>
        <v>1</v>
      </c>
    </row>
    <row r="35" spans="1:29" ht="15">
      <c r="A35" s="471"/>
      <c r="B35" s="421" t="s">
        <v>2667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30" t="s">
        <v>2569</v>
      </c>
      <c r="Q35" s="1809" t="str">
        <f t="shared" si="11"/>
        <v>市政基础设施</v>
      </c>
      <c r="R35" s="773" t="s">
        <v>17</v>
      </c>
      <c r="S35" s="774">
        <f t="shared" si="12"/>
        <v>100</v>
      </c>
      <c r="T35" s="773" t="s">
        <v>17</v>
      </c>
      <c r="U35" s="774">
        <f t="shared" si="13"/>
        <v>100</v>
      </c>
      <c r="V35" s="773" t="s">
        <v>17</v>
      </c>
      <c r="W35" s="774">
        <f t="shared" si="14"/>
        <v>100</v>
      </c>
      <c r="X35" s="1812"/>
      <c r="Y35" s="3230" t="s">
        <v>2569</v>
      </c>
      <c r="Z35" s="1813" t="str">
        <f t="shared" si="15"/>
        <v>市政基础设施</v>
      </c>
      <c r="AA35" s="1810">
        <f t="shared" si="3"/>
        <v>1</v>
      </c>
      <c r="AB35" s="1810">
        <f t="shared" si="4"/>
        <v>1</v>
      </c>
      <c r="AC35" s="1810">
        <f t="shared" si="5"/>
        <v>1</v>
      </c>
    </row>
    <row r="36" spans="1:29" ht="15">
      <c r="A36" s="471"/>
      <c r="B36" s="421" t="s">
        <v>2672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30"/>
      <c r="Q36" s="1809" t="str">
        <f t="shared" si="11"/>
        <v>内部装修</v>
      </c>
      <c r="R36" s="773" t="s">
        <v>17</v>
      </c>
      <c r="S36" s="774">
        <f t="shared" si="12"/>
        <v>100</v>
      </c>
      <c r="T36" s="773" t="s">
        <v>17</v>
      </c>
      <c r="U36" s="774">
        <f t="shared" si="13"/>
        <v>100</v>
      </c>
      <c r="V36" s="773" t="s">
        <v>17</v>
      </c>
      <c r="W36" s="774">
        <f t="shared" si="14"/>
        <v>100</v>
      </c>
      <c r="X36" s="1812"/>
      <c r="Y36" s="3230"/>
      <c r="Z36" s="1813" t="str">
        <f t="shared" si="15"/>
        <v>内部装修</v>
      </c>
      <c r="AA36" s="1810">
        <f t="shared" si="3"/>
        <v>1</v>
      </c>
      <c r="AB36" s="1810">
        <f t="shared" si="4"/>
        <v>1</v>
      </c>
      <c r="AC36" s="1810">
        <f t="shared" si="5"/>
        <v>1</v>
      </c>
    </row>
    <row r="37" spans="1:29" ht="15">
      <c r="A37" s="471"/>
      <c r="B37" s="421" t="s">
        <v>2708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30"/>
      <c r="Q37" s="1809" t="str">
        <f t="shared" si="11"/>
        <v>内部装修状况</v>
      </c>
      <c r="R37" s="773" t="s">
        <v>17</v>
      </c>
      <c r="S37" s="774">
        <f t="shared" si="12"/>
        <v>100</v>
      </c>
      <c r="T37" s="773" t="s">
        <v>17</v>
      </c>
      <c r="U37" s="774">
        <f t="shared" si="13"/>
        <v>100</v>
      </c>
      <c r="V37" s="773" t="s">
        <v>17</v>
      </c>
      <c r="W37" s="774">
        <f t="shared" si="14"/>
        <v>100</v>
      </c>
      <c r="X37" s="1812"/>
      <c r="Y37" s="3230"/>
      <c r="Z37" s="1813" t="str">
        <f t="shared" si="15"/>
        <v>内部装修状况</v>
      </c>
      <c r="AA37" s="1810">
        <f t="shared" si="3"/>
        <v>1</v>
      </c>
      <c r="AB37" s="1810">
        <f t="shared" si="4"/>
        <v>1</v>
      </c>
      <c r="AC37" s="1810">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30"/>
      <c r="Q38" s="775">
        <f t="shared" si="11"/>
        <v>111</v>
      </c>
      <c r="R38" s="776" t="s">
        <v>17</v>
      </c>
      <c r="S38" s="777">
        <f t="shared" si="12"/>
        <v>100</v>
      </c>
      <c r="T38" s="776" t="s">
        <v>17</v>
      </c>
      <c r="U38" s="777">
        <f t="shared" si="13"/>
        <v>100</v>
      </c>
      <c r="V38" s="776" t="s">
        <v>17</v>
      </c>
      <c r="W38" s="777">
        <f t="shared" si="14"/>
        <v>100</v>
      </c>
      <c r="X38" s="778"/>
      <c r="Y38" s="3230"/>
      <c r="Z38" s="779">
        <f t="shared" si="15"/>
        <v>111</v>
      </c>
      <c r="AA38" s="1810">
        <f t="shared" si="3"/>
        <v>1</v>
      </c>
      <c r="AB38" s="1810">
        <f t="shared" si="4"/>
        <v>1</v>
      </c>
      <c r="AC38" s="1810">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30"/>
      <c r="Q39" s="1809">
        <f t="shared" si="11"/>
        <v>111</v>
      </c>
      <c r="R39" s="773" t="s">
        <v>17</v>
      </c>
      <c r="S39" s="774">
        <f t="shared" si="12"/>
        <v>100</v>
      </c>
      <c r="T39" s="773" t="s">
        <v>17</v>
      </c>
      <c r="U39" s="774">
        <f t="shared" si="13"/>
        <v>100</v>
      </c>
      <c r="V39" s="773" t="s">
        <v>17</v>
      </c>
      <c r="W39" s="774">
        <f t="shared" si="14"/>
        <v>100</v>
      </c>
      <c r="X39" s="1812"/>
      <c r="Y39" s="3230"/>
      <c r="Z39" s="1813">
        <f t="shared" si="15"/>
        <v>111</v>
      </c>
      <c r="AA39" s="1810">
        <f t="shared" si="3"/>
        <v>1</v>
      </c>
      <c r="AB39" s="1810">
        <f t="shared" si="4"/>
        <v>1</v>
      </c>
      <c r="AC39" s="1810">
        <f t="shared" si="5"/>
        <v>1</v>
      </c>
    </row>
    <row r="40" spans="1:29" ht="15.75" thickBot="1">
      <c r="A40" s="477"/>
      <c r="B40" s="2602">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31"/>
      <c r="Q40" s="1809">
        <f t="shared" si="11"/>
        <v>111</v>
      </c>
      <c r="R40" s="773" t="s">
        <v>17</v>
      </c>
      <c r="S40" s="774">
        <f t="shared" si="12"/>
        <v>100</v>
      </c>
      <c r="T40" s="773" t="s">
        <v>17</v>
      </c>
      <c r="U40" s="774">
        <f t="shared" si="13"/>
        <v>100</v>
      </c>
      <c r="V40" s="773" t="s">
        <v>17</v>
      </c>
      <c r="W40" s="774">
        <f t="shared" si="14"/>
        <v>100</v>
      </c>
      <c r="X40" s="1812"/>
      <c r="Y40" s="3231"/>
      <c r="Z40" s="1813">
        <f t="shared" si="15"/>
        <v>111</v>
      </c>
      <c r="AA40" s="1810">
        <f t="shared" si="3"/>
        <v>1</v>
      </c>
      <c r="AB40" s="1810">
        <f t="shared" si="4"/>
        <v>1</v>
      </c>
      <c r="AC40" s="1810">
        <f t="shared" si="5"/>
        <v>1</v>
      </c>
    </row>
    <row r="41" spans="1:29" ht="15">
      <c r="A41" s="478" t="s">
        <v>2581</v>
      </c>
      <c r="B41" s="479"/>
      <c r="C41" s="1406" t="s">
        <v>1</v>
      </c>
      <c r="D41" s="1407"/>
      <c r="E41" s="1408"/>
      <c r="F41" s="1409"/>
      <c r="G41" s="1410"/>
      <c r="H41" s="1411"/>
      <c r="I41" s="1408"/>
      <c r="J41" s="1411"/>
      <c r="K41" s="782"/>
      <c r="L41" s="1142"/>
      <c r="M41" s="1143"/>
      <c r="N41" s="1130"/>
      <c r="O41" s="1143"/>
      <c r="P41" s="3218" t="str">
        <f>A41</f>
        <v>成交单价（元/平方米）</v>
      </c>
      <c r="Q41" s="3218"/>
      <c r="R41" s="3219">
        <f>E41</f>
        <v>0</v>
      </c>
      <c r="S41" s="3219"/>
      <c r="T41" s="3219">
        <f>G41</f>
        <v>0</v>
      </c>
      <c r="U41" s="3219"/>
      <c r="V41" s="3219">
        <f>I41</f>
        <v>0</v>
      </c>
      <c r="W41" s="3219"/>
      <c r="X41" s="758"/>
      <c r="Y41" s="780"/>
      <c r="Z41" s="758"/>
      <c r="AA41" s="758"/>
      <c r="AB41" s="758"/>
      <c r="AC41" s="758"/>
    </row>
    <row r="42" spans="1:29" ht="15.75" thickBot="1">
      <c r="A42" s="485" t="s">
        <v>2673</v>
      </c>
      <c r="B42" s="486"/>
      <c r="C42" s="1412" t="e">
        <f>R43</f>
        <v>#DIV/0!</v>
      </c>
      <c r="D42" s="1413"/>
      <c r="E42" s="1414" t="e">
        <f>R42</f>
        <v>#DIV/0!</v>
      </c>
      <c r="F42" s="1414"/>
      <c r="G42" s="1412" t="e">
        <f>T42</f>
        <v>#DIV/0!</v>
      </c>
      <c r="H42" s="1413"/>
      <c r="I42" s="1414" t="e">
        <f>V42</f>
        <v>#DIV/0!</v>
      </c>
      <c r="J42" s="1413"/>
      <c r="K42" s="783"/>
      <c r="L42" s="1142"/>
      <c r="M42" s="1143"/>
      <c r="N42" s="1130"/>
      <c r="O42" s="1143"/>
      <c r="P42" s="3218" t="str">
        <f>A42</f>
        <v>比较价值（元/平方米）</v>
      </c>
      <c r="Q42" s="3218"/>
      <c r="R42" s="3219" t="e">
        <f>IF(F1="售价",ROUND(PRODUCT(R41,AA7:AA40),0),ROUND(PRODUCT(R41,AA7:AA40),1))</f>
        <v>#DIV/0!</v>
      </c>
      <c r="S42" s="3219"/>
      <c r="T42" s="3219" t="e">
        <f>IF(F1="售价",ROUND(PRODUCT(T41,AB7:AB40),0),ROUND(PRODUCT(T41,AB7:AB40),1))</f>
        <v>#DIV/0!</v>
      </c>
      <c r="U42" s="3219"/>
      <c r="V42" s="3219" t="e">
        <f>IF(F1="售价",ROUND(PRODUCT(V41,AC7:AC40),0),ROUND(PRODUCT(V41,AC7:AC40),1))</f>
        <v>#DIV/0!</v>
      </c>
      <c r="W42" s="3219"/>
      <c r="X42" s="758"/>
      <c r="Y42" s="758"/>
      <c r="Z42" s="758"/>
      <c r="AA42" s="758"/>
      <c r="AB42" s="758"/>
      <c r="AC42" s="758"/>
    </row>
    <row r="43" spans="1:29" ht="15.75" thickBot="1">
      <c r="A43" s="491" t="s">
        <v>2674</v>
      </c>
      <c r="B43" s="492"/>
      <c r="C43" s="1416" t="e">
        <f>R43</f>
        <v>#DIV/0!</v>
      </c>
      <c r="D43" s="1416"/>
      <c r="E43" s="1416"/>
      <c r="F43" s="1416"/>
      <c r="G43" s="1416"/>
      <c r="H43" s="1416"/>
      <c r="I43" s="1416"/>
      <c r="J43" s="1416"/>
      <c r="K43" s="784"/>
      <c r="L43" s="1142"/>
      <c r="M43" s="1143"/>
      <c r="N43" s="1143"/>
      <c r="O43" s="1143"/>
      <c r="P43" s="3290" t="str">
        <f>A43</f>
        <v>估价对象XX用房的比较价值（楼面单价，元/平方米）</v>
      </c>
      <c r="Q43" s="3291"/>
      <c r="R43" s="3292" t="e">
        <f>IF(F1="售价",ROUND(AVERAGE(R42:V42),0),ROUND(AVERAGE(R42:V42),1))</f>
        <v>#DIV/0!</v>
      </c>
      <c r="S43" s="3292"/>
      <c r="T43" s="3292"/>
      <c r="U43" s="3292"/>
      <c r="V43" s="3292"/>
      <c r="W43" s="3292"/>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2675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2676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2678</v>
      </c>
      <c r="B51" s="758"/>
      <c r="C51" s="763"/>
      <c r="D51" s="763"/>
      <c r="E51" s="763"/>
      <c r="F51" s="764"/>
      <c r="G51" s="764"/>
      <c r="H51" s="763"/>
      <c r="I51" s="763"/>
      <c r="J51" s="763"/>
      <c r="K51" s="1159"/>
      <c r="L51" s="1160"/>
      <c r="M51" s="1158"/>
      <c r="N51" s="1158"/>
      <c r="O51" s="1158"/>
      <c r="P51" s="502"/>
      <c r="Q51" s="503"/>
    </row>
    <row r="52" spans="1:17" s="507" customFormat="1" ht="15">
      <c r="A52" s="504" t="s">
        <v>2552</v>
      </c>
      <c r="B52" s="505"/>
      <c r="C52" s="1573" t="str">
        <f>YEAR(C7)&amp;"-"&amp;MONTH(C7)</f>
        <v>2018-6</v>
      </c>
      <c r="D52" s="1574">
        <f>EDATE(C52,-1)</f>
        <v>43221</v>
      </c>
      <c r="E52" s="1574">
        <f t="shared" ref="E52:O52" si="16">EDATE(D52,-1)</f>
        <v>43191</v>
      </c>
      <c r="F52" s="1574">
        <f t="shared" si="16"/>
        <v>43160</v>
      </c>
      <c r="G52" s="1574">
        <f t="shared" si="16"/>
        <v>43132</v>
      </c>
      <c r="H52" s="1574">
        <f t="shared" si="16"/>
        <v>43101</v>
      </c>
      <c r="I52" s="1574">
        <f t="shared" si="16"/>
        <v>43070</v>
      </c>
      <c r="J52" s="1574">
        <f t="shared" si="16"/>
        <v>43040</v>
      </c>
      <c r="K52" s="1574">
        <f t="shared" si="16"/>
        <v>43009</v>
      </c>
      <c r="L52" s="1574">
        <f t="shared" si="16"/>
        <v>42979</v>
      </c>
      <c r="M52" s="1574">
        <f t="shared" si="16"/>
        <v>42948</v>
      </c>
      <c r="N52" s="1574">
        <f t="shared" si="16"/>
        <v>42917</v>
      </c>
      <c r="O52" s="1574">
        <f t="shared" si="16"/>
        <v>42887</v>
      </c>
      <c r="P52" s="506"/>
    </row>
    <row r="53" spans="1:17" s="116" customFormat="1" ht="15">
      <c r="A53" s="508"/>
      <c r="B53" s="509"/>
      <c r="C53" s="1572">
        <v>100</v>
      </c>
      <c r="D53" s="511"/>
      <c r="E53" s="511"/>
      <c r="F53" s="511"/>
      <c r="G53" s="511"/>
      <c r="H53" s="511"/>
      <c r="I53" s="511"/>
      <c r="J53" s="511"/>
      <c r="K53" s="511"/>
      <c r="L53" s="511"/>
      <c r="M53" s="512"/>
      <c r="N53" s="511"/>
      <c r="O53" s="513"/>
      <c r="P53" s="503"/>
    </row>
    <row r="54" spans="1:17" s="116" customFormat="1" ht="15.75" thickBot="1">
      <c r="A54" s="514" t="s">
        <v>2589</v>
      </c>
      <c r="B54" s="515"/>
      <c r="C54" s="516"/>
      <c r="D54" s="517"/>
      <c r="E54" s="517"/>
      <c r="F54" s="517"/>
      <c r="G54" s="517"/>
      <c r="H54" s="517"/>
      <c r="I54" s="517"/>
      <c r="J54" s="517"/>
      <c r="K54" s="517"/>
      <c r="L54" s="517"/>
      <c r="M54" s="518"/>
      <c r="N54" s="517"/>
      <c r="O54" s="519"/>
      <c r="P54" s="503"/>
      <c r="Q54" s="503"/>
    </row>
    <row r="55" spans="1:17" s="116" customFormat="1" ht="15">
      <c r="A55" s="520" t="s">
        <v>2554</v>
      </c>
      <c r="B55" s="509"/>
      <c r="C55" s="521" t="s">
        <v>2656</v>
      </c>
      <c r="D55" s="522"/>
      <c r="E55" s="522"/>
      <c r="F55" s="522"/>
      <c r="G55" s="522"/>
      <c r="H55" s="522"/>
      <c r="I55" s="522"/>
      <c r="J55" s="522"/>
      <c r="K55" s="522"/>
      <c r="L55" s="523"/>
      <c r="M55" s="524"/>
      <c r="N55" s="1150"/>
      <c r="O55" s="1150"/>
      <c r="P55" s="525"/>
      <c r="Q55" s="503"/>
    </row>
    <row r="56" spans="1:17" s="116"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2592</v>
      </c>
      <c r="B57" s="527" t="s">
        <v>2558</v>
      </c>
      <c r="C57" s="528">
        <f>C9</f>
        <v>0</v>
      </c>
      <c r="D57" s="529"/>
      <c r="E57" s="529"/>
      <c r="F57" s="529"/>
      <c r="G57" s="529"/>
      <c r="H57" s="529"/>
      <c r="I57" s="529"/>
      <c r="J57" s="529"/>
      <c r="K57" s="530"/>
      <c r="L57" s="531"/>
      <c r="M57" s="532"/>
      <c r="N57" s="1151"/>
      <c r="O57" s="1151"/>
      <c r="P57" s="45"/>
      <c r="Q57" s="503"/>
    </row>
    <row r="58" spans="1:17" ht="15.75" thickBot="1">
      <c r="A58" s="533"/>
      <c r="B58" s="534"/>
      <c r="C58" s="535">
        <v>100</v>
      </c>
      <c r="D58" s="535"/>
      <c r="E58" s="535"/>
      <c r="F58" s="535"/>
      <c r="G58" s="535"/>
      <c r="H58" s="535"/>
      <c r="I58" s="535"/>
      <c r="J58" s="535"/>
      <c r="K58" s="535"/>
      <c r="L58" s="535"/>
      <c r="M58" s="536"/>
      <c r="N58" s="1152"/>
      <c r="O58" s="1152"/>
      <c r="P58" s="45"/>
      <c r="Q58" s="503"/>
    </row>
    <row r="59" spans="1:17" ht="27.75" thickTop="1">
      <c r="A59" s="533"/>
      <c r="B59" s="537" t="s">
        <v>2561</v>
      </c>
      <c r="C59" s="538" t="s">
        <v>2593</v>
      </c>
      <c r="D59" s="538" t="s">
        <v>2594</v>
      </c>
      <c r="E59" s="538" t="s">
        <v>2595</v>
      </c>
      <c r="F59" s="538" t="s">
        <v>2596</v>
      </c>
      <c r="G59" s="538" t="s">
        <v>2597</v>
      </c>
      <c r="H59" s="538" t="s">
        <v>2598</v>
      </c>
      <c r="I59" s="538" t="s">
        <v>2599</v>
      </c>
      <c r="J59" s="538"/>
      <c r="K59" s="539"/>
      <c r="L59" s="540"/>
      <c r="M59" s="541"/>
      <c r="N59" s="1151"/>
      <c r="O59" s="1151"/>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5.75" thickTop="1">
      <c r="A61" s="533"/>
      <c r="B61" s="545" t="s">
        <v>2562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ht="15">
      <c r="A62" s="533"/>
      <c r="B62" s="547"/>
      <c r="C62" s="548"/>
      <c r="D62" s="548"/>
      <c r="E62" s="548"/>
      <c r="F62" s="548"/>
      <c r="G62" s="548"/>
      <c r="H62" s="548"/>
      <c r="I62" s="548"/>
      <c r="J62" s="548"/>
      <c r="K62" s="549"/>
      <c r="L62" s="550"/>
      <c r="M62" s="551"/>
      <c r="N62" s="1151"/>
      <c r="O62" s="1151"/>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2563</v>
      </c>
      <c r="B70" s="527" t="s">
        <v>2709</v>
      </c>
      <c r="C70" s="572" t="s">
        <v>2601</v>
      </c>
      <c r="D70" s="572" t="s">
        <v>2602</v>
      </c>
      <c r="E70" s="572" t="s">
        <v>2603</v>
      </c>
      <c r="F70" s="572" t="s">
        <v>2604</v>
      </c>
      <c r="G70" s="572" t="s">
        <v>2605</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75" thickTop="1">
      <c r="A72" s="533"/>
      <c r="B72" s="537" t="s">
        <v>2606</v>
      </c>
      <c r="C72" s="577" t="s">
        <v>2601</v>
      </c>
      <c r="D72" s="577" t="s">
        <v>2602</v>
      </c>
      <c r="E72" s="577" t="s">
        <v>2603</v>
      </c>
      <c r="F72" s="577" t="s">
        <v>2604</v>
      </c>
      <c r="G72" s="577" t="s">
        <v>2605</v>
      </c>
      <c r="H72" s="538"/>
      <c r="I72" s="538"/>
      <c r="J72" s="538"/>
      <c r="K72" s="539"/>
      <c r="L72" s="540"/>
      <c r="M72" s="541"/>
      <c r="N72" s="1151"/>
      <c r="O72" s="1151"/>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75" thickTop="1">
      <c r="A74" s="533"/>
      <c r="B74" s="537" t="s">
        <v>2607</v>
      </c>
      <c r="C74" s="577" t="s">
        <v>2601</v>
      </c>
      <c r="D74" s="577" t="s">
        <v>2602</v>
      </c>
      <c r="E74" s="577" t="s">
        <v>2603</v>
      </c>
      <c r="F74" s="577" t="s">
        <v>2604</v>
      </c>
      <c r="G74" s="577" t="s">
        <v>2605</v>
      </c>
      <c r="H74" s="538"/>
      <c r="I74" s="538"/>
      <c r="J74" s="538"/>
      <c r="K74" s="539"/>
      <c r="L74" s="540"/>
      <c r="M74" s="541"/>
      <c r="N74" s="1151"/>
      <c r="O74" s="1151"/>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75" thickTop="1">
      <c r="A76" s="533"/>
      <c r="B76" s="545" t="s">
        <v>2693</v>
      </c>
      <c r="C76" s="659" t="s">
        <v>2679</v>
      </c>
      <c r="D76" s="659" t="s">
        <v>2680</v>
      </c>
      <c r="E76" s="659" t="s">
        <v>2681</v>
      </c>
      <c r="F76" s="659" t="s">
        <v>2682</v>
      </c>
      <c r="G76" s="659" t="s">
        <v>2683</v>
      </c>
      <c r="H76" s="538"/>
      <c r="I76" s="538"/>
      <c r="J76" s="538"/>
      <c r="K76" s="538"/>
      <c r="L76" s="538"/>
      <c r="M76" s="1381"/>
      <c r="N76" s="1152"/>
      <c r="O76" s="1152"/>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5"/>
      <c r="Q77" s="503"/>
    </row>
    <row r="78" spans="1:17" ht="15.75" thickTop="1">
      <c r="A78" s="533"/>
      <c r="B78" s="537" t="s">
        <v>2702</v>
      </c>
      <c r="C78" s="577" t="s">
        <v>2601</v>
      </c>
      <c r="D78" s="577" t="s">
        <v>2602</v>
      </c>
      <c r="E78" s="577" t="s">
        <v>2603</v>
      </c>
      <c r="F78" s="577" t="s">
        <v>2604</v>
      </c>
      <c r="G78" s="577" t="s">
        <v>2605</v>
      </c>
      <c r="H78" s="538"/>
      <c r="I78" s="538"/>
      <c r="J78" s="538"/>
      <c r="K78" s="539"/>
      <c r="L78" s="540"/>
      <c r="M78" s="541"/>
      <c r="N78" s="1151"/>
      <c r="O78" s="1151"/>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6" customFormat="1" ht="15.75" thickTop="1">
      <c r="A80" s="578"/>
      <c r="B80" s="537">
        <f>B25</f>
        <v>111</v>
      </c>
      <c r="C80" s="553"/>
      <c r="D80" s="553"/>
      <c r="E80" s="553"/>
      <c r="F80" s="553"/>
      <c r="G80" s="553"/>
      <c r="H80" s="553"/>
      <c r="I80" s="553"/>
      <c r="J80" s="553"/>
      <c r="K80" s="553"/>
      <c r="L80" s="579"/>
      <c r="M80" s="580"/>
      <c r="N80" s="1150"/>
      <c r="O80" s="1150"/>
      <c r="P80" s="45"/>
      <c r="Q80" s="503"/>
    </row>
    <row r="81" spans="1:17" s="116" customFormat="1" ht="15.75" thickBot="1">
      <c r="A81" s="578"/>
      <c r="B81" s="542"/>
      <c r="C81" s="559"/>
      <c r="D81" s="535"/>
      <c r="E81" s="535"/>
      <c r="F81" s="535"/>
      <c r="G81" s="535"/>
      <c r="H81" s="535"/>
      <c r="I81" s="535"/>
      <c r="J81" s="535"/>
      <c r="K81" s="535"/>
      <c r="L81" s="535"/>
      <c r="M81" s="536"/>
      <c r="N81" s="1152"/>
      <c r="O81" s="1152"/>
      <c r="P81" s="45"/>
      <c r="Q81" s="503"/>
    </row>
    <row r="82" spans="1:17" s="116" customFormat="1" ht="15.75" thickTop="1">
      <c r="A82" s="578"/>
      <c r="B82" s="537">
        <f>B26</f>
        <v>111</v>
      </c>
      <c r="C82" s="553"/>
      <c r="D82" s="553"/>
      <c r="E82" s="553"/>
      <c r="F82" s="553"/>
      <c r="G82" s="553"/>
      <c r="H82" s="553"/>
      <c r="I82" s="553"/>
      <c r="J82" s="553"/>
      <c r="K82" s="553"/>
      <c r="L82" s="579"/>
      <c r="M82" s="580"/>
      <c r="N82" s="1150"/>
      <c r="O82" s="1150"/>
      <c r="P82" s="45"/>
      <c r="Q82" s="503"/>
    </row>
    <row r="83" spans="1:17" s="116" customFormat="1" ht="15.75" thickBot="1">
      <c r="A83" s="578"/>
      <c r="B83" s="542"/>
      <c r="C83" s="559"/>
      <c r="D83" s="535"/>
      <c r="E83" s="535"/>
      <c r="F83" s="535"/>
      <c r="G83" s="535"/>
      <c r="H83" s="535"/>
      <c r="I83" s="535"/>
      <c r="J83" s="535"/>
      <c r="K83" s="535"/>
      <c r="L83" s="535"/>
      <c r="M83" s="536"/>
      <c r="N83" s="1152"/>
      <c r="O83" s="1152"/>
      <c r="P83" s="45"/>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5"/>
      <c r="Q86" s="503"/>
    </row>
    <row r="87" spans="1:17" ht="15.75" thickBot="1">
      <c r="A87" s="2636"/>
      <c r="B87" s="568"/>
      <c r="C87" s="569"/>
      <c r="D87" s="569"/>
      <c r="E87" s="569"/>
      <c r="F87" s="569"/>
      <c r="G87" s="590"/>
      <c r="H87" s="590"/>
      <c r="I87" s="590"/>
      <c r="J87" s="590"/>
      <c r="K87" s="590"/>
      <c r="L87" s="590"/>
      <c r="M87" s="591"/>
      <c r="N87" s="1152"/>
      <c r="O87" s="1152"/>
      <c r="P87" s="45"/>
      <c r="Q87" s="503"/>
    </row>
    <row r="88" spans="1:17">
      <c r="A88" s="526" t="s">
        <v>2567</v>
      </c>
      <c r="B88" s="527" t="s">
        <v>2616</v>
      </c>
      <c r="C88" s="529"/>
      <c r="D88" s="529"/>
      <c r="E88" s="529"/>
      <c r="F88" s="529"/>
      <c r="G88" s="529"/>
      <c r="H88" s="529"/>
      <c r="I88" s="529"/>
      <c r="J88" s="529"/>
      <c r="K88" s="530"/>
      <c r="L88" s="531"/>
      <c r="M88" s="532"/>
      <c r="N88" s="1151"/>
      <c r="O88" s="1151"/>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5.75" thickTop="1">
      <c r="A90" s="533"/>
      <c r="B90" s="537" t="s">
        <v>2617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2618</v>
      </c>
      <c r="C93" s="553"/>
      <c r="D93" s="553"/>
      <c r="E93" s="582"/>
      <c r="F93" s="582"/>
      <c r="G93" s="582"/>
      <c r="H93" s="582"/>
      <c r="I93" s="582"/>
      <c r="J93" s="582"/>
      <c r="K93" s="583"/>
      <c r="L93" s="584"/>
      <c r="M93" s="585"/>
      <c r="N93" s="1151"/>
      <c r="O93" s="1151"/>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5" thickTop="1">
      <c r="A95" s="598"/>
      <c r="B95" s="537" t="s">
        <v>2620</v>
      </c>
      <c r="C95" s="553"/>
      <c r="D95" s="553"/>
      <c r="E95" s="553"/>
      <c r="F95" s="582"/>
      <c r="G95" s="582"/>
      <c r="H95" s="582"/>
      <c r="I95" s="582"/>
      <c r="J95" s="582"/>
      <c r="K95" s="583"/>
      <c r="L95" s="584"/>
      <c r="M95" s="585"/>
      <c r="N95" s="1151"/>
      <c r="O95" s="1151"/>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5" thickTop="1">
      <c r="A97" s="598"/>
      <c r="B97" s="537" t="s">
        <v>1998</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2"/>
      <c r="J98" s="622"/>
      <c r="K98" s="623"/>
      <c r="L98" s="624"/>
      <c r="M98" s="625"/>
      <c r="N98" s="1151"/>
      <c r="O98" s="1151"/>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5" thickTop="1">
      <c r="A100" s="592"/>
      <c r="B100" s="537" t="s">
        <v>2621</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2622</v>
      </c>
      <c r="C102" s="553"/>
      <c r="D102" s="553"/>
      <c r="E102" s="553"/>
      <c r="F102" s="553"/>
      <c r="G102" s="553"/>
      <c r="H102" s="582"/>
      <c r="I102" s="582"/>
      <c r="J102" s="582"/>
      <c r="K102" s="583"/>
      <c r="L102" s="584"/>
      <c r="M102" s="585"/>
      <c r="N102" s="1151"/>
      <c r="O102" s="1151"/>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5" thickTop="1">
      <c r="A104" s="598"/>
      <c r="B104" s="537" t="s">
        <v>2624</v>
      </c>
      <c r="C104" s="553"/>
      <c r="D104" s="553"/>
      <c r="E104" s="553"/>
      <c r="F104" s="553"/>
      <c r="G104" s="553"/>
      <c r="H104" s="582"/>
      <c r="I104" s="582"/>
      <c r="J104" s="582"/>
      <c r="K104" s="583"/>
      <c r="L104" s="584"/>
      <c r="M104" s="585"/>
      <c r="N104" s="1151"/>
      <c r="O104" s="1151"/>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15" thickTop="1">
      <c r="A106" s="598"/>
      <c r="B106" s="635" t="s">
        <v>2710</v>
      </c>
      <c r="C106" s="577" t="s">
        <v>2601</v>
      </c>
      <c r="D106" s="577" t="s">
        <v>2602</v>
      </c>
      <c r="E106" s="577" t="s">
        <v>2603</v>
      </c>
      <c r="F106" s="577" t="s">
        <v>2604</v>
      </c>
      <c r="G106" s="577" t="s">
        <v>2605</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5"/>
      <c r="Q110" s="503"/>
    </row>
    <row r="111" spans="1:17" ht="15.75" thickBot="1">
      <c r="A111" s="533"/>
      <c r="B111" s="542"/>
      <c r="C111" s="559"/>
      <c r="D111" s="535"/>
      <c r="E111" s="535"/>
      <c r="F111" s="535"/>
      <c r="G111" s="559"/>
      <c r="H111" s="561"/>
      <c r="I111" s="561"/>
      <c r="J111" s="561"/>
      <c r="K111" s="561"/>
      <c r="L111" s="561"/>
      <c r="M111" s="562"/>
      <c r="N111" s="1152"/>
      <c r="O111" s="1152"/>
      <c r="P111" s="45"/>
      <c r="Q111" s="503"/>
    </row>
    <row r="112" spans="1:17" ht="15" thickTop="1">
      <c r="A112" s="598"/>
      <c r="B112" s="545">
        <f>B40</f>
        <v>111</v>
      </c>
      <c r="C112" s="522"/>
      <c r="D112" s="522"/>
      <c r="E112" s="522"/>
      <c r="F112" s="522"/>
      <c r="G112" s="586"/>
      <c r="H112" s="586"/>
      <c r="I112" s="586"/>
      <c r="J112" s="586"/>
      <c r="K112" s="522"/>
      <c r="L112" s="523"/>
      <c r="M112" s="589"/>
      <c r="N112" s="1151"/>
      <c r="O112" s="1151"/>
      <c r="P112" s="45"/>
      <c r="Q112" s="503"/>
    </row>
    <row r="113" spans="1:17" ht="15.75" thickBot="1">
      <c r="A113" s="2636"/>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7" priority="16" stopIfTrue="1" operator="containsText" text="超过">
      <formula>NOT(ISERROR(SEARCH("超过",F46)))</formula>
    </cfRule>
  </conditionalFormatting>
  <conditionalFormatting sqref="H48">
    <cfRule type="containsText" dxfId="106" priority="15" stopIfTrue="1" operator="containsText" text="超过">
      <formula>NOT(ISERROR(SEARCH("超过",H48)))</formula>
    </cfRule>
  </conditionalFormatting>
  <conditionalFormatting sqref="F48">
    <cfRule type="containsText" dxfId="105" priority="14" stopIfTrue="1" operator="containsText" text="超过">
      <formula>NOT(ISERROR(SEARCH("超过",F48)))</formula>
    </cfRule>
  </conditionalFormatting>
  <conditionalFormatting sqref="F47 H47">
    <cfRule type="containsText" dxfId="104" priority="13" stopIfTrue="1" operator="containsText" text="超过">
      <formula>NOT(ISERROR(SEARCH("超过",F47)))</formula>
    </cfRule>
  </conditionalFormatting>
  <conditionalFormatting sqref="E46">
    <cfRule type="expression" dxfId="103" priority="12" stopIfTrue="1">
      <formula>$F$46="超过30%"</formula>
    </cfRule>
  </conditionalFormatting>
  <conditionalFormatting sqref="E47">
    <cfRule type="expression" dxfId="102" priority="11" stopIfTrue="1">
      <formula>$F$47="超过20%"</formula>
    </cfRule>
  </conditionalFormatting>
  <conditionalFormatting sqref="E48">
    <cfRule type="expression" dxfId="101" priority="10" stopIfTrue="1">
      <formula>$F$48="超过30%"</formula>
    </cfRule>
  </conditionalFormatting>
  <conditionalFormatting sqref="G48">
    <cfRule type="expression" dxfId="100" priority="9" stopIfTrue="1">
      <formula>$H$48="超过30%"</formula>
    </cfRule>
  </conditionalFormatting>
  <conditionalFormatting sqref="G46">
    <cfRule type="expression" dxfId="99" priority="8" stopIfTrue="1">
      <formula>$H$46="超过30%"</formula>
    </cfRule>
  </conditionalFormatting>
  <conditionalFormatting sqref="G47">
    <cfRule type="expression" dxfId="98" priority="7" stopIfTrue="1">
      <formula>$H$47="超过20%"</formula>
    </cfRule>
  </conditionalFormatting>
  <conditionalFormatting sqref="J46">
    <cfRule type="containsText" dxfId="97" priority="6" stopIfTrue="1" operator="containsText" text="超过">
      <formula>NOT(ISERROR(SEARCH("超过",J46)))</formula>
    </cfRule>
  </conditionalFormatting>
  <conditionalFormatting sqref="J48">
    <cfRule type="containsText" dxfId="96" priority="5" stopIfTrue="1" operator="containsText" text="超过">
      <formula>NOT(ISERROR(SEARCH("超过",J48)))</formula>
    </cfRule>
  </conditionalFormatting>
  <conditionalFormatting sqref="J47">
    <cfRule type="containsText" dxfId="95" priority="4" stopIfTrue="1" operator="containsText" text="超过">
      <formula>NOT(ISERROR(SEARCH("超过",J47)))</formula>
    </cfRule>
  </conditionalFormatting>
  <conditionalFormatting sqref="I46">
    <cfRule type="expression" dxfId="94" priority="3" stopIfTrue="1">
      <formula>$J$46="超过30%"</formula>
    </cfRule>
  </conditionalFormatting>
  <conditionalFormatting sqref="I47">
    <cfRule type="expression" dxfId="93" priority="2" stopIfTrue="1">
      <formula>$J$47="超过20%"</formula>
    </cfRule>
  </conditionalFormatting>
  <conditionalFormatting sqref="I48">
    <cfRule type="expression" dxfId="9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2711</v>
      </c>
      <c r="B1" s="1618"/>
      <c r="C1" s="1619" t="s">
        <v>2534</v>
      </c>
      <c r="D1" s="1620"/>
      <c r="E1" s="1621"/>
      <c r="F1" s="2584"/>
      <c r="G1" s="1622" t="s">
        <v>2647</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7" customFormat="1" ht="28.5" customHeight="1" thickTop="1">
      <c r="A2" s="1616" t="s">
        <v>2331</v>
      </c>
      <c r="B2" s="1417" t="e">
        <f ca="1">IF(C2="——",IF(B37="元/平方米",ROUND(C39*D3/10000,0),ROUND(F3*C39/10000,0)),IF(B37="元/平方米",ROUND(C39*D3/10000,0),ROUND(F3*C39/10000,0))-D2)</f>
        <v>#DIV/0!</v>
      </c>
      <c r="C2" s="2586"/>
      <c r="D2" s="1123" t="e">
        <f ca="1">SUMIF(INDIRECT("'"&amp;F2&amp;"'"&amp;"!A:A"),"承租人权益价值",INDIRECT("'"&amp;F2&amp;"'"&amp;"!c:c"))</f>
        <v>#REF!</v>
      </c>
      <c r="E2" s="2587" t="s">
        <v>2332</v>
      </c>
      <c r="F2" s="2588"/>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7" customFormat="1" ht="28.5" customHeight="1" thickBot="1">
      <c r="A3" s="246" t="s">
        <v>2333</v>
      </c>
      <c r="B3" s="608" t="e">
        <f ca="1">IF(AND(C2="——",B37="元/平方米"),C39,ROUND(B2*10000/D3,0))</f>
        <v>#DIV/0!</v>
      </c>
      <c r="C3" s="399" t="s">
        <v>2648</v>
      </c>
      <c r="D3" s="398">
        <f>SUMIF('数据-汇总表'!$C19:$C33,D1,'数据-汇总表'!$E19:$E33)</f>
        <v>0</v>
      </c>
      <c r="E3" s="399" t="s">
        <v>2712</v>
      </c>
      <c r="F3" s="398">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0" t="s">
        <v>2649</v>
      </c>
      <c r="B4" s="401"/>
      <c r="C4" s="3235" t="s">
        <v>2650</v>
      </c>
      <c r="D4" s="3236"/>
      <c r="E4" s="3237" t="s">
        <v>2651</v>
      </c>
      <c r="F4" s="3238"/>
      <c r="G4" s="3235" t="s">
        <v>2652</v>
      </c>
      <c r="H4" s="3236"/>
      <c r="I4" s="3235" t="s">
        <v>2653</v>
      </c>
      <c r="J4" s="3236"/>
      <c r="K4" s="609" t="s">
        <v>2654</v>
      </c>
      <c r="L4" s="1129"/>
      <c r="M4" s="1130"/>
      <c r="N4" s="1130"/>
      <c r="O4" s="1130"/>
      <c r="P4" s="3294" t="s">
        <v>2655</v>
      </c>
      <c r="Q4" s="3295"/>
      <c r="R4" s="3298" t="s">
        <v>2651</v>
      </c>
      <c r="S4" s="3299"/>
      <c r="T4" s="3298" t="s">
        <v>2652</v>
      </c>
      <c r="U4" s="3299"/>
      <c r="V4" s="3252" t="s">
        <v>2653</v>
      </c>
      <c r="W4" s="3252"/>
      <c r="X4" s="1812"/>
      <c r="Y4" s="3298" t="s">
        <v>2655</v>
      </c>
      <c r="Z4" s="3299"/>
      <c r="AA4" s="3293" t="s">
        <v>2651</v>
      </c>
      <c r="AB4" s="3265" t="s">
        <v>2652</v>
      </c>
      <c r="AC4" s="3293" t="s">
        <v>2653</v>
      </c>
    </row>
    <row r="5" spans="1:29" ht="15">
      <c r="A5" s="403"/>
      <c r="B5" s="404"/>
      <c r="C5" s="3261" t="s">
        <v>2546</v>
      </c>
      <c r="D5" s="3256"/>
      <c r="E5" s="3300" t="s">
        <v>2547</v>
      </c>
      <c r="F5" s="3268"/>
      <c r="G5" s="3261" t="s">
        <v>2548</v>
      </c>
      <c r="H5" s="3256"/>
      <c r="I5" s="3261" t="s">
        <v>2549</v>
      </c>
      <c r="J5" s="3256"/>
      <c r="K5" s="609"/>
      <c r="L5" s="1129"/>
      <c r="M5" s="1130"/>
      <c r="N5" s="1130"/>
      <c r="O5" s="1130"/>
      <c r="P5" s="3296"/>
      <c r="Q5" s="3242"/>
      <c r="R5" s="3247"/>
      <c r="S5" s="3248"/>
      <c r="T5" s="3247"/>
      <c r="U5" s="3248"/>
      <c r="V5" s="3252"/>
      <c r="W5" s="3252"/>
      <c r="X5" s="1812"/>
      <c r="Y5" s="3247"/>
      <c r="Z5" s="3248"/>
      <c r="AA5" s="3265"/>
      <c r="AB5" s="3265"/>
      <c r="AC5" s="3265"/>
    </row>
    <row r="6" spans="1:29" ht="15.75" thickBot="1">
      <c r="A6" s="405"/>
      <c r="B6" s="406"/>
      <c r="C6" s="3253" t="s">
        <v>2550</v>
      </c>
      <c r="D6" s="3254"/>
      <c r="E6" s="3262" t="s">
        <v>2550</v>
      </c>
      <c r="F6" s="3263"/>
      <c r="G6" s="3253" t="s">
        <v>2550</v>
      </c>
      <c r="H6" s="3254"/>
      <c r="I6" s="3253" t="s">
        <v>2550</v>
      </c>
      <c r="J6" s="3254"/>
      <c r="K6" s="609" t="s">
        <v>2551</v>
      </c>
      <c r="L6" s="1129"/>
      <c r="M6" s="1130"/>
      <c r="N6" s="1130"/>
      <c r="O6" s="1130"/>
      <c r="P6" s="3297"/>
      <c r="Q6" s="3244"/>
      <c r="R6" s="3247"/>
      <c r="S6" s="3248"/>
      <c r="T6" s="3249"/>
      <c r="U6" s="3250"/>
      <c r="V6" s="3252"/>
      <c r="W6" s="3252"/>
      <c r="X6" s="1812"/>
      <c r="Y6" s="3249"/>
      <c r="Z6" s="3250"/>
      <c r="AA6" s="3266"/>
      <c r="AB6" s="3266"/>
      <c r="AC6" s="3266"/>
    </row>
    <row r="7" spans="1:29" s="116" customFormat="1" ht="15.75" thickBot="1">
      <c r="A7" s="407" t="s">
        <v>2552</v>
      </c>
      <c r="B7" s="408"/>
      <c r="C7" s="409">
        <f>'数据-取费表'!B2</f>
        <v>43252</v>
      </c>
      <c r="D7" s="410">
        <v>100</v>
      </c>
      <c r="E7" s="411"/>
      <c r="F7" s="412">
        <f>SUMIF(48:48,YEAR(E7)&amp;"-"&amp;MONTH(E7),49:49)</f>
        <v>0</v>
      </c>
      <c r="G7" s="411"/>
      <c r="H7" s="410">
        <f>SUMIF(48:48,YEAR(G7)&amp;"-"&amp;MONTH(G7),49:49)</f>
        <v>0</v>
      </c>
      <c r="I7" s="411"/>
      <c r="J7" s="410">
        <f>SUMIF(48:48,YEAR(I7)&amp;"-"&amp;MONTH(I7),49:49)</f>
        <v>0</v>
      </c>
      <c r="K7" s="610"/>
      <c r="L7" s="1131"/>
      <c r="M7" s="1132"/>
      <c r="N7" s="1132"/>
      <c r="O7" s="1132"/>
      <c r="P7" s="3259" t="s">
        <v>2553</v>
      </c>
      <c r="Q7" s="3260"/>
      <c r="R7" s="769" t="s">
        <v>17</v>
      </c>
      <c r="S7" s="770">
        <f t="shared" ref="S7:S14" si="0">F7</f>
        <v>0</v>
      </c>
      <c r="T7" s="769" t="s">
        <v>17</v>
      </c>
      <c r="U7" s="770">
        <f t="shared" ref="U7:U14" si="1">H7</f>
        <v>0</v>
      </c>
      <c r="V7" s="769" t="s">
        <v>17</v>
      </c>
      <c r="W7" s="770">
        <f t="shared" ref="W7:W14" si="2">J7</f>
        <v>0</v>
      </c>
      <c r="X7" s="771"/>
      <c r="Y7" s="3259" t="s">
        <v>2553</v>
      </c>
      <c r="Z7" s="3258"/>
      <c r="AA7" s="772" t="e">
        <f>D7/F7</f>
        <v>#DIV/0!</v>
      </c>
      <c r="AB7" s="772" t="e">
        <f>D7/H7</f>
        <v>#DIV/0!</v>
      </c>
      <c r="AC7" s="772" t="e">
        <f>D7/J7</f>
        <v>#DIV/0!</v>
      </c>
    </row>
    <row r="8" spans="1:29" s="116" customFormat="1" ht="15.75" thickBot="1">
      <c r="A8" s="407" t="s">
        <v>2554</v>
      </c>
      <c r="B8" s="408"/>
      <c r="C8" s="413" t="s">
        <v>2656</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259" t="s">
        <v>2556</v>
      </c>
      <c r="Q8" s="3258"/>
      <c r="R8" s="769" t="s">
        <v>17</v>
      </c>
      <c r="S8" s="770">
        <f t="shared" si="0"/>
        <v>0</v>
      </c>
      <c r="T8" s="769" t="s">
        <v>17</v>
      </c>
      <c r="U8" s="770">
        <f t="shared" si="1"/>
        <v>0</v>
      </c>
      <c r="V8" s="769" t="s">
        <v>17</v>
      </c>
      <c r="W8" s="770">
        <f t="shared" si="2"/>
        <v>0</v>
      </c>
      <c r="X8" s="771"/>
      <c r="Y8" s="3259" t="s">
        <v>2556</v>
      </c>
      <c r="Z8" s="3258"/>
      <c r="AA8" s="772" t="e">
        <f t="shared" ref="AA8:AA36" si="3">D8/F8</f>
        <v>#DIV/0!</v>
      </c>
      <c r="AB8" s="772" t="e">
        <f t="shared" ref="AB8:AB36" si="4">D8/H8</f>
        <v>#DIV/0!</v>
      </c>
      <c r="AC8" s="772" t="e">
        <f t="shared" ref="AC8:AC36" si="5">D8/J8</f>
        <v>#DIV/0!</v>
      </c>
    </row>
    <row r="9" spans="1:29" s="116" customFormat="1">
      <c r="A9" s="68" t="s">
        <v>2557</v>
      </c>
      <c r="B9" s="639" t="s">
        <v>2558</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218" t="s">
        <v>2559</v>
      </c>
      <c r="Q9" s="1794" t="str">
        <f t="shared" ref="Q9:Q14" si="6">B9</f>
        <v>用途</v>
      </c>
      <c r="R9" s="769" t="s">
        <v>17</v>
      </c>
      <c r="S9" s="770">
        <f t="shared" si="0"/>
        <v>100</v>
      </c>
      <c r="T9" s="769" t="s">
        <v>17</v>
      </c>
      <c r="U9" s="770">
        <f t="shared" si="1"/>
        <v>100</v>
      </c>
      <c r="V9" s="769" t="s">
        <v>17</v>
      </c>
      <c r="W9" s="770">
        <f t="shared" si="2"/>
        <v>100</v>
      </c>
      <c r="X9" s="771"/>
      <c r="Y9" s="3052" t="s">
        <v>2560</v>
      </c>
      <c r="Z9" s="55" t="str">
        <f t="shared" ref="Z9:Z14" si="7">Q9</f>
        <v>用途</v>
      </c>
      <c r="AA9" s="772">
        <f t="shared" si="3"/>
        <v>1</v>
      </c>
      <c r="AB9" s="772">
        <f t="shared" si="4"/>
        <v>1</v>
      </c>
      <c r="AC9" s="772">
        <f t="shared" si="5"/>
        <v>1</v>
      </c>
    </row>
    <row r="10" spans="1:29" s="426" customFormat="1" ht="27">
      <c r="A10" s="640"/>
      <c r="B10" s="641" t="s">
        <v>2561</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218"/>
      <c r="Q10" s="1794" t="str">
        <f t="shared" si="6"/>
        <v>土地使用年限（年）</v>
      </c>
      <c r="R10" s="769" t="s">
        <v>17</v>
      </c>
      <c r="S10" s="770">
        <f t="shared" si="0"/>
        <v>100</v>
      </c>
      <c r="T10" s="769" t="s">
        <v>17</v>
      </c>
      <c r="U10" s="770">
        <f t="shared" si="1"/>
        <v>100</v>
      </c>
      <c r="V10" s="769" t="s">
        <v>17</v>
      </c>
      <c r="W10" s="770">
        <f t="shared" si="2"/>
        <v>100</v>
      </c>
      <c r="X10" s="771"/>
      <c r="Y10" s="3052"/>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218"/>
      <c r="Q11" s="1794">
        <f t="shared" si="6"/>
        <v>111</v>
      </c>
      <c r="R11" s="769" t="s">
        <v>17</v>
      </c>
      <c r="S11" s="770">
        <f t="shared" si="0"/>
        <v>100</v>
      </c>
      <c r="T11" s="769" t="s">
        <v>17</v>
      </c>
      <c r="U11" s="770">
        <f t="shared" si="1"/>
        <v>100</v>
      </c>
      <c r="V11" s="769" t="s">
        <v>17</v>
      </c>
      <c r="W11" s="770">
        <f t="shared" si="2"/>
        <v>100</v>
      </c>
      <c r="X11" s="771"/>
      <c r="Y11" s="3052"/>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218"/>
      <c r="Q12" s="1794">
        <f t="shared" si="6"/>
        <v>111</v>
      </c>
      <c r="R12" s="769" t="s">
        <v>17</v>
      </c>
      <c r="S12" s="770">
        <f t="shared" si="0"/>
        <v>100</v>
      </c>
      <c r="T12" s="769" t="s">
        <v>17</v>
      </c>
      <c r="U12" s="770">
        <f t="shared" si="1"/>
        <v>100</v>
      </c>
      <c r="V12" s="769" t="s">
        <v>17</v>
      </c>
      <c r="W12" s="770">
        <f t="shared" si="2"/>
        <v>100</v>
      </c>
      <c r="X12" s="771"/>
      <c r="Y12" s="3052"/>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218"/>
      <c r="Q13" s="1794">
        <f t="shared" si="6"/>
        <v>111</v>
      </c>
      <c r="R13" s="769" t="s">
        <v>17</v>
      </c>
      <c r="S13" s="770">
        <f t="shared" si="0"/>
        <v>100</v>
      </c>
      <c r="T13" s="769" t="s">
        <v>17</v>
      </c>
      <c r="U13" s="770">
        <f t="shared" si="1"/>
        <v>100</v>
      </c>
      <c r="V13" s="769" t="s">
        <v>17</v>
      </c>
      <c r="W13" s="770">
        <f t="shared" si="2"/>
        <v>100</v>
      </c>
      <c r="X13" s="771"/>
      <c r="Y13" s="3052"/>
      <c r="Z13" s="55">
        <f t="shared" si="7"/>
        <v>111</v>
      </c>
      <c r="AA13" s="772">
        <f t="shared" si="3"/>
        <v>1</v>
      </c>
      <c r="AB13" s="772">
        <f t="shared" si="4"/>
        <v>1</v>
      </c>
      <c r="AC13" s="772">
        <f t="shared" si="5"/>
        <v>1</v>
      </c>
    </row>
    <row r="14" spans="1:29" ht="85.5">
      <c r="A14" s="400" t="s">
        <v>2563</v>
      </c>
      <c r="B14" s="628" t="s">
        <v>2713</v>
      </c>
      <c r="C14" s="2693"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225" t="s">
        <v>2564</v>
      </c>
      <c r="Q14" s="1809" t="str">
        <f t="shared" si="6"/>
        <v>交通便捷度</v>
      </c>
      <c r="R14" s="773" t="s">
        <v>17</v>
      </c>
      <c r="S14" s="774">
        <f t="shared" si="0"/>
        <v>100</v>
      </c>
      <c r="T14" s="773" t="s">
        <v>17</v>
      </c>
      <c r="U14" s="774">
        <f t="shared" si="1"/>
        <v>100</v>
      </c>
      <c r="V14" s="773" t="s">
        <v>17</v>
      </c>
      <c r="W14" s="774">
        <f t="shared" si="2"/>
        <v>100</v>
      </c>
      <c r="X14" s="1812"/>
      <c r="Y14" s="3225" t="s">
        <v>2564</v>
      </c>
      <c r="Z14" s="1813" t="str">
        <f t="shared" si="7"/>
        <v>交通便捷度</v>
      </c>
      <c r="AA14" s="1810">
        <f t="shared" si="3"/>
        <v>1</v>
      </c>
      <c r="AB14" s="1810">
        <f t="shared" si="4"/>
        <v>1</v>
      </c>
      <c r="AC14" s="1810">
        <f t="shared" si="5"/>
        <v>1</v>
      </c>
    </row>
    <row r="15" spans="1:29" ht="15">
      <c r="A15" s="403"/>
      <c r="B15" s="646"/>
      <c r="C15" s="446"/>
      <c r="D15" s="447"/>
      <c r="E15" s="446"/>
      <c r="F15" s="448"/>
      <c r="G15" s="446"/>
      <c r="H15" s="449"/>
      <c r="I15" s="446"/>
      <c r="J15" s="447"/>
      <c r="K15" s="614"/>
      <c r="L15" s="1139"/>
      <c r="M15" s="1130"/>
      <c r="N15" s="1130"/>
      <c r="O15" s="1130"/>
      <c r="P15" s="3226"/>
      <c r="Q15" s="1809"/>
      <c r="R15" s="773"/>
      <c r="S15" s="774"/>
      <c r="T15" s="773"/>
      <c r="U15" s="774"/>
      <c r="V15" s="773"/>
      <c r="W15" s="774"/>
      <c r="X15" s="1812"/>
      <c r="Y15" s="3226"/>
      <c r="Z15" s="1813"/>
      <c r="AA15" s="1810">
        <v>1</v>
      </c>
      <c r="AB15" s="1810">
        <v>1</v>
      </c>
      <c r="AC15" s="1810">
        <v>1</v>
      </c>
    </row>
    <row r="16" spans="1:29" ht="42.75">
      <c r="A16" s="403"/>
      <c r="B16" s="630" t="s">
        <v>2692</v>
      </c>
      <c r="C16" s="2607"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26"/>
      <c r="Q16" s="1809" t="str">
        <f>B16</f>
        <v>公共配套设施</v>
      </c>
      <c r="R16" s="773" t="s">
        <v>17</v>
      </c>
      <c r="S16" s="774">
        <f>F16</f>
        <v>100</v>
      </c>
      <c r="T16" s="773" t="s">
        <v>17</v>
      </c>
      <c r="U16" s="774">
        <f>H16</f>
        <v>100</v>
      </c>
      <c r="V16" s="773" t="s">
        <v>17</v>
      </c>
      <c r="W16" s="774">
        <f>J16</f>
        <v>100</v>
      </c>
      <c r="X16" s="1812"/>
      <c r="Y16" s="3226"/>
      <c r="Z16" s="1813" t="str">
        <f>Q16</f>
        <v>公共配套设施</v>
      </c>
      <c r="AA16" s="1810">
        <f t="shared" si="3"/>
        <v>1</v>
      </c>
      <c r="AB16" s="1810">
        <f t="shared" si="4"/>
        <v>1</v>
      </c>
      <c r="AC16" s="1810">
        <f t="shared" si="5"/>
        <v>1</v>
      </c>
    </row>
    <row r="17" spans="1:29" ht="15">
      <c r="A17" s="403"/>
      <c r="B17" s="631"/>
      <c r="C17" s="2608"/>
      <c r="D17" s="447"/>
      <c r="E17" s="446"/>
      <c r="F17" s="448"/>
      <c r="G17" s="446"/>
      <c r="H17" s="447"/>
      <c r="I17" s="446"/>
      <c r="J17" s="447"/>
      <c r="K17" s="614"/>
      <c r="L17" s="1139"/>
      <c r="M17" s="1130"/>
      <c r="N17" s="1130"/>
      <c r="O17" s="1130"/>
      <c r="P17" s="3226"/>
      <c r="Q17" s="1809"/>
      <c r="R17" s="773"/>
      <c r="S17" s="774"/>
      <c r="T17" s="773"/>
      <c r="U17" s="774"/>
      <c r="V17" s="773"/>
      <c r="W17" s="774"/>
      <c r="X17" s="1812"/>
      <c r="Y17" s="3226"/>
      <c r="Z17" s="1813"/>
      <c r="AA17" s="1810">
        <v>1</v>
      </c>
      <c r="AB17" s="1810">
        <v>1</v>
      </c>
      <c r="AC17" s="1810">
        <v>1</v>
      </c>
    </row>
    <row r="18" spans="1:29" ht="28.5">
      <c r="A18" s="403"/>
      <c r="B18" s="632" t="s">
        <v>2693</v>
      </c>
      <c r="C18" s="2607"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26"/>
      <c r="Q18" s="1809" t="str">
        <f>B18</f>
        <v>基础设施水平</v>
      </c>
      <c r="R18" s="773" t="s">
        <v>17</v>
      </c>
      <c r="S18" s="774">
        <f>F18</f>
        <v>100</v>
      </c>
      <c r="T18" s="773" t="s">
        <v>17</v>
      </c>
      <c r="U18" s="774">
        <f>H18</f>
        <v>100</v>
      </c>
      <c r="V18" s="773" t="s">
        <v>17</v>
      </c>
      <c r="W18" s="774">
        <f>J18</f>
        <v>100</v>
      </c>
      <c r="X18" s="1812"/>
      <c r="Y18" s="3226"/>
      <c r="Z18" s="1813" t="str">
        <f>Q18</f>
        <v>基础设施水平</v>
      </c>
      <c r="AA18" s="1810">
        <f t="shared" ref="AA18" si="8">D18/F18</f>
        <v>1</v>
      </c>
      <c r="AB18" s="1810">
        <f t="shared" ref="AB18" si="9">D18/H18</f>
        <v>1</v>
      </c>
      <c r="AC18" s="1810">
        <f t="shared" ref="AC18" si="10">D18/J18</f>
        <v>1</v>
      </c>
    </row>
    <row r="19" spans="1:29" ht="15">
      <c r="A19" s="403"/>
      <c r="B19" s="632"/>
      <c r="C19" s="2608"/>
      <c r="D19" s="449"/>
      <c r="E19" s="2608"/>
      <c r="F19" s="452"/>
      <c r="G19" s="2608"/>
      <c r="H19" s="447"/>
      <c r="I19" s="446"/>
      <c r="J19" s="447"/>
      <c r="K19" s="1382"/>
      <c r="L19" s="1139"/>
      <c r="M19" s="1130"/>
      <c r="N19" s="1130"/>
      <c r="O19" s="1130"/>
      <c r="P19" s="3226"/>
      <c r="Q19" s="1809"/>
      <c r="R19" s="773"/>
      <c r="S19" s="774"/>
      <c r="T19" s="773"/>
      <c r="U19" s="774"/>
      <c r="V19" s="773"/>
      <c r="W19" s="774"/>
      <c r="X19" s="1812"/>
      <c r="Y19" s="3226"/>
      <c r="Z19" s="1813"/>
      <c r="AA19" s="1810">
        <v>1</v>
      </c>
      <c r="AB19" s="1810">
        <v>1</v>
      </c>
      <c r="AC19" s="1810">
        <v>1</v>
      </c>
    </row>
    <row r="20" spans="1:29" ht="57">
      <c r="A20" s="403"/>
      <c r="B20" s="630" t="s">
        <v>2714</v>
      </c>
      <c r="C20" s="2607"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26"/>
      <c r="Q20" s="1809" t="str">
        <f>B20</f>
        <v>自然及人文环境</v>
      </c>
      <c r="R20" s="773" t="s">
        <v>17</v>
      </c>
      <c r="S20" s="774">
        <f>F20</f>
        <v>100</v>
      </c>
      <c r="T20" s="773" t="s">
        <v>17</v>
      </c>
      <c r="U20" s="774">
        <f>H20</f>
        <v>100</v>
      </c>
      <c r="V20" s="773" t="s">
        <v>17</v>
      </c>
      <c r="W20" s="774">
        <f>J20</f>
        <v>100</v>
      </c>
      <c r="X20" s="1812"/>
      <c r="Y20" s="3226"/>
      <c r="Z20" s="1813" t="str">
        <f>Q20</f>
        <v>自然及人文环境</v>
      </c>
      <c r="AA20" s="1810">
        <f t="shared" si="3"/>
        <v>1</v>
      </c>
      <c r="AB20" s="1810">
        <f t="shared" si="4"/>
        <v>1</v>
      </c>
      <c r="AC20" s="1810">
        <f t="shared" si="5"/>
        <v>1</v>
      </c>
    </row>
    <row r="21" spans="1:29" ht="15">
      <c r="A21" s="403"/>
      <c r="B21" s="631"/>
      <c r="C21" s="446"/>
      <c r="D21" s="447"/>
      <c r="E21" s="446"/>
      <c r="F21" s="448"/>
      <c r="G21" s="446"/>
      <c r="H21" s="447"/>
      <c r="I21" s="446"/>
      <c r="J21" s="447"/>
      <c r="K21" s="614"/>
      <c r="L21" s="1139"/>
      <c r="M21" s="1130"/>
      <c r="N21" s="1130"/>
      <c r="O21" s="1130"/>
      <c r="P21" s="3226"/>
      <c r="Q21" s="1809"/>
      <c r="R21" s="773"/>
      <c r="S21" s="774"/>
      <c r="T21" s="773"/>
      <c r="U21" s="774"/>
      <c r="V21" s="773"/>
      <c r="W21" s="774"/>
      <c r="X21" s="1812"/>
      <c r="Y21" s="3226"/>
      <c r="Z21" s="1813"/>
      <c r="AA21" s="1810">
        <v>1</v>
      </c>
      <c r="AB21" s="1810">
        <v>1</v>
      </c>
      <c r="AC21" s="1810">
        <v>1</v>
      </c>
    </row>
    <row r="22" spans="1:29" ht="15">
      <c r="A22" s="403"/>
      <c r="B22" s="630" t="s">
        <v>2715</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26"/>
      <c r="Q22" s="1809" t="str">
        <f>B22</f>
        <v>楼层</v>
      </c>
      <c r="R22" s="773" t="s">
        <v>17</v>
      </c>
      <c r="S22" s="774">
        <f>F22</f>
        <v>100</v>
      </c>
      <c r="T22" s="773" t="s">
        <v>17</v>
      </c>
      <c r="U22" s="774">
        <f>H22</f>
        <v>100</v>
      </c>
      <c r="V22" s="773" t="s">
        <v>17</v>
      </c>
      <c r="W22" s="774">
        <f>J22</f>
        <v>100</v>
      </c>
      <c r="X22" s="1812"/>
      <c r="Y22" s="3226"/>
      <c r="Z22" s="1813" t="str">
        <f>Q22</f>
        <v>楼层</v>
      </c>
      <c r="AA22" s="1810">
        <f t="shared" si="3"/>
        <v>1</v>
      </c>
      <c r="AB22" s="1810">
        <f t="shared" si="4"/>
        <v>1</v>
      </c>
      <c r="AC22" s="1810">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26"/>
      <c r="Q23" s="1809">
        <f>B23</f>
        <v>111</v>
      </c>
      <c r="R23" s="773" t="s">
        <v>17</v>
      </c>
      <c r="S23" s="774">
        <f>F23</f>
        <v>100</v>
      </c>
      <c r="T23" s="773" t="s">
        <v>17</v>
      </c>
      <c r="U23" s="774">
        <f>H23</f>
        <v>100</v>
      </c>
      <c r="V23" s="773" t="s">
        <v>17</v>
      </c>
      <c r="W23" s="774">
        <f>J23</f>
        <v>100</v>
      </c>
      <c r="X23" s="1812"/>
      <c r="Y23" s="3226"/>
      <c r="Z23" s="1813">
        <f>Q23</f>
        <v>111</v>
      </c>
      <c r="AA23" s="1810">
        <f t="shared" si="3"/>
        <v>1</v>
      </c>
      <c r="AB23" s="1810">
        <f t="shared" si="4"/>
        <v>1</v>
      </c>
      <c r="AC23" s="1810">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26"/>
      <c r="Q24" s="1809">
        <f t="shared" ref="Q24:Q36" si="11">B24</f>
        <v>111</v>
      </c>
      <c r="R24" s="773" t="s">
        <v>17</v>
      </c>
      <c r="S24" s="774">
        <f>F24</f>
        <v>100</v>
      </c>
      <c r="T24" s="773" t="s">
        <v>17</v>
      </c>
      <c r="U24" s="774">
        <f>H24</f>
        <v>100</v>
      </c>
      <c r="V24" s="773" t="s">
        <v>17</v>
      </c>
      <c r="W24" s="774">
        <f>J24</f>
        <v>100</v>
      </c>
      <c r="X24" s="1812"/>
      <c r="Y24" s="3226"/>
      <c r="Z24" s="1813">
        <f>Q24</f>
        <v>111</v>
      </c>
      <c r="AA24" s="1810">
        <f t="shared" si="3"/>
        <v>1</v>
      </c>
      <c r="AB24" s="1810">
        <f t="shared" si="4"/>
        <v>1</v>
      </c>
      <c r="AC24" s="1810">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226"/>
      <c r="Q25" s="1794">
        <f t="shared" si="11"/>
        <v>111</v>
      </c>
      <c r="R25" s="769" t="s">
        <v>17</v>
      </c>
      <c r="S25" s="770">
        <f>F25</f>
        <v>100</v>
      </c>
      <c r="T25" s="769" t="s">
        <v>17</v>
      </c>
      <c r="U25" s="770">
        <f>H25</f>
        <v>100</v>
      </c>
      <c r="V25" s="769" t="s">
        <v>17</v>
      </c>
      <c r="W25" s="770">
        <f>J25</f>
        <v>100</v>
      </c>
      <c r="X25" s="771"/>
      <c r="Y25" s="3226"/>
      <c r="Z25" s="55">
        <f>Q25</f>
        <v>111</v>
      </c>
      <c r="AA25" s="1810">
        <f>D25/F25</f>
        <v>1</v>
      </c>
      <c r="AB25" s="1810">
        <f>D25/H25</f>
        <v>1</v>
      </c>
      <c r="AC25" s="1810">
        <f>D25/J25</f>
        <v>1</v>
      </c>
    </row>
    <row r="26" spans="1:29" ht="15">
      <c r="A26" s="651" t="s">
        <v>2567</v>
      </c>
      <c r="B26" s="70" t="s">
        <v>2716</v>
      </c>
      <c r="C26" s="2694">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307" t="s">
        <v>2569</v>
      </c>
      <c r="Q26" s="1809" t="str">
        <f t="shared" si="11"/>
        <v>配套类型</v>
      </c>
      <c r="R26" s="773" t="s">
        <v>17</v>
      </c>
      <c r="S26" s="774">
        <f t="shared" ref="S26:S36" si="12">F26</f>
        <v>100</v>
      </c>
      <c r="T26" s="773" t="s">
        <v>17</v>
      </c>
      <c r="U26" s="774">
        <f t="shared" ref="U26:U36" si="13">H26</f>
        <v>100</v>
      </c>
      <c r="V26" s="773" t="s">
        <v>17</v>
      </c>
      <c r="W26" s="774">
        <f t="shared" ref="W26:W36" si="14">J26</f>
        <v>100</v>
      </c>
      <c r="X26" s="1812"/>
      <c r="Y26" s="3230" t="s">
        <v>2569</v>
      </c>
      <c r="Z26" s="1813" t="str">
        <f t="shared" ref="Z26:Z36" si="15">Q26</f>
        <v>配套类型</v>
      </c>
      <c r="AA26" s="1810">
        <f t="shared" si="3"/>
        <v>1</v>
      </c>
      <c r="AB26" s="1810">
        <f t="shared" si="4"/>
        <v>1</v>
      </c>
      <c r="AC26" s="1810">
        <f t="shared" si="5"/>
        <v>1</v>
      </c>
    </row>
    <row r="27" spans="1:29" s="470" customFormat="1" ht="15">
      <c r="A27" s="652"/>
      <c r="B27" s="653" t="s">
        <v>2717</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230"/>
      <c r="Q27" s="775" t="str">
        <f t="shared" si="11"/>
        <v>项目停车位配比</v>
      </c>
      <c r="R27" s="776" t="s">
        <v>17</v>
      </c>
      <c r="S27" s="777">
        <f t="shared" si="12"/>
        <v>100</v>
      </c>
      <c r="T27" s="776" t="s">
        <v>17</v>
      </c>
      <c r="U27" s="777">
        <f t="shared" si="13"/>
        <v>100</v>
      </c>
      <c r="V27" s="776" t="s">
        <v>17</v>
      </c>
      <c r="W27" s="777">
        <f t="shared" si="14"/>
        <v>100</v>
      </c>
      <c r="X27" s="778"/>
      <c r="Y27" s="3230"/>
      <c r="Z27" s="779" t="str">
        <f t="shared" si="15"/>
        <v>项目停车位配比</v>
      </c>
      <c r="AA27" s="1810">
        <f t="shared" si="3"/>
        <v>1</v>
      </c>
      <c r="AB27" s="1810">
        <f t="shared" si="4"/>
        <v>1</v>
      </c>
      <c r="AC27" s="1810">
        <f t="shared" si="5"/>
        <v>1</v>
      </c>
    </row>
    <row r="28" spans="1:29" ht="15">
      <c r="A28" s="655"/>
      <c r="B28" s="653" t="s">
        <v>2718</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30"/>
      <c r="Q28" s="1809" t="str">
        <f t="shared" si="11"/>
        <v>公共部分装修</v>
      </c>
      <c r="R28" s="773" t="s">
        <v>17</v>
      </c>
      <c r="S28" s="774">
        <f t="shared" si="12"/>
        <v>100</v>
      </c>
      <c r="T28" s="773" t="s">
        <v>17</v>
      </c>
      <c r="U28" s="774">
        <f t="shared" si="13"/>
        <v>100</v>
      </c>
      <c r="V28" s="773" t="s">
        <v>17</v>
      </c>
      <c r="W28" s="774">
        <f t="shared" si="14"/>
        <v>100</v>
      </c>
      <c r="X28" s="1812"/>
      <c r="Y28" s="3230"/>
      <c r="Z28" s="1813" t="str">
        <f t="shared" si="15"/>
        <v>公共部分装修</v>
      </c>
      <c r="AA28" s="1810">
        <f t="shared" si="3"/>
        <v>1</v>
      </c>
      <c r="AB28" s="1810">
        <f t="shared" si="4"/>
        <v>1</v>
      </c>
      <c r="AC28" s="1810">
        <f t="shared" si="5"/>
        <v>1</v>
      </c>
    </row>
    <row r="29" spans="1:29" ht="15">
      <c r="A29" s="655"/>
      <c r="B29" s="653" t="s">
        <v>2719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30"/>
      <c r="Q29" s="1809" t="str">
        <f t="shared" si="11"/>
        <v>成新率</v>
      </c>
      <c r="R29" s="773" t="s">
        <v>17</v>
      </c>
      <c r="S29" s="774" t="e">
        <f t="shared" si="12"/>
        <v>#N/A</v>
      </c>
      <c r="T29" s="773" t="s">
        <v>17</v>
      </c>
      <c r="U29" s="774" t="e">
        <f t="shared" si="13"/>
        <v>#N/A</v>
      </c>
      <c r="V29" s="773" t="s">
        <v>17</v>
      </c>
      <c r="W29" s="774" t="e">
        <f t="shared" si="14"/>
        <v>#N/A</v>
      </c>
      <c r="X29" s="1812"/>
      <c r="Y29" s="3230"/>
      <c r="Z29" s="1813" t="str">
        <f t="shared" si="15"/>
        <v>成新率</v>
      </c>
      <c r="AA29" s="1810" t="e">
        <f t="shared" si="3"/>
        <v>#N/A</v>
      </c>
      <c r="AB29" s="1810" t="e">
        <f t="shared" si="4"/>
        <v>#N/A</v>
      </c>
      <c r="AC29" s="1810" t="e">
        <f t="shared" si="5"/>
        <v>#N/A</v>
      </c>
    </row>
    <row r="30" spans="1:29" ht="15">
      <c r="A30" s="655"/>
      <c r="B30" s="653" t="s">
        <v>2720</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230"/>
      <c r="Q30" s="1809" t="str">
        <f t="shared" si="11"/>
        <v>物业等级</v>
      </c>
      <c r="R30" s="773" t="s">
        <v>17</v>
      </c>
      <c r="S30" s="774">
        <f t="shared" si="12"/>
        <v>100</v>
      </c>
      <c r="T30" s="773" t="s">
        <v>17</v>
      </c>
      <c r="U30" s="774">
        <f t="shared" si="13"/>
        <v>100</v>
      </c>
      <c r="V30" s="773" t="s">
        <v>17</v>
      </c>
      <c r="W30" s="774">
        <f t="shared" si="14"/>
        <v>100</v>
      </c>
      <c r="X30" s="1812"/>
      <c r="Y30" s="3230"/>
      <c r="Z30" s="1813" t="str">
        <f t="shared" si="15"/>
        <v>物业等级</v>
      </c>
      <c r="AA30" s="1810">
        <f t="shared" si="3"/>
        <v>1</v>
      </c>
      <c r="AB30" s="1810">
        <f t="shared" si="4"/>
        <v>1</v>
      </c>
      <c r="AC30" s="1810">
        <f t="shared" si="5"/>
        <v>1</v>
      </c>
    </row>
    <row r="31" spans="1:29" s="116" customFormat="1" ht="15">
      <c r="A31" s="657"/>
      <c r="B31" s="653" t="s">
        <v>2721</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30"/>
      <c r="Q31" s="1794" t="str">
        <f t="shared" si="11"/>
        <v>停车位面积</v>
      </c>
      <c r="R31" s="769" t="s">
        <v>17</v>
      </c>
      <c r="S31" s="770" t="e">
        <f t="shared" si="12"/>
        <v>#N/A</v>
      </c>
      <c r="T31" s="769" t="s">
        <v>17</v>
      </c>
      <c r="U31" s="770" t="e">
        <f t="shared" si="13"/>
        <v>#N/A</v>
      </c>
      <c r="V31" s="769" t="s">
        <v>17</v>
      </c>
      <c r="W31" s="770" t="e">
        <f t="shared" si="14"/>
        <v>#N/A</v>
      </c>
      <c r="X31" s="771"/>
      <c r="Y31" s="3230"/>
      <c r="Z31" s="55" t="str">
        <f t="shared" si="15"/>
        <v>停车位面积</v>
      </c>
      <c r="AA31" s="772" t="e">
        <f t="shared" si="3"/>
        <v>#N/A</v>
      </c>
      <c r="AB31" s="772" t="e">
        <f t="shared" si="4"/>
        <v>#N/A</v>
      </c>
      <c r="AC31" s="772" t="e">
        <f t="shared" si="5"/>
        <v>#N/A</v>
      </c>
    </row>
    <row r="32" spans="1:29" ht="15">
      <c r="A32" s="655"/>
      <c r="B32" s="653" t="s">
        <v>2722</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30" t="s">
        <v>2569</v>
      </c>
      <c r="Q32" s="1809" t="str">
        <f t="shared" si="11"/>
        <v>车位类型</v>
      </c>
      <c r="R32" s="773" t="s">
        <v>17</v>
      </c>
      <c r="S32" s="774">
        <f t="shared" si="12"/>
        <v>100</v>
      </c>
      <c r="T32" s="773" t="s">
        <v>17</v>
      </c>
      <c r="U32" s="774">
        <f t="shared" si="13"/>
        <v>100</v>
      </c>
      <c r="V32" s="773" t="s">
        <v>17</v>
      </c>
      <c r="W32" s="774">
        <f t="shared" si="14"/>
        <v>100</v>
      </c>
      <c r="X32" s="1812"/>
      <c r="Y32" s="3230" t="s">
        <v>2569</v>
      </c>
      <c r="Z32" s="1813" t="str">
        <f t="shared" si="15"/>
        <v>车位类型</v>
      </c>
      <c r="AA32" s="1810">
        <f t="shared" si="3"/>
        <v>1</v>
      </c>
      <c r="AB32" s="1810">
        <f t="shared" si="4"/>
        <v>1</v>
      </c>
      <c r="AC32" s="1810">
        <f t="shared" si="5"/>
        <v>1</v>
      </c>
    </row>
    <row r="33" spans="1:29" ht="15">
      <c r="A33" s="655"/>
      <c r="B33" s="653" t="s">
        <v>2723</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30"/>
      <c r="Q33" s="1809" t="str">
        <f t="shared" si="11"/>
        <v>是否直接入户</v>
      </c>
      <c r="R33" s="773" t="s">
        <v>17</v>
      </c>
      <c r="S33" s="774">
        <f t="shared" si="12"/>
        <v>100</v>
      </c>
      <c r="T33" s="773" t="s">
        <v>17</v>
      </c>
      <c r="U33" s="774">
        <f t="shared" si="13"/>
        <v>100</v>
      </c>
      <c r="V33" s="773" t="s">
        <v>17</v>
      </c>
      <c r="W33" s="774">
        <f t="shared" si="14"/>
        <v>100</v>
      </c>
      <c r="X33" s="1812"/>
      <c r="Y33" s="3230"/>
      <c r="Z33" s="1813" t="str">
        <f t="shared" si="15"/>
        <v>是否直接入户</v>
      </c>
      <c r="AA33" s="1810">
        <f t="shared" si="3"/>
        <v>1</v>
      </c>
      <c r="AB33" s="1810">
        <f t="shared" si="4"/>
        <v>1</v>
      </c>
      <c r="AC33" s="1810">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30"/>
      <c r="Q34" s="1809">
        <f t="shared" si="11"/>
        <v>111</v>
      </c>
      <c r="R34" s="773" t="s">
        <v>17</v>
      </c>
      <c r="S34" s="774">
        <f t="shared" si="12"/>
        <v>100</v>
      </c>
      <c r="T34" s="773" t="s">
        <v>17</v>
      </c>
      <c r="U34" s="774">
        <f t="shared" si="13"/>
        <v>100</v>
      </c>
      <c r="V34" s="773" t="s">
        <v>17</v>
      </c>
      <c r="W34" s="774">
        <f t="shared" si="14"/>
        <v>100</v>
      </c>
      <c r="X34" s="1812"/>
      <c r="Y34" s="3230"/>
      <c r="Z34" s="1813">
        <f t="shared" si="15"/>
        <v>111</v>
      </c>
      <c r="AA34" s="1810">
        <f t="shared" si="3"/>
        <v>1</v>
      </c>
      <c r="AB34" s="1810">
        <f t="shared" si="4"/>
        <v>1</v>
      </c>
      <c r="AC34" s="1810">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30"/>
      <c r="Q35" s="775">
        <f t="shared" si="11"/>
        <v>111</v>
      </c>
      <c r="R35" s="776" t="s">
        <v>17</v>
      </c>
      <c r="S35" s="777">
        <f t="shared" si="12"/>
        <v>100</v>
      </c>
      <c r="T35" s="776" t="s">
        <v>17</v>
      </c>
      <c r="U35" s="777">
        <f t="shared" si="13"/>
        <v>100</v>
      </c>
      <c r="V35" s="776" t="s">
        <v>17</v>
      </c>
      <c r="W35" s="777">
        <f t="shared" si="14"/>
        <v>100</v>
      </c>
      <c r="X35" s="778"/>
      <c r="Y35" s="3230"/>
      <c r="Z35" s="779">
        <f t="shared" si="15"/>
        <v>111</v>
      </c>
      <c r="AA35" s="1810">
        <f t="shared" si="3"/>
        <v>1</v>
      </c>
      <c r="AB35" s="1810">
        <f t="shared" si="4"/>
        <v>1</v>
      </c>
      <c r="AC35" s="1810">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30"/>
      <c r="Q36" s="1809">
        <f t="shared" si="11"/>
        <v>111</v>
      </c>
      <c r="R36" s="773" t="s">
        <v>17</v>
      </c>
      <c r="S36" s="774">
        <f t="shared" si="12"/>
        <v>100</v>
      </c>
      <c r="T36" s="773" t="s">
        <v>17</v>
      </c>
      <c r="U36" s="774">
        <f t="shared" si="13"/>
        <v>100</v>
      </c>
      <c r="V36" s="773" t="s">
        <v>17</v>
      </c>
      <c r="W36" s="774">
        <f t="shared" si="14"/>
        <v>100</v>
      </c>
      <c r="X36" s="1812"/>
      <c r="Y36" s="3230"/>
      <c r="Z36" s="1813">
        <f t="shared" si="15"/>
        <v>111</v>
      </c>
      <c r="AA36" s="1810">
        <f t="shared" si="3"/>
        <v>1</v>
      </c>
      <c r="AB36" s="1810">
        <f t="shared" si="4"/>
        <v>1</v>
      </c>
      <c r="AC36" s="1810">
        <f t="shared" si="5"/>
        <v>1</v>
      </c>
    </row>
    <row r="37" spans="1:29" ht="15">
      <c r="A37" s="478" t="s">
        <v>2724</v>
      </c>
      <c r="B37" s="2695" t="s">
        <v>2725</v>
      </c>
      <c r="C37" s="1406" t="s">
        <v>1</v>
      </c>
      <c r="D37" s="1407"/>
      <c r="E37" s="1408"/>
      <c r="F37" s="1409"/>
      <c r="G37" s="1410"/>
      <c r="H37" s="1411"/>
      <c r="I37" s="1408"/>
      <c r="J37" s="1411"/>
      <c r="K37" s="618"/>
      <c r="L37" s="1142"/>
      <c r="M37" s="1143"/>
      <c r="N37" s="1130"/>
      <c r="O37" s="1143"/>
      <c r="P37" s="3218" t="str">
        <f>A37</f>
        <v>成交单价</v>
      </c>
      <c r="Q37" s="3218"/>
      <c r="R37" s="3219">
        <f>E37</f>
        <v>0</v>
      </c>
      <c r="S37" s="3219"/>
      <c r="T37" s="3219">
        <f>G37</f>
        <v>0</v>
      </c>
      <c r="U37" s="3219"/>
      <c r="V37" s="3219">
        <f>I37</f>
        <v>0</v>
      </c>
      <c r="W37" s="3219"/>
      <c r="X37" s="758"/>
      <c r="Y37" s="780"/>
      <c r="Z37" s="758"/>
      <c r="AA37" s="758"/>
      <c r="AB37" s="758"/>
      <c r="AC37" s="758"/>
    </row>
    <row r="38" spans="1:29" ht="15.75" thickBot="1">
      <c r="A38" s="485" t="s">
        <v>2726</v>
      </c>
      <c r="B38" s="486" t="str">
        <f>B37</f>
        <v>元/车位</v>
      </c>
      <c r="C38" s="1412" t="e">
        <f>R39</f>
        <v>#DIV/0!</v>
      </c>
      <c r="D38" s="1413"/>
      <c r="E38" s="1414" t="e">
        <f>R38</f>
        <v>#DIV/0!</v>
      </c>
      <c r="F38" s="1414"/>
      <c r="G38" s="1412" t="e">
        <f>T38</f>
        <v>#DIV/0!</v>
      </c>
      <c r="H38" s="1413"/>
      <c r="I38" s="1414" t="e">
        <f>V38</f>
        <v>#DIV/0!</v>
      </c>
      <c r="J38" s="1413"/>
      <c r="K38" s="619"/>
      <c r="L38" s="1142"/>
      <c r="M38" s="1143"/>
      <c r="N38" s="1143"/>
      <c r="O38" s="1143"/>
      <c r="P38" s="3218" t="str">
        <f>A38</f>
        <v>比较价值（元/平方米）</v>
      </c>
      <c r="Q38" s="3218"/>
      <c r="R38" s="3219" t="e">
        <f>IF(F1="售价",ROUND(PRODUCT(R37,AA7:AA36),0),ROUND(PRODUCT(R37,AA7:AA36),1))</f>
        <v>#DIV/0!</v>
      </c>
      <c r="S38" s="3219"/>
      <c r="T38" s="3219" t="e">
        <f>IF(F1="售价",ROUND(PRODUCT(T37,AB7:AB36),0),ROUND(PRODUCT(T37,AB7:AB36),1))</f>
        <v>#DIV/0!</v>
      </c>
      <c r="U38" s="3219"/>
      <c r="V38" s="3219" t="e">
        <f>IF(F1="售价",ROUND(PRODUCT(V37,AC7:AC36),0),ROUND(PRODUCT(V37,AC7:AC36),1))</f>
        <v>#DIV/0!</v>
      </c>
      <c r="W38" s="3219"/>
      <c r="X38" s="758"/>
      <c r="Y38" s="758"/>
      <c r="Z38" s="758"/>
      <c r="AA38" s="758"/>
      <c r="AB38" s="758"/>
      <c r="AC38" s="758"/>
    </row>
    <row r="39" spans="1:29" ht="15.75" thickBot="1">
      <c r="A39" s="491" t="s">
        <v>2727</v>
      </c>
      <c r="B39" s="492"/>
      <c r="C39" s="1416" t="e">
        <f>R39</f>
        <v>#DIV/0!</v>
      </c>
      <c r="D39" s="1416"/>
      <c r="E39" s="1416"/>
      <c r="F39" s="1416"/>
      <c r="G39" s="1416"/>
      <c r="H39" s="1416"/>
      <c r="I39" s="1416"/>
      <c r="J39" s="1416"/>
      <c r="K39" s="620"/>
      <c r="L39" s="1142"/>
      <c r="M39" s="1143"/>
      <c r="N39" s="1143"/>
      <c r="O39" s="1143"/>
      <c r="P39" s="3290" t="str">
        <f>A39</f>
        <v>估价对象XX用房的比较价值（楼面单价，元/平方米）</v>
      </c>
      <c r="Q39" s="3291"/>
      <c r="R39" s="3292" t="e">
        <f>IF(F1="售价",ROUND(AVERAGE(R38:V38),0),ROUND(AVERAGE(R38:V38),1))</f>
        <v>#DIV/0!</v>
      </c>
      <c r="S39" s="3292"/>
      <c r="T39" s="3292"/>
      <c r="U39" s="3292"/>
      <c r="V39" s="3292"/>
      <c r="W39" s="3292"/>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2728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2729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2730</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2731</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5">
      <c r="A48" s="504" t="s">
        <v>2732</v>
      </c>
      <c r="B48" s="505"/>
      <c r="C48" s="1573" t="str">
        <f>YEAR(C7)&amp;"-"&amp;MONTH(C7)</f>
        <v>2018-6</v>
      </c>
      <c r="D48" s="1574">
        <f>EDATE(C48,-1)</f>
        <v>43221</v>
      </c>
      <c r="E48" s="1574">
        <f t="shared" ref="E48:O48" si="16">EDATE(D48,-1)</f>
        <v>43191</v>
      </c>
      <c r="F48" s="1574">
        <f t="shared" si="16"/>
        <v>43160</v>
      </c>
      <c r="G48" s="1574">
        <f t="shared" si="16"/>
        <v>43132</v>
      </c>
      <c r="H48" s="1574">
        <f t="shared" si="16"/>
        <v>43101</v>
      </c>
      <c r="I48" s="1574">
        <f t="shared" si="16"/>
        <v>43070</v>
      </c>
      <c r="J48" s="1574">
        <f t="shared" si="16"/>
        <v>43040</v>
      </c>
      <c r="K48" s="1574">
        <f t="shared" si="16"/>
        <v>43009</v>
      </c>
      <c r="L48" s="1574">
        <f t="shared" si="16"/>
        <v>42979</v>
      </c>
      <c r="M48" s="1574">
        <f t="shared" si="16"/>
        <v>42948</v>
      </c>
      <c r="N48" s="1574">
        <f t="shared" si="16"/>
        <v>42917</v>
      </c>
      <c r="O48" s="1574">
        <f t="shared" si="16"/>
        <v>42887</v>
      </c>
      <c r="P48" s="1437"/>
      <c r="Q48" s="1438"/>
      <c r="R48" s="1438"/>
      <c r="S48" s="1438"/>
      <c r="T48" s="1438"/>
      <c r="U48" s="1438"/>
      <c r="V48" s="1438"/>
      <c r="W48" s="1438"/>
      <c r="X48" s="1438"/>
      <c r="Y48" s="1438"/>
      <c r="Z48" s="1438"/>
      <c r="AA48" s="1438"/>
      <c r="AB48" s="1438"/>
      <c r="AC48" s="1438"/>
    </row>
    <row r="49" spans="1:29" s="116" customFormat="1" ht="15">
      <c r="A49" s="508"/>
      <c r="B49" s="509"/>
      <c r="C49" s="1565">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6" customFormat="1" ht="15.75" thickBot="1">
      <c r="A50" s="514" t="s">
        <v>2589</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6" customFormat="1" ht="15">
      <c r="A51" s="520" t="s">
        <v>2554</v>
      </c>
      <c r="B51" s="509"/>
      <c r="C51" s="521" t="s">
        <v>2656</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6" customFormat="1" ht="15.75" thickBot="1">
      <c r="A52" s="520"/>
      <c r="B52" s="509"/>
      <c r="C52" s="638">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c r="A53" s="526" t="s">
        <v>2592</v>
      </c>
      <c r="B53" s="527" t="s">
        <v>2558</v>
      </c>
      <c r="C53" s="528">
        <f>C9</f>
        <v>0</v>
      </c>
      <c r="D53" s="529"/>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7.75" thickTop="1">
      <c r="A55" s="533"/>
      <c r="B55" s="537" t="s">
        <v>2561</v>
      </c>
      <c r="C55" s="538" t="s">
        <v>2593</v>
      </c>
      <c r="D55" s="538" t="s">
        <v>2594</v>
      </c>
      <c r="E55" s="538" t="s">
        <v>2595</v>
      </c>
      <c r="F55" s="538" t="s">
        <v>2596</v>
      </c>
      <c r="G55" s="538" t="s">
        <v>2597</v>
      </c>
      <c r="H55" s="538" t="s">
        <v>2598</v>
      </c>
      <c r="I55" s="538" t="s">
        <v>2599</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5.75"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5.75"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5.75"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2563</v>
      </c>
      <c r="B63" s="527" t="s">
        <v>2606</v>
      </c>
      <c r="C63" s="572" t="s">
        <v>2601</v>
      </c>
      <c r="D63" s="572" t="s">
        <v>2602</v>
      </c>
      <c r="E63" s="572" t="s">
        <v>2603</v>
      </c>
      <c r="F63" s="572" t="s">
        <v>2604</v>
      </c>
      <c r="G63" s="572" t="s">
        <v>2605</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75" thickTop="1">
      <c r="A65" s="533"/>
      <c r="B65" s="537" t="s">
        <v>2607</v>
      </c>
      <c r="C65" s="577" t="s">
        <v>2601</v>
      </c>
      <c r="D65" s="577" t="s">
        <v>2602</v>
      </c>
      <c r="E65" s="577" t="s">
        <v>2603</v>
      </c>
      <c r="F65" s="577" t="s">
        <v>2604</v>
      </c>
      <c r="G65" s="577" t="s">
        <v>2605</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75" thickTop="1">
      <c r="A67" s="533"/>
      <c r="B67" s="545" t="s">
        <v>2693</v>
      </c>
      <c r="C67" s="659" t="s">
        <v>2679</v>
      </c>
      <c r="D67" s="659" t="s">
        <v>2680</v>
      </c>
      <c r="E67" s="659" t="s">
        <v>2681</v>
      </c>
      <c r="F67" s="659" t="s">
        <v>2682</v>
      </c>
      <c r="G67" s="659" t="s">
        <v>2683</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8"/>
      <c r="Q68" s="1422"/>
      <c r="R68" s="1143"/>
      <c r="S68" s="1143"/>
      <c r="T68" s="1143"/>
      <c r="U68" s="1143"/>
      <c r="V68" s="1143"/>
      <c r="W68" s="1143"/>
      <c r="X68" s="1143"/>
      <c r="Y68" s="1143"/>
      <c r="Z68" s="1143"/>
      <c r="AA68" s="1143"/>
      <c r="AB68" s="1143"/>
      <c r="AC68" s="1143"/>
    </row>
    <row r="69" spans="1:29" ht="15.75" thickTop="1">
      <c r="A69" s="533"/>
      <c r="B69" s="537" t="s">
        <v>2613</v>
      </c>
      <c r="C69" s="577" t="s">
        <v>2601</v>
      </c>
      <c r="D69" s="577" t="s">
        <v>2602</v>
      </c>
      <c r="E69" s="577" t="s">
        <v>2603</v>
      </c>
      <c r="F69" s="577" t="s">
        <v>2604</v>
      </c>
      <c r="G69" s="577" t="s">
        <v>2605</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75" thickTop="1">
      <c r="A71" s="533"/>
      <c r="B71" s="537" t="s">
        <v>2733</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6" customFormat="1" ht="15.75"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6" customFormat="1" ht="15.75"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6" customFormat="1" ht="15.75"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6" customFormat="1" ht="15.75"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5.75"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5.75"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7.75" thickTop="1">
      <c r="A79" s="526" t="s">
        <v>2567</v>
      </c>
      <c r="B79" s="527" t="s">
        <v>2734</v>
      </c>
      <c r="C79" s="528">
        <f>C26</f>
        <v>0</v>
      </c>
      <c r="D79" s="529"/>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3"/>
      <c r="B81" s="537" t="s">
        <v>2735</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2620</v>
      </c>
      <c r="C83" s="553"/>
      <c r="D83" s="553"/>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2736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2737</v>
      </c>
      <c r="C88" s="529"/>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2738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5.75" thickBot="1">
      <c r="A92" s="552"/>
      <c r="B92" s="542"/>
      <c r="C92" s="559"/>
      <c r="D92" s="535"/>
      <c r="E92" s="535"/>
      <c r="F92" s="535"/>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2739</v>
      </c>
      <c r="C93" s="553"/>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2740</v>
      </c>
      <c r="C95" s="529"/>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5.75"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5"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91" priority="14" stopIfTrue="1" operator="containsText" text="超过">
      <formula>NOT(ISERROR(SEARCH("超过",F42)))</formula>
    </cfRule>
  </conditionalFormatting>
  <conditionalFormatting sqref="J44">
    <cfRule type="containsText" dxfId="90" priority="13" stopIfTrue="1" operator="containsText" text="超过">
      <formula>NOT(ISERROR(SEARCH("超过",J44)))</formula>
    </cfRule>
  </conditionalFormatting>
  <conditionalFormatting sqref="H44">
    <cfRule type="containsText" dxfId="89" priority="12" stopIfTrue="1" operator="containsText" text="超过">
      <formula>NOT(ISERROR(SEARCH("超过",H44)))</formula>
    </cfRule>
  </conditionalFormatting>
  <conditionalFormatting sqref="F44">
    <cfRule type="containsText" dxfId="88" priority="11" stopIfTrue="1" operator="containsText" text="超过">
      <formula>NOT(ISERROR(SEARCH("超过",F44)))</formula>
    </cfRule>
  </conditionalFormatting>
  <conditionalFormatting sqref="F43 H43 J43">
    <cfRule type="containsText" dxfId="87" priority="10" stopIfTrue="1" operator="containsText" text="超过">
      <formula>NOT(ISERROR(SEARCH("超过",F43)))</formula>
    </cfRule>
  </conditionalFormatting>
  <conditionalFormatting sqref="E42">
    <cfRule type="expression" dxfId="86" priority="9" stopIfTrue="1">
      <formula>$F$42="超过30%"</formula>
    </cfRule>
  </conditionalFormatting>
  <conditionalFormatting sqref="G44">
    <cfRule type="expression" dxfId="85" priority="8" stopIfTrue="1">
      <formula>$H$54+$H$44="超过30%"</formula>
    </cfRule>
  </conditionalFormatting>
  <conditionalFormatting sqref="E43">
    <cfRule type="expression" dxfId="84" priority="7" stopIfTrue="1">
      <formula>$F$43="超过20%"</formula>
    </cfRule>
  </conditionalFormatting>
  <conditionalFormatting sqref="E44">
    <cfRule type="expression" dxfId="83" priority="6" stopIfTrue="1">
      <formula>$F$44="超过30%"</formula>
    </cfRule>
  </conditionalFormatting>
  <conditionalFormatting sqref="G42">
    <cfRule type="expression" dxfId="82" priority="5" stopIfTrue="1">
      <formula>$H$52+$H$42="超过30%"</formula>
    </cfRule>
  </conditionalFormatting>
  <conditionalFormatting sqref="G43">
    <cfRule type="expression" dxfId="81" priority="4" stopIfTrue="1">
      <formula>$H$43="超过20%"</formula>
    </cfRule>
  </conditionalFormatting>
  <conditionalFormatting sqref="I42">
    <cfRule type="expression" dxfId="80" priority="3" stopIfTrue="1">
      <formula>$J$52+$J$42="超过30%"</formula>
    </cfRule>
  </conditionalFormatting>
  <conditionalFormatting sqref="I43">
    <cfRule type="expression" dxfId="79" priority="2" stopIfTrue="1">
      <formula>$J$53+$J$43="超过20%"</formula>
    </cfRule>
  </conditionalFormatting>
  <conditionalFormatting sqref="I44">
    <cfRule type="expression" dxfId="7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2" zoomScale="90" zoomScaleNormal="90" workbookViewId="0">
      <selection activeCell="E24" sqref="E24"/>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2532</v>
      </c>
      <c r="B1" s="2582" t="s">
        <v>2646</v>
      </c>
      <c r="C1" s="1633" t="s">
        <v>2534</v>
      </c>
      <c r="D1" s="1620"/>
      <c r="E1" s="2657"/>
      <c r="F1" s="2584" t="s">
        <v>3286</v>
      </c>
      <c r="G1" s="1630" t="s">
        <v>2536</v>
      </c>
      <c r="H1" s="1629"/>
      <c r="I1" s="1629"/>
      <c r="J1" s="1629"/>
      <c r="K1" s="1631"/>
      <c r="L1" s="1632"/>
      <c r="M1" s="1633"/>
      <c r="N1" s="1633"/>
      <c r="O1" s="1633"/>
      <c r="P1" s="2658"/>
      <c r="Q1" s="2659"/>
      <c r="R1" s="2659"/>
      <c r="S1" s="2659"/>
      <c r="T1" s="2659"/>
      <c r="U1" s="2659"/>
      <c r="V1" s="2659"/>
      <c r="W1" s="2659"/>
      <c r="X1" s="2659"/>
      <c r="Y1" s="2659"/>
      <c r="Z1" s="2659"/>
      <c r="AA1" s="2659"/>
      <c r="AB1" s="2659"/>
      <c r="AC1" s="2660"/>
    </row>
    <row r="2" spans="1:29" s="397" customFormat="1" ht="28.5" customHeight="1" thickTop="1">
      <c r="A2" s="1616" t="s">
        <v>1394</v>
      </c>
      <c r="B2" s="1417" t="e">
        <f ca="1">IF(C2="——",ROUND(C49*D3/10000,0),ROUND(C49*D3/10000,0)-D2)</f>
        <v>#REF!</v>
      </c>
      <c r="C2" s="2586"/>
      <c r="D2" s="1364" t="e">
        <f ca="1">SUMIF(INDIRECT("'"&amp;F2&amp;"'"&amp;"!A:A"),"承租人权益价值",INDIRECT("'"&amp;F2&amp;"'"&amp;"!c:c"))</f>
        <v>#REF!</v>
      </c>
      <c r="E2" s="2587" t="s">
        <v>2332</v>
      </c>
      <c r="F2" s="2588"/>
      <c r="G2" s="1124"/>
      <c r="H2" s="1124"/>
      <c r="I2" s="1124"/>
      <c r="J2" s="1124"/>
      <c r="K2" s="1124"/>
      <c r="L2" s="1127"/>
      <c r="M2" s="1128"/>
      <c r="N2" s="1128"/>
      <c r="O2" s="1128"/>
      <c r="P2" s="2661"/>
      <c r="Q2" s="1128"/>
      <c r="R2" s="1128"/>
      <c r="S2" s="1128"/>
      <c r="T2" s="1128"/>
      <c r="U2" s="1128"/>
      <c r="V2" s="1128"/>
      <c r="W2" s="1128"/>
      <c r="X2" s="1128"/>
      <c r="Y2" s="1128"/>
      <c r="Z2" s="1128"/>
      <c r="AA2" s="1128"/>
      <c r="AB2" s="1128"/>
      <c r="AC2" s="2662"/>
    </row>
    <row r="3" spans="1:29" s="397" customFormat="1" ht="28.5" customHeight="1" thickBot="1">
      <c r="A3" s="246" t="s">
        <v>1395</v>
      </c>
      <c r="B3" s="608" t="e">
        <f ca="1">IF(C2="——",C49,ROUND(B2*10000/D3,0))</f>
        <v>#REF!</v>
      </c>
      <c r="C3" s="399" t="s">
        <v>2538</v>
      </c>
      <c r="D3" s="398">
        <f>IF(D1="",'数据-汇总表'!E3,SUMIF('数据-汇总表'!$C19:$C33,D1,'数据-汇总表'!$E19:$E33))</f>
        <v>14974.55</v>
      </c>
      <c r="E3" s="2663"/>
      <c r="F3" s="1125"/>
      <c r="G3" s="1124"/>
      <c r="H3" s="1124"/>
      <c r="I3" s="1124"/>
      <c r="J3" s="1124"/>
      <c r="K3" s="1126"/>
      <c r="L3" s="1127"/>
      <c r="M3" s="1128"/>
      <c r="N3" s="1128"/>
      <c r="O3" s="1128"/>
      <c r="P3" s="2661"/>
      <c r="Q3" s="1128"/>
      <c r="R3" s="1128"/>
      <c r="S3" s="1128"/>
      <c r="T3" s="1128"/>
      <c r="U3" s="1128"/>
      <c r="V3" s="1128"/>
      <c r="W3" s="1128"/>
      <c r="X3" s="1128"/>
      <c r="Y3" s="1128"/>
      <c r="Z3" s="1128"/>
      <c r="AA3" s="1128"/>
      <c r="AB3" s="1128"/>
      <c r="AC3" s="2663"/>
    </row>
    <row r="4" spans="1:29" ht="15">
      <c r="A4" s="400" t="s">
        <v>2539</v>
      </c>
      <c r="B4" s="401"/>
      <c r="C4" s="3235" t="s">
        <v>2540</v>
      </c>
      <c r="D4" s="3236"/>
      <c r="E4" s="3237" t="s">
        <v>2541</v>
      </c>
      <c r="F4" s="3238"/>
      <c r="G4" s="3235" t="s">
        <v>2542</v>
      </c>
      <c r="H4" s="3236"/>
      <c r="I4" s="3235" t="s">
        <v>2543</v>
      </c>
      <c r="J4" s="3236"/>
      <c r="K4" s="609" t="s">
        <v>2544</v>
      </c>
      <c r="L4" s="1129"/>
      <c r="M4" s="1130"/>
      <c r="N4" s="1130"/>
      <c r="O4" s="1130"/>
      <c r="P4" s="3294" t="s">
        <v>2545</v>
      </c>
      <c r="Q4" s="3295"/>
      <c r="R4" s="3298" t="s">
        <v>2541</v>
      </c>
      <c r="S4" s="3299"/>
      <c r="T4" s="3298" t="s">
        <v>2542</v>
      </c>
      <c r="U4" s="3299"/>
      <c r="V4" s="3252" t="s">
        <v>2543</v>
      </c>
      <c r="W4" s="3252"/>
      <c r="X4" s="2967"/>
      <c r="Y4" s="3298" t="s">
        <v>2545</v>
      </c>
      <c r="Z4" s="3299"/>
      <c r="AA4" s="3293" t="s">
        <v>2541</v>
      </c>
      <c r="AB4" s="3252" t="s">
        <v>2542</v>
      </c>
      <c r="AC4" s="3293" t="s">
        <v>2543</v>
      </c>
    </row>
    <row r="5" spans="1:29" ht="15" customHeight="1">
      <c r="A5" s="403"/>
      <c r="B5" s="404"/>
      <c r="C5" s="3261" t="s">
        <v>2546</v>
      </c>
      <c r="D5" s="3256"/>
      <c r="E5" s="3301" t="s">
        <v>3378</v>
      </c>
      <c r="F5" s="3305"/>
      <c r="G5" s="3301" t="s">
        <v>3371</v>
      </c>
      <c r="H5" s="3305"/>
      <c r="I5" s="3301" t="s">
        <v>3381</v>
      </c>
      <c r="J5" s="3305"/>
      <c r="K5" s="609"/>
      <c r="L5" s="1129"/>
      <c r="M5" s="1130"/>
      <c r="N5" s="1130"/>
      <c r="O5" s="1130"/>
      <c r="P5" s="3296"/>
      <c r="Q5" s="3242"/>
      <c r="R5" s="3247"/>
      <c r="S5" s="3248"/>
      <c r="T5" s="3247"/>
      <c r="U5" s="3248"/>
      <c r="V5" s="3252"/>
      <c r="W5" s="3252"/>
      <c r="X5" s="2967"/>
      <c r="Y5" s="3247"/>
      <c r="Z5" s="3248"/>
      <c r="AA5" s="3265"/>
      <c r="AB5" s="3252"/>
      <c r="AC5" s="3265"/>
    </row>
    <row r="6" spans="1:29" ht="15.75" thickBot="1">
      <c r="A6" s="405"/>
      <c r="B6" s="406"/>
      <c r="C6" s="3253" t="s">
        <v>2550</v>
      </c>
      <c r="D6" s="3254"/>
      <c r="E6" s="3262" t="s">
        <v>2550</v>
      </c>
      <c r="F6" s="3263"/>
      <c r="G6" s="3253" t="s">
        <v>2550</v>
      </c>
      <c r="H6" s="3254"/>
      <c r="I6" s="3253" t="s">
        <v>2550</v>
      </c>
      <c r="J6" s="3254"/>
      <c r="K6" s="609" t="s">
        <v>2551</v>
      </c>
      <c r="L6" s="1129"/>
      <c r="M6" s="1130"/>
      <c r="N6" s="1130"/>
      <c r="O6" s="1130"/>
      <c r="P6" s="3297"/>
      <c r="Q6" s="3244"/>
      <c r="R6" s="3247"/>
      <c r="S6" s="3248"/>
      <c r="T6" s="3249"/>
      <c r="U6" s="3250"/>
      <c r="V6" s="3252"/>
      <c r="W6" s="3252"/>
      <c r="X6" s="2967"/>
      <c r="Y6" s="3249"/>
      <c r="Z6" s="3250"/>
      <c r="AA6" s="3266"/>
      <c r="AB6" s="3252"/>
      <c r="AC6" s="3266"/>
    </row>
    <row r="7" spans="1:29" s="116" customFormat="1" ht="15.75" thickBot="1">
      <c r="A7" s="407" t="s">
        <v>2552</v>
      </c>
      <c r="B7" s="408"/>
      <c r="C7" s="409">
        <f>'数据-取费表'!B2</f>
        <v>43252</v>
      </c>
      <c r="D7" s="410">
        <v>100</v>
      </c>
      <c r="E7" s="411">
        <v>43252</v>
      </c>
      <c r="F7" s="412">
        <f>SUMIF(58:58,YEAR(E7)&amp;"-"&amp;MONTH(E7),59:59)</f>
        <v>100</v>
      </c>
      <c r="G7" s="411">
        <v>43252</v>
      </c>
      <c r="H7" s="410">
        <f>SUMIF(58:58,YEAR(G7)&amp;"-"&amp;MONTH(G7),59:59)</f>
        <v>100</v>
      </c>
      <c r="I7" s="411">
        <v>43252</v>
      </c>
      <c r="J7" s="410">
        <f>SUMIF(58:58,YEAR(I7)&amp;"-"&amp;MONTH(I7),59:59)</f>
        <v>100</v>
      </c>
      <c r="K7" s="610"/>
      <c r="L7" s="1131"/>
      <c r="M7" s="1132"/>
      <c r="N7" s="1132"/>
      <c r="O7" s="1132"/>
      <c r="P7" s="3259" t="s">
        <v>2553</v>
      </c>
      <c r="Q7" s="3260"/>
      <c r="R7" s="769" t="s">
        <v>17</v>
      </c>
      <c r="S7" s="770">
        <f t="shared" ref="S7:S15" si="0">F7</f>
        <v>100</v>
      </c>
      <c r="T7" s="769" t="s">
        <v>17</v>
      </c>
      <c r="U7" s="770">
        <f t="shared" ref="U7:U15" si="1">H7</f>
        <v>100</v>
      </c>
      <c r="V7" s="769" t="s">
        <v>17</v>
      </c>
      <c r="W7" s="770">
        <f t="shared" ref="W7:W15" si="2">J7</f>
        <v>100</v>
      </c>
      <c r="X7" s="771"/>
      <c r="Y7" s="3259" t="s">
        <v>2553</v>
      </c>
      <c r="Z7" s="3258"/>
      <c r="AA7" s="772">
        <f>D7/F7</f>
        <v>1</v>
      </c>
      <c r="AB7" s="772">
        <f>D7/H7</f>
        <v>1</v>
      </c>
      <c r="AC7" s="772">
        <f>D7/J7</f>
        <v>1</v>
      </c>
    </row>
    <row r="8" spans="1:29" s="116" customFormat="1" ht="15.75" thickBot="1">
      <c r="A8" s="407" t="s">
        <v>2554</v>
      </c>
      <c r="B8" s="408"/>
      <c r="C8" s="413" t="s">
        <v>2591</v>
      </c>
      <c r="D8" s="410">
        <v>100</v>
      </c>
      <c r="E8" s="413" t="s">
        <v>2591</v>
      </c>
      <c r="F8" s="412">
        <f>SUMIF(61:61,E8,62:62)-SUMIF(61:61,C8,62:62)+100</f>
        <v>100</v>
      </c>
      <c r="G8" s="413" t="s">
        <v>2591</v>
      </c>
      <c r="H8" s="410">
        <f>SUMIF(61:61,G8,62:62)-SUMIF(61:61,C8,62:62)+100</f>
        <v>100</v>
      </c>
      <c r="I8" s="413" t="s">
        <v>2591</v>
      </c>
      <c r="J8" s="410">
        <f>SUMIF(61:61,I8,62:62)-SUMIF(61:61,C8,62:62)+100</f>
        <v>100</v>
      </c>
      <c r="K8" s="610"/>
      <c r="L8" s="1131"/>
      <c r="M8" s="1132"/>
      <c r="N8" s="1132"/>
      <c r="O8" s="1132"/>
      <c r="P8" s="3259" t="s">
        <v>2556</v>
      </c>
      <c r="Q8" s="3258"/>
      <c r="R8" s="769" t="s">
        <v>17</v>
      </c>
      <c r="S8" s="770">
        <f t="shared" si="0"/>
        <v>100</v>
      </c>
      <c r="T8" s="769" t="s">
        <v>17</v>
      </c>
      <c r="U8" s="770">
        <f t="shared" si="1"/>
        <v>100</v>
      </c>
      <c r="V8" s="769" t="s">
        <v>17</v>
      </c>
      <c r="W8" s="770">
        <f t="shared" si="2"/>
        <v>100</v>
      </c>
      <c r="X8" s="771"/>
      <c r="Y8" s="3259" t="s">
        <v>2556</v>
      </c>
      <c r="Z8" s="3258"/>
      <c r="AA8" s="772">
        <f t="shared" ref="AA8:AA46" si="3">D8/F8</f>
        <v>1</v>
      </c>
      <c r="AB8" s="772">
        <f t="shared" ref="AB8:AB46" si="4">D8/H8</f>
        <v>1</v>
      </c>
      <c r="AC8" s="772">
        <f t="shared" ref="AC8:AC46" si="5">D8/J8</f>
        <v>1</v>
      </c>
    </row>
    <row r="9" spans="1:29" s="116" customFormat="1">
      <c r="A9" s="414" t="s">
        <v>2557</v>
      </c>
      <c r="B9" s="71" t="s">
        <v>2558</v>
      </c>
      <c r="C9" s="2986" t="s">
        <v>3326</v>
      </c>
      <c r="D9" s="134">
        <v>100</v>
      </c>
      <c r="E9" s="2992" t="s">
        <v>1377</v>
      </c>
      <c r="F9" s="417">
        <f>SUMIF(63:63,E9,64:64)-SUMIF(63:63,C9,64:64)+100</f>
        <v>100</v>
      </c>
      <c r="G9" s="2992" t="s">
        <v>1377</v>
      </c>
      <c r="H9" s="134">
        <f>SUMIF(63:63,G9,64:64)-SUMIF(63:63,C9,64:64)+100</f>
        <v>100</v>
      </c>
      <c r="I9" s="2992" t="s">
        <v>1377</v>
      </c>
      <c r="J9" s="134">
        <f>SUMIF(63:63,I9,64:64)-SUMIF(63:63,C9,64:64)+100</f>
        <v>100</v>
      </c>
      <c r="K9" s="610"/>
      <c r="L9" s="1131"/>
      <c r="M9" s="1132"/>
      <c r="N9" s="1132"/>
      <c r="O9" s="1132"/>
      <c r="P9" s="3217" t="s">
        <v>2559</v>
      </c>
      <c r="Q9" s="2942" t="str">
        <f t="shared" ref="Q9:Q15" si="6">B9</f>
        <v>用途</v>
      </c>
      <c r="R9" s="769" t="s">
        <v>17</v>
      </c>
      <c r="S9" s="770">
        <f t="shared" si="0"/>
        <v>100</v>
      </c>
      <c r="T9" s="769" t="s">
        <v>17</v>
      </c>
      <c r="U9" s="770">
        <f t="shared" si="1"/>
        <v>100</v>
      </c>
      <c r="V9" s="769" t="s">
        <v>17</v>
      </c>
      <c r="W9" s="770">
        <f t="shared" si="2"/>
        <v>100</v>
      </c>
      <c r="X9" s="771"/>
      <c r="Y9" s="3052" t="s">
        <v>2560</v>
      </c>
      <c r="Z9" s="2944" t="str">
        <f t="shared" ref="Z9:Z15" si="7">Q9</f>
        <v>用途</v>
      </c>
      <c r="AA9" s="772">
        <f t="shared" si="3"/>
        <v>1</v>
      </c>
      <c r="AB9" s="772">
        <f t="shared" si="4"/>
        <v>1</v>
      </c>
      <c r="AC9" s="772">
        <f t="shared" si="5"/>
        <v>1</v>
      </c>
    </row>
    <row r="10" spans="1:29" s="426" customFormat="1" ht="27">
      <c r="A10" s="420"/>
      <c r="B10" s="2954" t="s">
        <v>2561</v>
      </c>
      <c r="C10" s="422" t="s">
        <v>3327</v>
      </c>
      <c r="D10" s="135">
        <v>100</v>
      </c>
      <c r="E10" s="423" t="s">
        <v>3327</v>
      </c>
      <c r="F10" s="424">
        <f>SUMIF(65:65,E10,66:66)-SUMIF(65:65,C10,66:66)+100</f>
        <v>100</v>
      </c>
      <c r="G10" s="422" t="s">
        <v>3327</v>
      </c>
      <c r="H10" s="135">
        <f>SUMIF(65:65,G10,66:66)-SUMIF(65:65,C10,66:66)+100</f>
        <v>100</v>
      </c>
      <c r="I10" s="422" t="s">
        <v>3327</v>
      </c>
      <c r="J10" s="135">
        <f>SUMIF(65:65,I10,66:66)-SUMIF(65:65,C10,66:66)+100</f>
        <v>100</v>
      </c>
      <c r="K10" s="611">
        <v>1</v>
      </c>
      <c r="L10" s="1134"/>
      <c r="M10" s="1135"/>
      <c r="N10" s="1135"/>
      <c r="O10" s="1135"/>
      <c r="P10" s="3217"/>
      <c r="Q10" s="2942" t="str">
        <f t="shared" si="6"/>
        <v>土地使用年限（年）</v>
      </c>
      <c r="R10" s="769" t="s">
        <v>17</v>
      </c>
      <c r="S10" s="770">
        <f t="shared" si="0"/>
        <v>100</v>
      </c>
      <c r="T10" s="769" t="s">
        <v>17</v>
      </c>
      <c r="U10" s="770">
        <f t="shared" si="1"/>
        <v>100</v>
      </c>
      <c r="V10" s="769" t="s">
        <v>17</v>
      </c>
      <c r="W10" s="770">
        <f t="shared" si="2"/>
        <v>100</v>
      </c>
      <c r="X10" s="771"/>
      <c r="Y10" s="3052"/>
      <c r="Z10" s="2944" t="str">
        <f t="shared" si="7"/>
        <v>土地使用年限（年）</v>
      </c>
      <c r="AA10" s="772">
        <f t="shared" si="3"/>
        <v>1</v>
      </c>
      <c r="AB10" s="772">
        <f t="shared" si="4"/>
        <v>1</v>
      </c>
      <c r="AC10" s="772">
        <f t="shared" si="5"/>
        <v>1</v>
      </c>
    </row>
    <row r="11" spans="1:29" ht="15">
      <c r="A11" s="427"/>
      <c r="B11" s="2954" t="s">
        <v>2562</v>
      </c>
      <c r="C11" s="428"/>
      <c r="D11" s="135">
        <v>100</v>
      </c>
      <c r="E11" s="429"/>
      <c r="F11" s="424">
        <f>LOOKUP(E11,68:68,69:69)-LOOKUP(C11,68:68,69:69)+100</f>
        <v>100</v>
      </c>
      <c r="G11" s="428"/>
      <c r="H11" s="135">
        <f>LOOKUP(G11,68:68,69:69)-LOOKUP(C11,68:68,69:69)+100</f>
        <v>100</v>
      </c>
      <c r="I11" s="428"/>
      <c r="J11" s="135">
        <f>LOOKUP(I11,68:68,69:69)-LOOKUP(C11,68:68,69:69)+100</f>
        <v>100</v>
      </c>
      <c r="K11" s="611">
        <v>2</v>
      </c>
      <c r="L11" s="1137"/>
      <c r="M11" s="1130"/>
      <c r="N11" s="1130"/>
      <c r="O11" s="1130"/>
      <c r="P11" s="3217"/>
      <c r="Q11" s="2942" t="str">
        <f t="shared" si="6"/>
        <v>容积率</v>
      </c>
      <c r="R11" s="769" t="s">
        <v>17</v>
      </c>
      <c r="S11" s="770">
        <f t="shared" si="0"/>
        <v>100</v>
      </c>
      <c r="T11" s="769" t="s">
        <v>17</v>
      </c>
      <c r="U11" s="770">
        <f t="shared" si="1"/>
        <v>100</v>
      </c>
      <c r="V11" s="769" t="s">
        <v>17</v>
      </c>
      <c r="W11" s="770">
        <f t="shared" si="2"/>
        <v>100</v>
      </c>
      <c r="X11" s="771"/>
      <c r="Y11" s="3052"/>
      <c r="Z11" s="2944" t="str">
        <f t="shared" si="7"/>
        <v>容积率</v>
      </c>
      <c r="AA11" s="772">
        <f t="shared" si="3"/>
        <v>1</v>
      </c>
      <c r="AB11" s="772">
        <f t="shared" si="4"/>
        <v>1</v>
      </c>
      <c r="AC11" s="772">
        <f t="shared" si="5"/>
        <v>1</v>
      </c>
    </row>
    <row r="12" spans="1:29" s="116" customFormat="1" ht="15">
      <c r="A12" s="430"/>
      <c r="B12" s="2600">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217"/>
      <c r="Q12" s="2942">
        <f t="shared" si="6"/>
        <v>111</v>
      </c>
      <c r="R12" s="769" t="s">
        <v>17</v>
      </c>
      <c r="S12" s="770">
        <f t="shared" si="0"/>
        <v>100</v>
      </c>
      <c r="T12" s="769" t="s">
        <v>17</v>
      </c>
      <c r="U12" s="770">
        <f t="shared" si="1"/>
        <v>100</v>
      </c>
      <c r="V12" s="769" t="s">
        <v>17</v>
      </c>
      <c r="W12" s="770">
        <f t="shared" si="2"/>
        <v>100</v>
      </c>
      <c r="X12" s="771"/>
      <c r="Y12" s="3052"/>
      <c r="Z12" s="2944">
        <f t="shared" si="7"/>
        <v>111</v>
      </c>
      <c r="AA12" s="772">
        <f>D12/F12</f>
        <v>1</v>
      </c>
      <c r="AB12" s="772">
        <f>D12/H12</f>
        <v>1</v>
      </c>
      <c r="AC12" s="772">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17"/>
      <c r="Q13" s="2942">
        <f t="shared" si="6"/>
        <v>111</v>
      </c>
      <c r="R13" s="769" t="s">
        <v>17</v>
      </c>
      <c r="S13" s="770">
        <f t="shared" si="0"/>
        <v>100</v>
      </c>
      <c r="T13" s="769" t="s">
        <v>17</v>
      </c>
      <c r="U13" s="770">
        <f t="shared" si="1"/>
        <v>100</v>
      </c>
      <c r="V13" s="769" t="s">
        <v>17</v>
      </c>
      <c r="W13" s="770">
        <f t="shared" si="2"/>
        <v>100</v>
      </c>
      <c r="X13" s="771"/>
      <c r="Y13" s="3052"/>
      <c r="Z13" s="2944">
        <f t="shared" si="7"/>
        <v>111</v>
      </c>
      <c r="AA13" s="772">
        <f t="shared" si="3"/>
        <v>1</v>
      </c>
      <c r="AB13" s="772">
        <f t="shared" si="4"/>
        <v>1</v>
      </c>
      <c r="AC13" s="772">
        <f t="shared" si="5"/>
        <v>1</v>
      </c>
    </row>
    <row r="14" spans="1:29" ht="15.75" thickBot="1">
      <c r="A14" s="435"/>
      <c r="B14" s="2602">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17"/>
      <c r="Q14" s="2942">
        <f t="shared" si="6"/>
        <v>111</v>
      </c>
      <c r="R14" s="769" t="s">
        <v>17</v>
      </c>
      <c r="S14" s="770">
        <f t="shared" si="0"/>
        <v>100</v>
      </c>
      <c r="T14" s="769" t="s">
        <v>17</v>
      </c>
      <c r="U14" s="770">
        <f t="shared" si="1"/>
        <v>100</v>
      </c>
      <c r="V14" s="769" t="s">
        <v>17</v>
      </c>
      <c r="W14" s="770">
        <f t="shared" si="2"/>
        <v>100</v>
      </c>
      <c r="X14" s="771"/>
      <c r="Y14" s="3052"/>
      <c r="Z14" s="2944">
        <f t="shared" si="7"/>
        <v>111</v>
      </c>
      <c r="AA14" s="772">
        <f t="shared" si="3"/>
        <v>1</v>
      </c>
      <c r="AB14" s="772">
        <f t="shared" si="4"/>
        <v>1</v>
      </c>
      <c r="AC14" s="772">
        <f t="shared" si="5"/>
        <v>1</v>
      </c>
    </row>
    <row r="15" spans="1:29" ht="71.25">
      <c r="A15" s="439" t="s">
        <v>2563</v>
      </c>
      <c r="B15" s="69" t="s">
        <v>2657</v>
      </c>
      <c r="C15" s="2603"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v>2</v>
      </c>
      <c r="L15" s="1139"/>
      <c r="M15" s="1130"/>
      <c r="N15" s="1130"/>
      <c r="O15" s="1130"/>
      <c r="P15" s="3223" t="s">
        <v>2564</v>
      </c>
      <c r="Q15" s="2965" t="str">
        <f t="shared" si="6"/>
        <v>商业繁华度</v>
      </c>
      <c r="R15" s="773" t="s">
        <v>17</v>
      </c>
      <c r="S15" s="774">
        <f t="shared" si="0"/>
        <v>100</v>
      </c>
      <c r="T15" s="773" t="s">
        <v>17</v>
      </c>
      <c r="U15" s="774">
        <f t="shared" si="1"/>
        <v>100</v>
      </c>
      <c r="V15" s="773" t="s">
        <v>17</v>
      </c>
      <c r="W15" s="774">
        <f t="shared" si="2"/>
        <v>100</v>
      </c>
      <c r="X15" s="2967"/>
      <c r="Y15" s="3225" t="s">
        <v>2564</v>
      </c>
      <c r="Z15" s="2968" t="str">
        <f t="shared" si="7"/>
        <v>商业繁华度</v>
      </c>
      <c r="AA15" s="2966">
        <f t="shared" si="3"/>
        <v>1</v>
      </c>
      <c r="AB15" s="2966">
        <f t="shared" si="4"/>
        <v>1</v>
      </c>
      <c r="AC15" s="2966">
        <f t="shared" si="5"/>
        <v>1</v>
      </c>
    </row>
    <row r="16" spans="1:29" ht="15">
      <c r="A16" s="427"/>
      <c r="B16" s="445"/>
      <c r="C16" s="446" t="s">
        <v>3293</v>
      </c>
      <c r="D16" s="447"/>
      <c r="E16" s="446" t="s">
        <v>3293</v>
      </c>
      <c r="F16" s="448"/>
      <c r="G16" s="446" t="s">
        <v>3293</v>
      </c>
      <c r="H16" s="449"/>
      <c r="I16" s="446" t="s">
        <v>3293</v>
      </c>
      <c r="J16" s="447"/>
      <c r="K16" s="614"/>
      <c r="L16" s="1139"/>
      <c r="M16" s="1130"/>
      <c r="N16" s="1130"/>
      <c r="O16" s="1130"/>
      <c r="P16" s="3224"/>
      <c r="Q16" s="2965"/>
      <c r="R16" s="773"/>
      <c r="S16" s="774"/>
      <c r="T16" s="773"/>
      <c r="U16" s="774"/>
      <c r="V16" s="773"/>
      <c r="W16" s="774"/>
      <c r="X16" s="2967"/>
      <c r="Y16" s="3226"/>
      <c r="Z16" s="2968"/>
      <c r="AA16" s="2966">
        <v>1</v>
      </c>
      <c r="AB16" s="2966">
        <v>1</v>
      </c>
      <c r="AC16" s="2966">
        <v>1</v>
      </c>
    </row>
    <row r="17" spans="1:29" ht="85.5">
      <c r="A17" s="427"/>
      <c r="B17" s="450" t="s">
        <v>2100</v>
      </c>
      <c r="C17" s="2607"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v>3</v>
      </c>
      <c r="L17" s="1139"/>
      <c r="M17" s="1130"/>
      <c r="N17" s="1130"/>
      <c r="O17" s="1130"/>
      <c r="P17" s="3224"/>
      <c r="Q17" s="2965" t="str">
        <f>B17</f>
        <v>交通便捷度</v>
      </c>
      <c r="R17" s="773" t="s">
        <v>17</v>
      </c>
      <c r="S17" s="774">
        <f>F17</f>
        <v>100</v>
      </c>
      <c r="T17" s="773" t="s">
        <v>17</v>
      </c>
      <c r="U17" s="774">
        <f>H17</f>
        <v>100</v>
      </c>
      <c r="V17" s="773" t="s">
        <v>17</v>
      </c>
      <c r="W17" s="774">
        <f>J17</f>
        <v>100</v>
      </c>
      <c r="X17" s="2967"/>
      <c r="Y17" s="3226"/>
      <c r="Z17" s="2968" t="str">
        <f>Q17</f>
        <v>交通便捷度</v>
      </c>
      <c r="AA17" s="2966">
        <f t="shared" si="3"/>
        <v>1</v>
      </c>
      <c r="AB17" s="2966">
        <f t="shared" si="4"/>
        <v>1</v>
      </c>
      <c r="AC17" s="2966">
        <f t="shared" si="5"/>
        <v>1</v>
      </c>
    </row>
    <row r="18" spans="1:29" ht="15">
      <c r="A18" s="427"/>
      <c r="B18" s="455"/>
      <c r="C18" s="2995" t="s">
        <v>3355</v>
      </c>
      <c r="D18" s="449"/>
      <c r="E18" s="2995" t="s">
        <v>3355</v>
      </c>
      <c r="F18" s="452"/>
      <c r="G18" s="2995" t="s">
        <v>3355</v>
      </c>
      <c r="H18" s="447"/>
      <c r="I18" s="2995" t="s">
        <v>3355</v>
      </c>
      <c r="J18" s="447"/>
      <c r="K18" s="614"/>
      <c r="L18" s="1139"/>
      <c r="M18" s="1130"/>
      <c r="N18" s="1130"/>
      <c r="O18" s="1130"/>
      <c r="P18" s="3224"/>
      <c r="Q18" s="2965"/>
      <c r="R18" s="773"/>
      <c r="S18" s="774"/>
      <c r="T18" s="773"/>
      <c r="U18" s="774"/>
      <c r="V18" s="773"/>
      <c r="W18" s="774"/>
      <c r="X18" s="2967"/>
      <c r="Y18" s="3226"/>
      <c r="Z18" s="2968"/>
      <c r="AA18" s="2966">
        <v>1</v>
      </c>
      <c r="AB18" s="2966">
        <v>1</v>
      </c>
      <c r="AC18" s="2966">
        <v>1</v>
      </c>
    </row>
    <row r="19" spans="1:29" ht="42.75">
      <c r="A19" s="427"/>
      <c r="B19" s="450" t="s">
        <v>2658</v>
      </c>
      <c r="C19" s="2607"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v>3</v>
      </c>
      <c r="L19" s="1139"/>
      <c r="M19" s="1130"/>
      <c r="N19" s="1130"/>
      <c r="O19" s="1130"/>
      <c r="P19" s="3224"/>
      <c r="Q19" s="2965" t="str">
        <f>B19</f>
        <v>公共配套设施</v>
      </c>
      <c r="R19" s="773" t="s">
        <v>17</v>
      </c>
      <c r="S19" s="774">
        <f>F19</f>
        <v>100</v>
      </c>
      <c r="T19" s="773" t="s">
        <v>17</v>
      </c>
      <c r="U19" s="774">
        <f>H19</f>
        <v>100</v>
      </c>
      <c r="V19" s="773" t="s">
        <v>17</v>
      </c>
      <c r="W19" s="774">
        <f>J19</f>
        <v>100</v>
      </c>
      <c r="X19" s="2967"/>
      <c r="Y19" s="3226"/>
      <c r="Z19" s="2968" t="str">
        <f>Q19</f>
        <v>公共配套设施</v>
      </c>
      <c r="AA19" s="2966">
        <f t="shared" si="3"/>
        <v>1</v>
      </c>
      <c r="AB19" s="2966">
        <f t="shared" si="4"/>
        <v>1</v>
      </c>
      <c r="AC19" s="2966">
        <f t="shared" si="5"/>
        <v>1</v>
      </c>
    </row>
    <row r="20" spans="1:29" ht="15">
      <c r="A20" s="427"/>
      <c r="B20" s="455"/>
      <c r="C20" s="2995" t="s">
        <v>3355</v>
      </c>
      <c r="D20" s="447"/>
      <c r="E20" s="2995" t="s">
        <v>3355</v>
      </c>
      <c r="F20" s="448"/>
      <c r="G20" s="2995" t="s">
        <v>3355</v>
      </c>
      <c r="H20" s="447"/>
      <c r="I20" s="2995" t="s">
        <v>3355</v>
      </c>
      <c r="J20" s="447"/>
      <c r="K20" s="614"/>
      <c r="L20" s="1139"/>
      <c r="M20" s="1130"/>
      <c r="N20" s="1130"/>
      <c r="O20" s="1130"/>
      <c r="P20" s="3224"/>
      <c r="Q20" s="2965"/>
      <c r="R20" s="773"/>
      <c r="S20" s="774"/>
      <c r="T20" s="773"/>
      <c r="U20" s="774"/>
      <c r="V20" s="773"/>
      <c r="W20" s="774"/>
      <c r="X20" s="2967"/>
      <c r="Y20" s="3226"/>
      <c r="Z20" s="2968"/>
      <c r="AA20" s="2966">
        <v>1</v>
      </c>
      <c r="AB20" s="2966">
        <v>1</v>
      </c>
      <c r="AC20" s="2966">
        <v>1</v>
      </c>
    </row>
    <row r="21" spans="1:29" ht="28.5">
      <c r="A21" s="427"/>
      <c r="B21" s="1383" t="s">
        <v>2659</v>
      </c>
      <c r="C21" s="2607"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2</v>
      </c>
      <c r="L21" s="1139"/>
      <c r="M21" s="1130"/>
      <c r="N21" s="1130"/>
      <c r="O21" s="1130"/>
      <c r="P21" s="3224"/>
      <c r="Q21" s="2965" t="str">
        <f>B21</f>
        <v>基础设施水平</v>
      </c>
      <c r="R21" s="773" t="s">
        <v>17</v>
      </c>
      <c r="S21" s="774">
        <f>F21</f>
        <v>100</v>
      </c>
      <c r="T21" s="773" t="s">
        <v>17</v>
      </c>
      <c r="U21" s="774">
        <f>H21</f>
        <v>100</v>
      </c>
      <c r="V21" s="773" t="s">
        <v>17</v>
      </c>
      <c r="W21" s="774">
        <f>J21</f>
        <v>100</v>
      </c>
      <c r="X21" s="2967"/>
      <c r="Y21" s="3226"/>
      <c r="Z21" s="2968" t="str">
        <f>Q21</f>
        <v>基础设施水平</v>
      </c>
      <c r="AA21" s="2966">
        <f t="shared" ref="AA21" si="8">D21/F21</f>
        <v>1</v>
      </c>
      <c r="AB21" s="2966">
        <f t="shared" ref="AB21" si="9">D21/H21</f>
        <v>1</v>
      </c>
      <c r="AC21" s="2966">
        <f t="shared" ref="AC21" si="10">D21/J21</f>
        <v>1</v>
      </c>
    </row>
    <row r="22" spans="1:29" ht="15">
      <c r="A22" s="427"/>
      <c r="B22" s="1383"/>
      <c r="C22" s="2608" t="s">
        <v>3294</v>
      </c>
      <c r="D22" s="447"/>
      <c r="E22" s="2608" t="s">
        <v>3294</v>
      </c>
      <c r="F22" s="448"/>
      <c r="G22" s="2608" t="s">
        <v>3294</v>
      </c>
      <c r="H22" s="447"/>
      <c r="I22" s="2608" t="s">
        <v>3294</v>
      </c>
      <c r="J22" s="447"/>
      <c r="K22" s="1382"/>
      <c r="L22" s="1139"/>
      <c r="M22" s="1130"/>
      <c r="N22" s="1130"/>
      <c r="O22" s="1130"/>
      <c r="P22" s="3224"/>
      <c r="Q22" s="2965"/>
      <c r="R22" s="773"/>
      <c r="S22" s="774"/>
      <c r="T22" s="773"/>
      <c r="U22" s="774"/>
      <c r="V22" s="773"/>
      <c r="W22" s="774"/>
      <c r="X22" s="2967"/>
      <c r="Y22" s="3226"/>
      <c r="Z22" s="2968"/>
      <c r="AA22" s="2966">
        <v>1</v>
      </c>
      <c r="AB22" s="2966">
        <v>1</v>
      </c>
      <c r="AC22" s="2966">
        <v>1</v>
      </c>
    </row>
    <row r="23" spans="1:29" ht="57">
      <c r="A23" s="427"/>
      <c r="B23" s="450" t="s">
        <v>2105</v>
      </c>
      <c r="C23" s="2664"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v>3</v>
      </c>
      <c r="L23" s="1139"/>
      <c r="M23" s="1130"/>
      <c r="N23" s="1130"/>
      <c r="O23" s="1130"/>
      <c r="P23" s="3224"/>
      <c r="Q23" s="2965" t="str">
        <f>B23</f>
        <v>自然及人文环境</v>
      </c>
      <c r="R23" s="773" t="s">
        <v>17</v>
      </c>
      <c r="S23" s="774">
        <f>F23</f>
        <v>100</v>
      </c>
      <c r="T23" s="773" t="s">
        <v>17</v>
      </c>
      <c r="U23" s="774">
        <f>H23</f>
        <v>100</v>
      </c>
      <c r="V23" s="773" t="s">
        <v>17</v>
      </c>
      <c r="W23" s="774">
        <f>J23</f>
        <v>100</v>
      </c>
      <c r="X23" s="2967"/>
      <c r="Y23" s="3226"/>
      <c r="Z23" s="2968" t="str">
        <f>Q23</f>
        <v>自然及人文环境</v>
      </c>
      <c r="AA23" s="2966">
        <f t="shared" si="3"/>
        <v>1</v>
      </c>
      <c r="AB23" s="2966">
        <f t="shared" si="4"/>
        <v>1</v>
      </c>
      <c r="AC23" s="2966">
        <f t="shared" si="5"/>
        <v>1</v>
      </c>
    </row>
    <row r="24" spans="1:29" ht="15">
      <c r="A24" s="427"/>
      <c r="B24" s="455"/>
      <c r="C24" s="2995" t="s">
        <v>3355</v>
      </c>
      <c r="D24" s="447"/>
      <c r="E24" s="2995" t="s">
        <v>3355</v>
      </c>
      <c r="F24" s="448"/>
      <c r="G24" s="2995" t="s">
        <v>3355</v>
      </c>
      <c r="H24" s="447"/>
      <c r="I24" s="2995" t="s">
        <v>3355</v>
      </c>
      <c r="J24" s="447"/>
      <c r="K24" s="614"/>
      <c r="L24" s="1139"/>
      <c r="M24" s="1130"/>
      <c r="N24" s="1130"/>
      <c r="O24" s="1130"/>
      <c r="P24" s="3224"/>
      <c r="Q24" s="2965"/>
      <c r="R24" s="773"/>
      <c r="S24" s="774"/>
      <c r="T24" s="773"/>
      <c r="U24" s="774"/>
      <c r="V24" s="773"/>
      <c r="W24" s="774"/>
      <c r="X24" s="2967"/>
      <c r="Y24" s="3226"/>
      <c r="Z24" s="2968"/>
      <c r="AA24" s="2966">
        <v>1</v>
      </c>
      <c r="AB24" s="2966">
        <v>1</v>
      </c>
      <c r="AC24" s="2966">
        <v>1</v>
      </c>
    </row>
    <row r="25" spans="1:29" ht="15">
      <c r="A25" s="427"/>
      <c r="B25" s="2954" t="s">
        <v>2660</v>
      </c>
      <c r="C25" s="615" t="s">
        <v>3356</v>
      </c>
      <c r="D25" s="434">
        <v>100</v>
      </c>
      <c r="E25" s="615" t="s">
        <v>3356</v>
      </c>
      <c r="F25" s="460">
        <f>SUMIF(86:86,E25,87:87)-SUMIF(86:86,C25,87:87)+100</f>
        <v>100</v>
      </c>
      <c r="G25" s="615" t="s">
        <v>3356</v>
      </c>
      <c r="H25" s="434">
        <f>SUMIF(86:86,G25,87:87)-SUMIF(86:86,C25,87:87)+100</f>
        <v>100</v>
      </c>
      <c r="I25" s="615" t="s">
        <v>3356</v>
      </c>
      <c r="J25" s="434">
        <f>SUMIF(86:86,I25,87:87)-SUMIF(86:86,C25,87:87)+100</f>
        <v>100</v>
      </c>
      <c r="K25" s="611">
        <v>3</v>
      </c>
      <c r="L25" s="1139"/>
      <c r="M25" s="1130"/>
      <c r="N25" s="1130"/>
      <c r="O25" s="1130"/>
      <c r="P25" s="3224"/>
      <c r="Q25" s="2965" t="str">
        <f t="shared" ref="Q25:Q46" si="11">B25</f>
        <v>临街状况</v>
      </c>
      <c r="R25" s="773" t="s">
        <v>17</v>
      </c>
      <c r="S25" s="774">
        <f>F25</f>
        <v>100</v>
      </c>
      <c r="T25" s="773" t="s">
        <v>17</v>
      </c>
      <c r="U25" s="774">
        <f>H25</f>
        <v>100</v>
      </c>
      <c r="V25" s="773" t="s">
        <v>17</v>
      </c>
      <c r="W25" s="774">
        <f>J25</f>
        <v>100</v>
      </c>
      <c r="X25" s="2967"/>
      <c r="Y25" s="3226"/>
      <c r="Z25" s="2968" t="str">
        <f>Q25</f>
        <v>临街状况</v>
      </c>
      <c r="AA25" s="2966">
        <f t="shared" si="3"/>
        <v>1</v>
      </c>
      <c r="AB25" s="2966">
        <f t="shared" si="4"/>
        <v>1</v>
      </c>
      <c r="AC25" s="2966">
        <f t="shared" si="5"/>
        <v>1</v>
      </c>
    </row>
    <row r="26" spans="1:29" ht="15">
      <c r="A26" s="427"/>
      <c r="B26" s="1385" t="s">
        <v>2661</v>
      </c>
      <c r="C26" s="2989" t="s">
        <v>3549</v>
      </c>
      <c r="D26" s="434">
        <v>100</v>
      </c>
      <c r="E26" s="2989" t="s">
        <v>3293</v>
      </c>
      <c r="F26" s="460">
        <f>SUMIF(88:88,E26,89:89)-SUMIF(88:88,C26,89:89)+100</f>
        <v>100</v>
      </c>
      <c r="G26" s="2989" t="s">
        <v>3293</v>
      </c>
      <c r="H26" s="434">
        <f>SUMIF(88:88,G26,89:89)-SUMIF(88:88,C26,89:89)+100</f>
        <v>100</v>
      </c>
      <c r="I26" s="2989" t="s">
        <v>3293</v>
      </c>
      <c r="J26" s="434">
        <f>SUMIF(88:88,I26,89:89)-SUMIF(88:88,C26,89:89)+100</f>
        <v>100</v>
      </c>
      <c r="K26" s="612"/>
      <c r="L26" s="1139"/>
      <c r="M26" s="1130"/>
      <c r="N26" s="1130"/>
      <c r="O26" s="1130"/>
      <c r="P26" s="3224"/>
      <c r="Q26" s="2965" t="str">
        <f t="shared" si="11"/>
        <v>平面位置/可视性</v>
      </c>
      <c r="R26" s="773" t="s">
        <v>17</v>
      </c>
      <c r="S26" s="774">
        <f>F26</f>
        <v>100</v>
      </c>
      <c r="T26" s="773" t="s">
        <v>17</v>
      </c>
      <c r="U26" s="774">
        <f>H26</f>
        <v>100</v>
      </c>
      <c r="V26" s="773" t="s">
        <v>17</v>
      </c>
      <c r="W26" s="774">
        <f>J26</f>
        <v>100</v>
      </c>
      <c r="X26" s="2967"/>
      <c r="Y26" s="3226"/>
      <c r="Z26" s="2968" t="str">
        <f>Q26</f>
        <v>平面位置/可视性</v>
      </c>
      <c r="AA26" s="2966">
        <f t="shared" si="3"/>
        <v>1</v>
      </c>
      <c r="AB26" s="2966">
        <f t="shared" si="4"/>
        <v>1</v>
      </c>
      <c r="AC26" s="2966">
        <f t="shared" si="5"/>
        <v>1</v>
      </c>
    </row>
    <row r="27" spans="1:29" s="116" customFormat="1" ht="15">
      <c r="A27" s="430"/>
      <c r="B27" s="450" t="s">
        <v>2662</v>
      </c>
      <c r="C27" s="2665" t="s">
        <v>3370</v>
      </c>
      <c r="D27" s="461">
        <v>100</v>
      </c>
      <c r="E27" s="2665" t="s">
        <v>3370</v>
      </c>
      <c r="F27" s="463">
        <f>SUMIF(90:90,E27,91:91)-SUMIF(90:90,C27,91:91)+100</f>
        <v>100</v>
      </c>
      <c r="G27" s="2665" t="s">
        <v>3370</v>
      </c>
      <c r="H27" s="461">
        <f>SUMIF(90:90,G27,91:91)-SUMIF(90:90,C27,91:91)+100</f>
        <v>100</v>
      </c>
      <c r="I27" s="2665" t="s">
        <v>3370</v>
      </c>
      <c r="J27" s="461">
        <f>SUMIF(90:90,I27,91:91)-SUMIF(90:90,C27,91:91)+100</f>
        <v>100</v>
      </c>
      <c r="K27" s="611">
        <v>3</v>
      </c>
      <c r="L27" s="1131"/>
      <c r="M27" s="1132"/>
      <c r="N27" s="1132"/>
      <c r="O27" s="1132"/>
      <c r="P27" s="3224"/>
      <c r="Q27" s="2942" t="str">
        <f t="shared" si="11"/>
        <v>人流量</v>
      </c>
      <c r="R27" s="769" t="s">
        <v>17</v>
      </c>
      <c r="S27" s="770">
        <f>F27</f>
        <v>100</v>
      </c>
      <c r="T27" s="769" t="s">
        <v>17</v>
      </c>
      <c r="U27" s="770">
        <f>H27</f>
        <v>100</v>
      </c>
      <c r="V27" s="769" t="s">
        <v>17</v>
      </c>
      <c r="W27" s="770">
        <f>J27</f>
        <v>100</v>
      </c>
      <c r="X27" s="771"/>
      <c r="Y27" s="3226"/>
      <c r="Z27" s="2944" t="str">
        <f>Q27</f>
        <v>人流量</v>
      </c>
      <c r="AA27" s="2966">
        <f>D27/F27</f>
        <v>1</v>
      </c>
      <c r="AB27" s="2966">
        <f>D27/H27</f>
        <v>1</v>
      </c>
      <c r="AC27" s="2966">
        <f>D27/J27</f>
        <v>1</v>
      </c>
    </row>
    <row r="28" spans="1:29" ht="15">
      <c r="A28" s="427"/>
      <c r="B28" s="2954" t="s">
        <v>2663</v>
      </c>
      <c r="C28" s="615" t="s">
        <v>3277</v>
      </c>
      <c r="D28" s="434">
        <v>100</v>
      </c>
      <c r="E28" s="615" t="s">
        <v>3380</v>
      </c>
      <c r="F28" s="460">
        <f>SUMIF(92:92,E28,93:93)-SUMIF(92:92,C28,93:93)+100</f>
        <v>80</v>
      </c>
      <c r="G28" s="615" t="s">
        <v>3277</v>
      </c>
      <c r="H28" s="434">
        <f>SUMIF(92:92,G28,93:93)-SUMIF(92:92,C28,93:93)+100</f>
        <v>100</v>
      </c>
      <c r="I28" s="615" t="s">
        <v>3380</v>
      </c>
      <c r="J28" s="434">
        <f>SUMIF(92:92,I28,93:93)-SUMIF(92:92,C28,93:93)+100</f>
        <v>80</v>
      </c>
      <c r="K28" s="612"/>
      <c r="L28" s="1139"/>
      <c r="M28" s="1130"/>
      <c r="N28" s="1130"/>
      <c r="O28" s="1130"/>
      <c r="P28" s="3224"/>
      <c r="Q28" s="2965" t="str">
        <f t="shared" si="11"/>
        <v>楼层</v>
      </c>
      <c r="R28" s="773" t="s">
        <v>17</v>
      </c>
      <c r="S28" s="774">
        <f t="shared" ref="S28:S46" si="12">F28</f>
        <v>80</v>
      </c>
      <c r="T28" s="773" t="s">
        <v>17</v>
      </c>
      <c r="U28" s="774">
        <f t="shared" ref="U28:U46" si="13">H28</f>
        <v>100</v>
      </c>
      <c r="V28" s="773" t="s">
        <v>17</v>
      </c>
      <c r="W28" s="774">
        <f t="shared" ref="W28:W46" si="14">J28</f>
        <v>80</v>
      </c>
      <c r="X28" s="2967"/>
      <c r="Y28" s="3226"/>
      <c r="Z28" s="2968" t="str">
        <f t="shared" ref="Z28:Z46" si="15">Q28</f>
        <v>楼层</v>
      </c>
      <c r="AA28" s="2966">
        <f t="shared" si="3"/>
        <v>1.25</v>
      </c>
      <c r="AB28" s="2966">
        <f t="shared" si="4"/>
        <v>1</v>
      </c>
      <c r="AC28" s="2966">
        <f t="shared" si="5"/>
        <v>1.25</v>
      </c>
    </row>
    <row r="29" spans="1:29" ht="1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24"/>
      <c r="Q29" s="2965">
        <f t="shared" si="11"/>
        <v>111</v>
      </c>
      <c r="R29" s="773" t="s">
        <v>17</v>
      </c>
      <c r="S29" s="774">
        <f t="shared" si="12"/>
        <v>100</v>
      </c>
      <c r="T29" s="773" t="s">
        <v>17</v>
      </c>
      <c r="U29" s="774">
        <f t="shared" si="13"/>
        <v>100</v>
      </c>
      <c r="V29" s="773" t="s">
        <v>17</v>
      </c>
      <c r="W29" s="774">
        <f t="shared" si="14"/>
        <v>100</v>
      </c>
      <c r="X29" s="2967"/>
      <c r="Y29" s="3226"/>
      <c r="Z29" s="2968">
        <f t="shared" si="15"/>
        <v>111</v>
      </c>
      <c r="AA29" s="2966">
        <f t="shared" si="3"/>
        <v>1</v>
      </c>
      <c r="AB29" s="2966">
        <f t="shared" si="4"/>
        <v>1</v>
      </c>
      <c r="AC29" s="2966">
        <f t="shared" si="5"/>
        <v>1</v>
      </c>
    </row>
    <row r="30" spans="1:29" ht="1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24"/>
      <c r="Q30" s="2965">
        <f t="shared" si="11"/>
        <v>111</v>
      </c>
      <c r="R30" s="773" t="s">
        <v>17</v>
      </c>
      <c r="S30" s="774">
        <f t="shared" si="12"/>
        <v>100</v>
      </c>
      <c r="T30" s="773" t="s">
        <v>17</v>
      </c>
      <c r="U30" s="774">
        <f t="shared" si="13"/>
        <v>100</v>
      </c>
      <c r="V30" s="773" t="s">
        <v>17</v>
      </c>
      <c r="W30" s="774">
        <f t="shared" si="14"/>
        <v>100</v>
      </c>
      <c r="X30" s="2967"/>
      <c r="Y30" s="3226"/>
      <c r="Z30" s="2968">
        <f t="shared" si="15"/>
        <v>111</v>
      </c>
      <c r="AA30" s="2966">
        <f t="shared" si="3"/>
        <v>1</v>
      </c>
      <c r="AB30" s="2966">
        <f t="shared" si="4"/>
        <v>1</v>
      </c>
      <c r="AC30" s="2966">
        <f t="shared" si="5"/>
        <v>1</v>
      </c>
    </row>
    <row r="31" spans="1:29" ht="15.75"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24"/>
      <c r="Q31" s="2965">
        <f t="shared" si="11"/>
        <v>111</v>
      </c>
      <c r="R31" s="773" t="s">
        <v>17</v>
      </c>
      <c r="S31" s="774">
        <f t="shared" si="12"/>
        <v>100</v>
      </c>
      <c r="T31" s="773" t="s">
        <v>17</v>
      </c>
      <c r="U31" s="774">
        <f t="shared" si="13"/>
        <v>100</v>
      </c>
      <c r="V31" s="773" t="s">
        <v>17</v>
      </c>
      <c r="W31" s="774">
        <f t="shared" si="14"/>
        <v>100</v>
      </c>
      <c r="X31" s="2967"/>
      <c r="Y31" s="3226"/>
      <c r="Z31" s="2968">
        <f t="shared" si="15"/>
        <v>111</v>
      </c>
      <c r="AA31" s="2966">
        <f t="shared" si="3"/>
        <v>1</v>
      </c>
      <c r="AB31" s="2966">
        <f t="shared" si="4"/>
        <v>1</v>
      </c>
      <c r="AC31" s="2966">
        <f t="shared" si="5"/>
        <v>1</v>
      </c>
    </row>
    <row r="32" spans="1:29" ht="15">
      <c r="A32" s="439" t="s">
        <v>2567</v>
      </c>
      <c r="B32" s="71" t="s">
        <v>2664</v>
      </c>
      <c r="C32" s="2617" t="s">
        <v>3362</v>
      </c>
      <c r="D32" s="466">
        <v>100</v>
      </c>
      <c r="E32" s="2617" t="s">
        <v>3362</v>
      </c>
      <c r="F32" s="460">
        <f>SUMIF(100:100,E32,101:101)-SUMIF(100:100,C32,101:101)+100</f>
        <v>100</v>
      </c>
      <c r="G32" s="2617" t="s">
        <v>3362</v>
      </c>
      <c r="H32" s="434">
        <f>SUMIF(100:100,G32,101:101)-SUMIF(100:100,C32,101:101)+100</f>
        <v>100</v>
      </c>
      <c r="I32" s="2617" t="s">
        <v>3362</v>
      </c>
      <c r="J32" s="466">
        <f>SUMIF(100:100,I32,101:101)-SUMIF(100:100,C32,101:101)+100</f>
        <v>100</v>
      </c>
      <c r="K32" s="611">
        <v>2</v>
      </c>
      <c r="L32" s="1139"/>
      <c r="M32" s="1130"/>
      <c r="N32" s="1130"/>
      <c r="O32" s="1130"/>
      <c r="P32" s="3227" t="s">
        <v>2569</v>
      </c>
      <c r="Q32" s="2965" t="str">
        <f t="shared" si="11"/>
        <v>商业类型</v>
      </c>
      <c r="R32" s="773" t="s">
        <v>17</v>
      </c>
      <c r="S32" s="774">
        <f t="shared" si="12"/>
        <v>100</v>
      </c>
      <c r="T32" s="773" t="s">
        <v>17</v>
      </c>
      <c r="U32" s="774">
        <f t="shared" si="13"/>
        <v>100</v>
      </c>
      <c r="V32" s="773" t="s">
        <v>17</v>
      </c>
      <c r="W32" s="774">
        <f t="shared" si="14"/>
        <v>100</v>
      </c>
      <c r="X32" s="2967"/>
      <c r="Y32" s="3230" t="s">
        <v>2569</v>
      </c>
      <c r="Z32" s="2968" t="str">
        <f t="shared" si="15"/>
        <v>商业类型</v>
      </c>
      <c r="AA32" s="2966">
        <f t="shared" si="3"/>
        <v>1</v>
      </c>
      <c r="AB32" s="2966">
        <f t="shared" si="4"/>
        <v>1</v>
      </c>
      <c r="AC32" s="2966">
        <f t="shared" si="5"/>
        <v>1</v>
      </c>
    </row>
    <row r="33" spans="1:29" s="470" customFormat="1" ht="15">
      <c r="A33" s="467"/>
      <c r="B33" s="3002" t="s">
        <v>2570</v>
      </c>
      <c r="C33" s="468">
        <f>'比较法-商业'!C33</f>
        <v>308.73</v>
      </c>
      <c r="D33" s="135">
        <v>100</v>
      </c>
      <c r="E33" s="429">
        <v>500</v>
      </c>
      <c r="F33" s="424">
        <f>LOOKUP(E33,103:103,104:104)-LOOKUP(C33,103:103,104:104)+100</f>
        <v>98</v>
      </c>
      <c r="G33" s="428">
        <v>500</v>
      </c>
      <c r="H33" s="135">
        <f>LOOKUP(G33,103:103,104:104)-LOOKUP(C33,103:103,104:104)+100</f>
        <v>98</v>
      </c>
      <c r="I33" s="428">
        <v>350</v>
      </c>
      <c r="J33" s="135">
        <f>LOOKUP(I33,103:103,104:104)-LOOKUP(C33,103:103,104:104)+100</f>
        <v>100</v>
      </c>
      <c r="K33" s="612"/>
      <c r="L33" s="1137"/>
      <c r="M33" s="1140"/>
      <c r="N33" s="1140"/>
      <c r="O33" s="1140"/>
      <c r="P33" s="3228"/>
      <c r="Q33" s="775" t="str">
        <f t="shared" si="11"/>
        <v>项目建筑规模</v>
      </c>
      <c r="R33" s="776" t="s">
        <v>17</v>
      </c>
      <c r="S33" s="777">
        <f t="shared" si="12"/>
        <v>98</v>
      </c>
      <c r="T33" s="776" t="s">
        <v>17</v>
      </c>
      <c r="U33" s="777">
        <f t="shared" si="13"/>
        <v>98</v>
      </c>
      <c r="V33" s="776" t="s">
        <v>17</v>
      </c>
      <c r="W33" s="777">
        <f t="shared" si="14"/>
        <v>100</v>
      </c>
      <c r="X33" s="778"/>
      <c r="Y33" s="3230"/>
      <c r="Z33" s="779" t="str">
        <f t="shared" si="15"/>
        <v>项目建筑规模</v>
      </c>
      <c r="AA33" s="2966">
        <f t="shared" si="3"/>
        <v>1.0204081632653061</v>
      </c>
      <c r="AB33" s="2966">
        <f t="shared" si="4"/>
        <v>1.0204081632653061</v>
      </c>
      <c r="AC33" s="2966">
        <f t="shared" si="5"/>
        <v>1</v>
      </c>
    </row>
    <row r="34" spans="1:29" ht="15">
      <c r="A34" s="471"/>
      <c r="B34" s="2954" t="s">
        <v>2571</v>
      </c>
      <c r="C34" s="2619" t="s">
        <v>3107</v>
      </c>
      <c r="D34" s="434">
        <v>100</v>
      </c>
      <c r="E34" s="2619" t="s">
        <v>3107</v>
      </c>
      <c r="F34" s="460">
        <f>SUMIF(105:105,E34,106:106)-SUMIF(105:105,C34,106:106)+100</f>
        <v>100</v>
      </c>
      <c r="G34" s="2619" t="s">
        <v>3107</v>
      </c>
      <c r="H34" s="434">
        <f>SUMIF(105:105,G34,106:106)-SUMIF(105:105,C34,106:106)+100</f>
        <v>100</v>
      </c>
      <c r="I34" s="2619" t="s">
        <v>3107</v>
      </c>
      <c r="J34" s="434">
        <f>SUMIF(105:105,I34,106:106)-SUMIF(105:105,C34,106:106)+100</f>
        <v>100</v>
      </c>
      <c r="K34" s="611">
        <v>2</v>
      </c>
      <c r="L34" s="1139"/>
      <c r="M34" s="1130"/>
      <c r="N34" s="1130"/>
      <c r="O34" s="1130"/>
      <c r="P34" s="3228"/>
      <c r="Q34" s="2965" t="str">
        <f t="shared" si="11"/>
        <v>建筑结构</v>
      </c>
      <c r="R34" s="773" t="s">
        <v>17</v>
      </c>
      <c r="S34" s="774">
        <f t="shared" si="12"/>
        <v>100</v>
      </c>
      <c r="T34" s="773" t="s">
        <v>17</v>
      </c>
      <c r="U34" s="774">
        <f t="shared" si="13"/>
        <v>100</v>
      </c>
      <c r="V34" s="773" t="s">
        <v>17</v>
      </c>
      <c r="W34" s="774">
        <f t="shared" si="14"/>
        <v>100</v>
      </c>
      <c r="X34" s="2967"/>
      <c r="Y34" s="3230"/>
      <c r="Z34" s="2968" t="str">
        <f t="shared" si="15"/>
        <v>建筑结构</v>
      </c>
      <c r="AA34" s="2966">
        <f t="shared" si="3"/>
        <v>1</v>
      </c>
      <c r="AB34" s="2966">
        <f t="shared" si="4"/>
        <v>1</v>
      </c>
      <c r="AC34" s="2966">
        <f t="shared" si="5"/>
        <v>1</v>
      </c>
    </row>
    <row r="35" spans="1:29" ht="15">
      <c r="A35" s="471"/>
      <c r="B35" s="2954" t="s">
        <v>2665</v>
      </c>
      <c r="C35" s="2613" t="s">
        <v>3369</v>
      </c>
      <c r="D35" s="434">
        <v>100</v>
      </c>
      <c r="E35" s="2613" t="s">
        <v>3369</v>
      </c>
      <c r="F35" s="460">
        <f>SUMIF(107:107,E35,108:108)-SUMIF(107:107,C35,108:108)+100</f>
        <v>100</v>
      </c>
      <c r="G35" s="2613" t="s">
        <v>3369</v>
      </c>
      <c r="H35" s="434">
        <f>SUMIF(107:107,G35,108:108)-SUMIF(107:107,C35,108:108)+100</f>
        <v>100</v>
      </c>
      <c r="I35" s="2613" t="s">
        <v>3369</v>
      </c>
      <c r="J35" s="434">
        <f>SUMIF(107:107,I35,108:108)-SUMIF(107:107,C35,108:108)+100</f>
        <v>100</v>
      </c>
      <c r="K35" s="611">
        <v>3</v>
      </c>
      <c r="L35" s="1139"/>
      <c r="M35" s="1130"/>
      <c r="N35" s="1130"/>
      <c r="O35" s="1130"/>
      <c r="P35" s="3228"/>
      <c r="Q35" s="2965" t="str">
        <f t="shared" si="11"/>
        <v>公共部分装修</v>
      </c>
      <c r="R35" s="773" t="s">
        <v>17</v>
      </c>
      <c r="S35" s="774">
        <f t="shared" si="12"/>
        <v>100</v>
      </c>
      <c r="T35" s="773" t="s">
        <v>17</v>
      </c>
      <c r="U35" s="774">
        <f t="shared" si="13"/>
        <v>100</v>
      </c>
      <c r="V35" s="773" t="s">
        <v>17</v>
      </c>
      <c r="W35" s="774">
        <f t="shared" si="14"/>
        <v>100</v>
      </c>
      <c r="X35" s="2967"/>
      <c r="Y35" s="3230"/>
      <c r="Z35" s="2968" t="str">
        <f t="shared" si="15"/>
        <v>公共部分装修</v>
      </c>
      <c r="AA35" s="2966">
        <f t="shared" si="3"/>
        <v>1</v>
      </c>
      <c r="AB35" s="2966">
        <f t="shared" si="4"/>
        <v>1</v>
      </c>
      <c r="AC35" s="2966">
        <f t="shared" si="5"/>
        <v>1</v>
      </c>
    </row>
    <row r="36" spans="1:29" ht="15">
      <c r="A36" s="471"/>
      <c r="B36" s="2954" t="s">
        <v>2666</v>
      </c>
      <c r="C36" s="473">
        <v>1</v>
      </c>
      <c r="D36" s="434">
        <v>100</v>
      </c>
      <c r="E36" s="473">
        <v>0.92</v>
      </c>
      <c r="F36" s="460">
        <f>LOOKUP(E36,110:110,111:111)-LOOKUP(C36,110:110,111:111)+100</f>
        <v>100</v>
      </c>
      <c r="G36" s="473">
        <v>0.9</v>
      </c>
      <c r="H36" s="460">
        <f>LOOKUP(G36,110:110,111:111)-LOOKUP(C36,110:110,111:111)+100</f>
        <v>100</v>
      </c>
      <c r="I36" s="473">
        <v>0.95</v>
      </c>
      <c r="J36" s="434">
        <f>LOOKUP(I36,110:110,111:111)-LOOKUP(C36,110:110,111:111)+100</f>
        <v>100</v>
      </c>
      <c r="K36" s="611">
        <v>2</v>
      </c>
      <c r="L36" s="1139"/>
      <c r="M36" s="1130"/>
      <c r="N36" s="1130"/>
      <c r="O36" s="1130"/>
      <c r="P36" s="3228"/>
      <c r="Q36" s="2965" t="str">
        <f t="shared" si="11"/>
        <v>成新度</v>
      </c>
      <c r="R36" s="773" t="s">
        <v>17</v>
      </c>
      <c r="S36" s="774">
        <f t="shared" si="12"/>
        <v>100</v>
      </c>
      <c r="T36" s="773" t="s">
        <v>17</v>
      </c>
      <c r="U36" s="774">
        <f t="shared" si="13"/>
        <v>100</v>
      </c>
      <c r="V36" s="773" t="s">
        <v>17</v>
      </c>
      <c r="W36" s="774">
        <f t="shared" si="14"/>
        <v>100</v>
      </c>
      <c r="X36" s="2967"/>
      <c r="Y36" s="3230"/>
      <c r="Z36" s="2968" t="str">
        <f t="shared" si="15"/>
        <v>成新度</v>
      </c>
      <c r="AA36" s="2966">
        <f t="shared" si="3"/>
        <v>1</v>
      </c>
      <c r="AB36" s="2966">
        <f t="shared" si="4"/>
        <v>1</v>
      </c>
      <c r="AC36" s="2966">
        <f t="shared" si="5"/>
        <v>1</v>
      </c>
    </row>
    <row r="37" spans="1:29" s="116" customFormat="1" ht="15">
      <c r="A37" s="472"/>
      <c r="B37" s="2954" t="s">
        <v>2667</v>
      </c>
      <c r="C37" s="2613" t="s">
        <v>3294</v>
      </c>
      <c r="D37" s="135">
        <v>100</v>
      </c>
      <c r="E37" s="2613" t="s">
        <v>3294</v>
      </c>
      <c r="F37" s="460">
        <f>SUMIF(112:112,E37,113:113)-SUMIF(112:112,C37,113:113)+100</f>
        <v>100</v>
      </c>
      <c r="G37" s="2613" t="s">
        <v>3294</v>
      </c>
      <c r="H37" s="434">
        <f>SUMIF(112:112,G37,113:113)-SUMIF(112:112,C37,113:113)+100</f>
        <v>100</v>
      </c>
      <c r="I37" s="2613" t="s">
        <v>3294</v>
      </c>
      <c r="J37" s="434">
        <f>SUMIF(112:112,I37,113:113)-SUMIF(112:112,C37,113:113)+100</f>
        <v>100</v>
      </c>
      <c r="K37" s="611">
        <v>2</v>
      </c>
      <c r="L37" s="1131"/>
      <c r="M37" s="1132"/>
      <c r="N37" s="1132"/>
      <c r="O37" s="1132"/>
      <c r="P37" s="3228"/>
      <c r="Q37" s="2942" t="str">
        <f t="shared" si="11"/>
        <v>市政基础设施</v>
      </c>
      <c r="R37" s="769" t="s">
        <v>17</v>
      </c>
      <c r="S37" s="770">
        <f t="shared" si="12"/>
        <v>100</v>
      </c>
      <c r="T37" s="769" t="s">
        <v>17</v>
      </c>
      <c r="U37" s="770">
        <f t="shared" si="13"/>
        <v>100</v>
      </c>
      <c r="V37" s="769" t="s">
        <v>17</v>
      </c>
      <c r="W37" s="770">
        <f t="shared" si="14"/>
        <v>100</v>
      </c>
      <c r="X37" s="771"/>
      <c r="Y37" s="3230"/>
      <c r="Z37" s="2944" t="str">
        <f t="shared" si="15"/>
        <v>市政基础设施</v>
      </c>
      <c r="AA37" s="772">
        <f t="shared" si="3"/>
        <v>1</v>
      </c>
      <c r="AB37" s="772">
        <f t="shared" si="4"/>
        <v>1</v>
      </c>
      <c r="AC37" s="772">
        <f t="shared" si="5"/>
        <v>1</v>
      </c>
    </row>
    <row r="38" spans="1:29" ht="15">
      <c r="A38" s="471"/>
      <c r="B38" s="2954" t="s">
        <v>2668</v>
      </c>
      <c r="C38" s="2613" t="s">
        <v>3364</v>
      </c>
      <c r="D38" s="434">
        <v>100</v>
      </c>
      <c r="E38" s="2613" t="s">
        <v>3364</v>
      </c>
      <c r="F38" s="460">
        <f>SUMIF(114:114,E38,115:115)-SUMIF(114:114,C38,115:115)+100</f>
        <v>100</v>
      </c>
      <c r="G38" s="2613" t="s">
        <v>3364</v>
      </c>
      <c r="H38" s="434">
        <f>SUMIF(114:114,G38,115:115)-SUMIF(114:114,C38,115:115)+100</f>
        <v>100</v>
      </c>
      <c r="I38" s="2613" t="s">
        <v>3364</v>
      </c>
      <c r="J38" s="434">
        <f>SUMIF(114:114,I38,115:115)-SUMIF(114:114,C38,115:115)+100</f>
        <v>100</v>
      </c>
      <c r="K38" s="611">
        <v>3</v>
      </c>
      <c r="L38" s="1139"/>
      <c r="M38" s="1130"/>
      <c r="N38" s="1130"/>
      <c r="O38" s="1130"/>
      <c r="P38" s="3228" t="s">
        <v>2569</v>
      </c>
      <c r="Q38" s="2965" t="str">
        <f t="shared" si="11"/>
        <v>业态</v>
      </c>
      <c r="R38" s="773" t="s">
        <v>17</v>
      </c>
      <c r="S38" s="774">
        <f t="shared" si="12"/>
        <v>100</v>
      </c>
      <c r="T38" s="773" t="s">
        <v>17</v>
      </c>
      <c r="U38" s="774">
        <f t="shared" si="13"/>
        <v>100</v>
      </c>
      <c r="V38" s="773" t="s">
        <v>17</v>
      </c>
      <c r="W38" s="774">
        <f t="shared" si="14"/>
        <v>100</v>
      </c>
      <c r="X38" s="2967"/>
      <c r="Y38" s="3230" t="s">
        <v>2569</v>
      </c>
      <c r="Z38" s="2968" t="str">
        <f t="shared" si="15"/>
        <v>业态</v>
      </c>
      <c r="AA38" s="2966">
        <f t="shared" si="3"/>
        <v>1</v>
      </c>
      <c r="AB38" s="2966">
        <f t="shared" si="4"/>
        <v>1</v>
      </c>
      <c r="AC38" s="2966">
        <f t="shared" si="5"/>
        <v>1</v>
      </c>
    </row>
    <row r="39" spans="1:29" ht="15">
      <c r="A39" s="471"/>
      <c r="B39" s="2954" t="s">
        <v>2669</v>
      </c>
      <c r="C39" s="2613" t="s">
        <v>3365</v>
      </c>
      <c r="D39" s="434">
        <v>100</v>
      </c>
      <c r="E39" s="2613" t="s">
        <v>3366</v>
      </c>
      <c r="F39" s="460">
        <f>SUMIF(116:116,E39,117:117)-SUMIF(116:116,C39,117:117)+100</f>
        <v>97</v>
      </c>
      <c r="G39" s="2613" t="s">
        <v>3366</v>
      </c>
      <c r="H39" s="434">
        <f>SUMIF(116:116,G39,117:117)-SUMIF(116:116,C39,117:117)+100</f>
        <v>97</v>
      </c>
      <c r="I39" s="2613" t="s">
        <v>3365</v>
      </c>
      <c r="J39" s="434">
        <f>SUMIF(116:116,I39,117:117)-SUMIF(116:116,C39,117:117)+100</f>
        <v>100</v>
      </c>
      <c r="K39" s="611">
        <v>3</v>
      </c>
      <c r="L39" s="1139"/>
      <c r="M39" s="1130"/>
      <c r="N39" s="1130"/>
      <c r="O39" s="1130"/>
      <c r="P39" s="3228"/>
      <c r="Q39" s="2965" t="str">
        <f t="shared" si="11"/>
        <v>层高</v>
      </c>
      <c r="R39" s="773" t="s">
        <v>17</v>
      </c>
      <c r="S39" s="774">
        <f t="shared" si="12"/>
        <v>97</v>
      </c>
      <c r="T39" s="773" t="s">
        <v>17</v>
      </c>
      <c r="U39" s="774">
        <f t="shared" si="13"/>
        <v>97</v>
      </c>
      <c r="V39" s="773" t="s">
        <v>17</v>
      </c>
      <c r="W39" s="774">
        <f t="shared" si="14"/>
        <v>100</v>
      </c>
      <c r="X39" s="2967"/>
      <c r="Y39" s="3230"/>
      <c r="Z39" s="2968" t="str">
        <f t="shared" si="15"/>
        <v>层高</v>
      </c>
      <c r="AA39" s="2966">
        <f t="shared" si="3"/>
        <v>1.0309278350515463</v>
      </c>
      <c r="AB39" s="2966">
        <f t="shared" si="4"/>
        <v>1.0309278350515463</v>
      </c>
      <c r="AC39" s="2966">
        <f t="shared" si="5"/>
        <v>1</v>
      </c>
    </row>
    <row r="40" spans="1:29" ht="15">
      <c r="A40" s="471"/>
      <c r="B40" s="2954" t="s">
        <v>2670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28"/>
      <c r="Q40" s="2965" t="str">
        <f t="shared" si="11"/>
        <v>单套建筑面积</v>
      </c>
      <c r="R40" s="773" t="s">
        <v>17</v>
      </c>
      <c r="S40" s="774">
        <f t="shared" si="12"/>
        <v>100</v>
      </c>
      <c r="T40" s="773" t="s">
        <v>17</v>
      </c>
      <c r="U40" s="774">
        <f t="shared" si="13"/>
        <v>100</v>
      </c>
      <c r="V40" s="773" t="s">
        <v>17</v>
      </c>
      <c r="W40" s="774">
        <f t="shared" si="14"/>
        <v>100</v>
      </c>
      <c r="X40" s="2967"/>
      <c r="Y40" s="3230"/>
      <c r="Z40" s="2968" t="str">
        <f t="shared" si="15"/>
        <v>单套建筑面积</v>
      </c>
      <c r="AA40" s="2966">
        <f t="shared" si="3"/>
        <v>1</v>
      </c>
      <c r="AB40" s="2966">
        <f t="shared" si="4"/>
        <v>1</v>
      </c>
      <c r="AC40" s="2966">
        <f t="shared" si="5"/>
        <v>1</v>
      </c>
    </row>
    <row r="41" spans="1:29" s="470" customFormat="1" ht="15">
      <c r="A41" s="467"/>
      <c r="B41" s="2964" t="s">
        <v>2671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v>3</v>
      </c>
      <c r="L41" s="1137"/>
      <c r="M41" s="1140"/>
      <c r="N41" s="1140"/>
      <c r="O41" s="1140"/>
      <c r="P41" s="3228"/>
      <c r="Q41" s="775" t="str">
        <f t="shared" si="11"/>
        <v>进深比</v>
      </c>
      <c r="R41" s="776" t="s">
        <v>17</v>
      </c>
      <c r="S41" s="777">
        <f t="shared" si="12"/>
        <v>100</v>
      </c>
      <c r="T41" s="776" t="s">
        <v>17</v>
      </c>
      <c r="U41" s="777">
        <f t="shared" si="13"/>
        <v>100</v>
      </c>
      <c r="V41" s="776" t="s">
        <v>17</v>
      </c>
      <c r="W41" s="777">
        <f t="shared" si="14"/>
        <v>100</v>
      </c>
      <c r="X41" s="778"/>
      <c r="Y41" s="3230"/>
      <c r="Z41" s="779" t="str">
        <f t="shared" si="15"/>
        <v>进深比</v>
      </c>
      <c r="AA41" s="2966">
        <f t="shared" si="3"/>
        <v>1</v>
      </c>
      <c r="AB41" s="2966">
        <f t="shared" si="4"/>
        <v>1</v>
      </c>
      <c r="AC41" s="2966">
        <f t="shared" si="5"/>
        <v>1</v>
      </c>
    </row>
    <row r="42" spans="1:29" ht="15">
      <c r="A42" s="471"/>
      <c r="B42" s="2954" t="s">
        <v>2672</v>
      </c>
      <c r="C42" s="2613" t="s">
        <v>3367</v>
      </c>
      <c r="D42" s="434">
        <v>100</v>
      </c>
      <c r="E42" s="2613" t="s">
        <v>3368</v>
      </c>
      <c r="F42" s="460">
        <f>SUMIF(122:122,E42,123:123)-SUMIF(122:122,C42,123:123)+100</f>
        <v>102</v>
      </c>
      <c r="G42" s="2613" t="s">
        <v>3368</v>
      </c>
      <c r="H42" s="434">
        <f>SUMIF(122:122,G42,123:123)-SUMIF(122:122,C42,123:123)+100</f>
        <v>102</v>
      </c>
      <c r="I42" s="2613" t="s">
        <v>3368</v>
      </c>
      <c r="J42" s="434">
        <f>SUMIF(122:122,I42,123:123)-SUMIF(122:122,C42,123:123)+100</f>
        <v>102</v>
      </c>
      <c r="K42" s="611">
        <v>1</v>
      </c>
      <c r="L42" s="1139"/>
      <c r="M42" s="1130"/>
      <c r="N42" s="1130"/>
      <c r="O42" s="1130"/>
      <c r="P42" s="3228"/>
      <c r="Q42" s="2965" t="str">
        <f t="shared" si="11"/>
        <v>内部装修</v>
      </c>
      <c r="R42" s="773" t="s">
        <v>17</v>
      </c>
      <c r="S42" s="774">
        <f t="shared" si="12"/>
        <v>102</v>
      </c>
      <c r="T42" s="773" t="s">
        <v>17</v>
      </c>
      <c r="U42" s="774">
        <f t="shared" si="13"/>
        <v>102</v>
      </c>
      <c r="V42" s="773" t="s">
        <v>17</v>
      </c>
      <c r="W42" s="774">
        <f t="shared" si="14"/>
        <v>102</v>
      </c>
      <c r="X42" s="2967"/>
      <c r="Y42" s="3230"/>
      <c r="Z42" s="2968" t="str">
        <f t="shared" si="15"/>
        <v>内部装修</v>
      </c>
      <c r="AA42" s="2966">
        <f t="shared" si="3"/>
        <v>0.98039215686274506</v>
      </c>
      <c r="AB42" s="2966">
        <f t="shared" si="4"/>
        <v>0.98039215686274506</v>
      </c>
      <c r="AC42" s="2966">
        <f t="shared" si="5"/>
        <v>0.98039215686274506</v>
      </c>
    </row>
    <row r="43" spans="1:29" ht="15">
      <c r="A43" s="471"/>
      <c r="B43" s="2954" t="s">
        <v>2580</v>
      </c>
      <c r="C43" s="2613" t="s">
        <v>3293</v>
      </c>
      <c r="D43" s="434">
        <v>100</v>
      </c>
      <c r="E43" s="2613" t="s">
        <v>3293</v>
      </c>
      <c r="F43" s="460">
        <f>SUMIF(124:124,E43,125:125)-SUMIF(124:124,C43,125:125)+100</f>
        <v>100</v>
      </c>
      <c r="G43" s="2613" t="s">
        <v>3293</v>
      </c>
      <c r="H43" s="434">
        <f>SUMIF(124:124,G43,125:125)-SUMIF(124:124,C43,125:125)+100</f>
        <v>100</v>
      </c>
      <c r="I43" s="2613" t="s">
        <v>3293</v>
      </c>
      <c r="J43" s="434">
        <f>SUMIF(124:124,I43,125:125)-SUMIF(124:124,C43,125:125)+100</f>
        <v>100</v>
      </c>
      <c r="K43" s="611">
        <v>3</v>
      </c>
      <c r="L43" s="1139"/>
      <c r="M43" s="1130"/>
      <c r="N43" s="1130"/>
      <c r="O43" s="1130"/>
      <c r="P43" s="3228"/>
      <c r="Q43" s="2965" t="str">
        <f t="shared" si="11"/>
        <v>内部装修维护情况</v>
      </c>
      <c r="R43" s="773" t="s">
        <v>17</v>
      </c>
      <c r="S43" s="774">
        <f t="shared" si="12"/>
        <v>100</v>
      </c>
      <c r="T43" s="773" t="s">
        <v>17</v>
      </c>
      <c r="U43" s="774">
        <f t="shared" si="13"/>
        <v>100</v>
      </c>
      <c r="V43" s="773" t="s">
        <v>17</v>
      </c>
      <c r="W43" s="774">
        <f t="shared" si="14"/>
        <v>100</v>
      </c>
      <c r="X43" s="2967"/>
      <c r="Y43" s="3230"/>
      <c r="Z43" s="2968" t="str">
        <f t="shared" si="15"/>
        <v>内部装修维护情况</v>
      </c>
      <c r="AA43" s="2966">
        <f t="shared" si="3"/>
        <v>1</v>
      </c>
      <c r="AB43" s="2966">
        <f t="shared" si="4"/>
        <v>1</v>
      </c>
      <c r="AC43" s="2966">
        <f t="shared" si="5"/>
        <v>1</v>
      </c>
    </row>
    <row r="44" spans="1:29" s="116" customFormat="1" ht="15">
      <c r="A44" s="472"/>
      <c r="B44" s="1385">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228"/>
      <c r="Q44" s="2942">
        <f t="shared" si="11"/>
        <v>111</v>
      </c>
      <c r="R44" s="769" t="s">
        <v>17</v>
      </c>
      <c r="S44" s="770">
        <f t="shared" si="12"/>
        <v>100</v>
      </c>
      <c r="T44" s="769" t="s">
        <v>17</v>
      </c>
      <c r="U44" s="770">
        <f t="shared" si="13"/>
        <v>100</v>
      </c>
      <c r="V44" s="769" t="s">
        <v>17</v>
      </c>
      <c r="W44" s="770">
        <f t="shared" si="14"/>
        <v>100</v>
      </c>
      <c r="X44" s="771"/>
      <c r="Y44" s="3230"/>
      <c r="Z44" s="2944">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28"/>
      <c r="Q45" s="2965">
        <f t="shared" si="11"/>
        <v>111</v>
      </c>
      <c r="R45" s="773" t="s">
        <v>17</v>
      </c>
      <c r="S45" s="774">
        <f t="shared" si="12"/>
        <v>100</v>
      </c>
      <c r="T45" s="773" t="s">
        <v>17</v>
      </c>
      <c r="U45" s="774">
        <f t="shared" si="13"/>
        <v>100</v>
      </c>
      <c r="V45" s="773" t="s">
        <v>17</v>
      </c>
      <c r="W45" s="774">
        <f t="shared" si="14"/>
        <v>100</v>
      </c>
      <c r="X45" s="2967"/>
      <c r="Y45" s="3230"/>
      <c r="Z45" s="2968">
        <f t="shared" si="15"/>
        <v>111</v>
      </c>
      <c r="AA45" s="2966">
        <f t="shared" si="3"/>
        <v>1</v>
      </c>
      <c r="AB45" s="2966">
        <f t="shared" si="4"/>
        <v>1</v>
      </c>
      <c r="AC45" s="2966">
        <f t="shared" si="5"/>
        <v>1</v>
      </c>
    </row>
    <row r="46" spans="1:29" ht="15.75" thickBot="1">
      <c r="A46" s="477"/>
      <c r="B46" s="2602">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29"/>
      <c r="Q46" s="2965">
        <f t="shared" si="11"/>
        <v>111</v>
      </c>
      <c r="R46" s="773" t="s">
        <v>17</v>
      </c>
      <c r="S46" s="774">
        <f t="shared" si="12"/>
        <v>100</v>
      </c>
      <c r="T46" s="773" t="s">
        <v>17</v>
      </c>
      <c r="U46" s="774">
        <f t="shared" si="13"/>
        <v>100</v>
      </c>
      <c r="V46" s="773" t="s">
        <v>17</v>
      </c>
      <c r="W46" s="774">
        <f t="shared" si="14"/>
        <v>100</v>
      </c>
      <c r="X46" s="2967"/>
      <c r="Y46" s="3231"/>
      <c r="Z46" s="2968">
        <f t="shared" si="15"/>
        <v>111</v>
      </c>
      <c r="AA46" s="2966">
        <f t="shared" si="3"/>
        <v>1</v>
      </c>
      <c r="AB46" s="2966">
        <f t="shared" si="4"/>
        <v>1</v>
      </c>
      <c r="AC46" s="2966">
        <f t="shared" si="5"/>
        <v>1</v>
      </c>
    </row>
    <row r="47" spans="1:29" ht="15">
      <c r="A47" s="478" t="s">
        <v>2581</v>
      </c>
      <c r="B47" s="479"/>
      <c r="C47" s="1406" t="s">
        <v>1</v>
      </c>
      <c r="D47" s="1407"/>
      <c r="E47" s="1408">
        <v>5.07</v>
      </c>
      <c r="F47" s="1409"/>
      <c r="G47" s="1410">
        <v>6</v>
      </c>
      <c r="H47" s="1411"/>
      <c r="I47" s="1408">
        <v>5.8</v>
      </c>
      <c r="J47" s="1411"/>
      <c r="K47" s="782"/>
      <c r="L47" s="1142"/>
      <c r="M47" s="1143"/>
      <c r="N47" s="1130"/>
      <c r="O47" s="1143"/>
      <c r="P47" s="3218" t="str">
        <f>A47</f>
        <v>成交单价（元/平方米）</v>
      </c>
      <c r="Q47" s="3218"/>
      <c r="R47" s="3252">
        <f>E47</f>
        <v>5.07</v>
      </c>
      <c r="S47" s="3252"/>
      <c r="T47" s="3252">
        <f>G47</f>
        <v>6</v>
      </c>
      <c r="U47" s="3252"/>
      <c r="V47" s="3252">
        <f>I47</f>
        <v>5.8</v>
      </c>
      <c r="W47" s="3252"/>
      <c r="X47" s="758"/>
      <c r="Y47" s="780"/>
      <c r="Z47" s="758"/>
      <c r="AA47" s="758"/>
      <c r="AB47" s="758"/>
      <c r="AC47" s="758"/>
    </row>
    <row r="48" spans="1:29" ht="15.75" thickBot="1">
      <c r="A48" s="485" t="s">
        <v>2582</v>
      </c>
      <c r="B48" s="486"/>
      <c r="C48" s="1412">
        <f>R49</f>
        <v>6.6</v>
      </c>
      <c r="D48" s="1413"/>
      <c r="E48" s="1414">
        <f>R48</f>
        <v>6.5</v>
      </c>
      <c r="F48" s="1414"/>
      <c r="G48" s="1412">
        <f>T48</f>
        <v>6.2</v>
      </c>
      <c r="H48" s="1413"/>
      <c r="I48" s="1414">
        <f>V48</f>
        <v>7.1</v>
      </c>
      <c r="J48" s="1413"/>
      <c r="K48" s="783"/>
      <c r="L48" s="1142"/>
      <c r="M48" s="1143"/>
      <c r="N48" s="1130"/>
      <c r="O48" s="1143"/>
      <c r="P48" s="3218" t="str">
        <f>A48</f>
        <v>比较价值（元/平方米）</v>
      </c>
      <c r="Q48" s="3218"/>
      <c r="R48" s="3219">
        <f>IF(F1="售价",ROUND(PRODUCT(R47,AA7:AA46),0),ROUND(PRODUCT(R47,AA7:AA46),1))</f>
        <v>6.5</v>
      </c>
      <c r="S48" s="3219"/>
      <c r="T48" s="3219">
        <f>IF(F1="售价",ROUND(PRODUCT(T47,AB7:AB46),0),ROUND(PRODUCT(T47,AB7:AB46),1))</f>
        <v>6.2</v>
      </c>
      <c r="U48" s="3219"/>
      <c r="V48" s="3219">
        <f>IF(F1="售价",ROUND(PRODUCT(V47,AC7:AC46),0),ROUND(PRODUCT(V47,AC7:AC46),1))</f>
        <v>7.1</v>
      </c>
      <c r="W48" s="3219"/>
      <c r="X48" s="758"/>
      <c r="Y48" s="758"/>
      <c r="Z48" s="758"/>
      <c r="AA48" s="758"/>
      <c r="AB48" s="758"/>
      <c r="AC48" s="758"/>
    </row>
    <row r="49" spans="1:29" ht="15.75" thickBot="1">
      <c r="A49" s="491" t="s">
        <v>2583</v>
      </c>
      <c r="B49" s="492"/>
      <c r="C49" s="1416">
        <f>R49</f>
        <v>6.6</v>
      </c>
      <c r="D49" s="1416"/>
      <c r="E49" s="1416"/>
      <c r="F49" s="1416"/>
      <c r="G49" s="1416"/>
      <c r="H49" s="1416"/>
      <c r="I49" s="1416"/>
      <c r="J49" s="1416"/>
      <c r="K49" s="784"/>
      <c r="L49" s="1142"/>
      <c r="M49" s="1143"/>
      <c r="N49" s="1130"/>
      <c r="O49" s="1143"/>
      <c r="P49" s="3290" t="str">
        <f>A49</f>
        <v>估价对象XX用房的比较价值（楼面单价，元/平方米）</v>
      </c>
      <c r="Q49" s="3291"/>
      <c r="R49" s="3292">
        <f>IF(F1="售价",ROUND(AVERAGE(R48:V48),0),ROUND(AVERAGE(R48:V48),1))</f>
        <v>6.6</v>
      </c>
      <c r="S49" s="3292"/>
      <c r="T49" s="3292"/>
      <c r="U49" s="3292"/>
      <c r="V49" s="3292"/>
      <c r="W49" s="3292"/>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2584</v>
      </c>
      <c r="D52" s="497"/>
      <c r="E52" s="498">
        <f>IF(E47&lt;E48,E48/E47-1,E47/E48-1)</f>
        <v>0.28205128205128194</v>
      </c>
      <c r="F52" s="499" t="str">
        <f>IF(OR(E52&gt;=0.3,E52&lt;=-0.3),"超过30%","")</f>
        <v/>
      </c>
      <c r="G52" s="498">
        <f>IF(G47&lt;G48,G48/G47-1,G47/G48-1)</f>
        <v>3.3333333333333437E-2</v>
      </c>
      <c r="H52" s="499" t="str">
        <f>IF(OR(G52&gt;=0.3,G52&lt;=-0.3),"超过30%","")</f>
        <v/>
      </c>
      <c r="I52" s="498">
        <f>IF(I47&lt;I48,I48/I47-1,I47/I48-1)</f>
        <v>0.22413793103448265</v>
      </c>
      <c r="J52" s="499" t="str">
        <f>IF(OR(I52&gt;=0.3,I52&lt;=-0.3),"超过30%","")</f>
        <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2585</v>
      </c>
      <c r="D53" s="500"/>
      <c r="E53" s="498">
        <f>IF(E48&lt;G48,G48/E48-1,E48/G48-1)</f>
        <v>4.8387096774193505E-2</v>
      </c>
      <c r="F53" s="499" t="str">
        <f>IF(OR(E53&gt;=0.2,E53&lt;=-0.2),"超过20%","")</f>
        <v/>
      </c>
      <c r="G53" s="498">
        <f>IF(G48&lt;I48,I48/G48-1,G48/I48-1)</f>
        <v>0.14516129032258052</v>
      </c>
      <c r="H53" s="499" t="str">
        <f>IF(OR(G53&gt;=0.2,G53&lt;=-0.2),"超过20%","")</f>
        <v/>
      </c>
      <c r="I53" s="498">
        <f>IF(I48&lt;E48,E48/I48-1,I48/E48-1)</f>
        <v>9.2307692307692202E-2</v>
      </c>
      <c r="J53" s="499" t="str">
        <f>IF(OR(I53&gt;=0.2,I53&lt;=-0.2),"超过20%","")</f>
        <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2586</v>
      </c>
      <c r="D54" s="500"/>
      <c r="E54" s="498">
        <f>IF(E47&lt;G47,G47/E47-1,E47/G47-1)</f>
        <v>0.18343195266272172</v>
      </c>
      <c r="F54" s="499" t="str">
        <f>IF(OR(E54&gt;=0.3,E54&lt;=-0.3),"超过30%","")</f>
        <v/>
      </c>
      <c r="G54" s="498">
        <f>IF(G47&lt;I47,I47/G47-1,G47/I47-1)</f>
        <v>3.4482758620689724E-2</v>
      </c>
      <c r="H54" s="499" t="str">
        <f>IF(OR(G54&gt;=0.3,G54&lt;=-0.3),"超过30%","")</f>
        <v/>
      </c>
      <c r="I54" s="498">
        <f>IF(I47&lt;E47,E47/I47-1,I47/E47-1)</f>
        <v>0.14398422090729768</v>
      </c>
      <c r="J54" s="499" t="str">
        <f>IF(OR(I54&gt;=0.3,I54&lt;=-0.3),"超过30%","")</f>
        <v/>
      </c>
      <c r="K54" s="1147"/>
      <c r="L54" s="1148"/>
      <c r="M54" s="1144"/>
      <c r="N54" s="1144"/>
      <c r="O54" s="1144"/>
      <c r="P54" s="2666"/>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66"/>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2587</v>
      </c>
      <c r="B57" s="758"/>
      <c r="C57" s="763"/>
      <c r="D57" s="763"/>
      <c r="E57" s="763"/>
      <c r="F57" s="764"/>
      <c r="G57" s="764"/>
      <c r="H57" s="763"/>
      <c r="I57" s="763"/>
      <c r="J57" s="763"/>
      <c r="K57" s="765"/>
      <c r="L57" s="1160"/>
      <c r="M57" s="1158"/>
      <c r="N57" s="1158"/>
      <c r="O57" s="1158"/>
      <c r="P57" s="2667"/>
      <c r="Q57" s="2668"/>
      <c r="R57" s="758"/>
      <c r="S57" s="758"/>
      <c r="T57" s="758"/>
      <c r="U57" s="758"/>
      <c r="V57" s="758"/>
      <c r="W57" s="758"/>
      <c r="X57" s="758"/>
      <c r="Y57" s="758"/>
      <c r="Z57" s="758"/>
      <c r="AA57" s="758"/>
      <c r="AB57" s="758"/>
      <c r="AC57" s="758"/>
    </row>
    <row r="58" spans="1:29" s="507" customFormat="1" ht="15">
      <c r="A58" s="504" t="s">
        <v>2552</v>
      </c>
      <c r="B58" s="505"/>
      <c r="C58" s="1573" t="str">
        <f>YEAR(C7)&amp;"-"&amp;MONTH(C7)</f>
        <v>2018-6</v>
      </c>
      <c r="D58" s="1574">
        <f>EDATE(C58,-1)</f>
        <v>43221</v>
      </c>
      <c r="E58" s="1574">
        <f t="shared" ref="E58:N58" si="16">EDATE(D58,-1)</f>
        <v>43191</v>
      </c>
      <c r="F58" s="1574">
        <f t="shared" si="16"/>
        <v>43160</v>
      </c>
      <c r="G58" s="1574">
        <f t="shared" si="16"/>
        <v>43132</v>
      </c>
      <c r="H58" s="1574">
        <f t="shared" si="16"/>
        <v>43101</v>
      </c>
      <c r="I58" s="1574">
        <f t="shared" si="16"/>
        <v>43070</v>
      </c>
      <c r="J58" s="1574">
        <f t="shared" si="16"/>
        <v>43040</v>
      </c>
      <c r="K58" s="1574">
        <f t="shared" si="16"/>
        <v>43009</v>
      </c>
      <c r="L58" s="1574">
        <f t="shared" si="16"/>
        <v>42979</v>
      </c>
      <c r="M58" s="1574">
        <f t="shared" si="16"/>
        <v>42948</v>
      </c>
      <c r="N58" s="1574">
        <f t="shared" si="16"/>
        <v>42917</v>
      </c>
      <c r="O58" s="1574">
        <f>EDATE(N58,-1)</f>
        <v>42887</v>
      </c>
      <c r="P58" s="1569"/>
    </row>
    <row r="59" spans="1:29" s="116" customFormat="1" ht="15">
      <c r="A59" s="508"/>
      <c r="B59" s="509"/>
      <c r="C59" s="1572">
        <v>100</v>
      </c>
      <c r="D59" s="511"/>
      <c r="E59" s="511"/>
      <c r="F59" s="511"/>
      <c r="G59" s="511"/>
      <c r="H59" s="511"/>
      <c r="I59" s="511"/>
      <c r="J59" s="511"/>
      <c r="K59" s="511"/>
      <c r="L59" s="511"/>
      <c r="M59" s="512"/>
      <c r="N59" s="511"/>
      <c r="O59" s="512"/>
      <c r="P59" s="2628"/>
    </row>
    <row r="60" spans="1:29" s="116" customFormat="1" ht="15.75" thickBot="1">
      <c r="A60" s="514" t="s">
        <v>2589</v>
      </c>
      <c r="B60" s="515"/>
      <c r="C60" s="516"/>
      <c r="D60" s="517"/>
      <c r="E60" s="517"/>
      <c r="F60" s="517"/>
      <c r="G60" s="517"/>
      <c r="H60" s="517"/>
      <c r="I60" s="517"/>
      <c r="J60" s="517"/>
      <c r="K60" s="517"/>
      <c r="L60" s="517"/>
      <c r="M60" s="518"/>
      <c r="N60" s="517"/>
      <c r="O60" s="518"/>
      <c r="P60" s="2628"/>
      <c r="Q60" s="503"/>
    </row>
    <row r="61" spans="1:29" s="116" customFormat="1" ht="15">
      <c r="A61" s="520" t="s">
        <v>2554</v>
      </c>
      <c r="B61" s="509"/>
      <c r="C61" s="521" t="s">
        <v>2591</v>
      </c>
      <c r="D61" s="522"/>
      <c r="E61" s="522"/>
      <c r="F61" s="522"/>
      <c r="G61" s="522"/>
      <c r="H61" s="522"/>
      <c r="I61" s="522"/>
      <c r="J61" s="522"/>
      <c r="K61" s="522"/>
      <c r="L61" s="523"/>
      <c r="M61" s="524"/>
      <c r="N61" s="1150"/>
      <c r="O61" s="1150"/>
      <c r="P61" s="2629"/>
      <c r="Q61" s="503"/>
    </row>
    <row r="62" spans="1:29" s="116" customFormat="1" ht="15.75" thickBot="1">
      <c r="A62" s="520"/>
      <c r="B62" s="509"/>
      <c r="C62" s="510">
        <v>100</v>
      </c>
      <c r="D62" s="511"/>
      <c r="E62" s="511"/>
      <c r="F62" s="511"/>
      <c r="G62" s="511"/>
      <c r="H62" s="511"/>
      <c r="I62" s="511"/>
      <c r="J62" s="511"/>
      <c r="K62" s="511"/>
      <c r="L62" s="511"/>
      <c r="M62" s="513"/>
      <c r="N62" s="1150"/>
      <c r="O62" s="1150"/>
      <c r="P62" s="2628"/>
      <c r="Q62" s="503"/>
    </row>
    <row r="63" spans="1:29">
      <c r="A63" s="526" t="s">
        <v>2592</v>
      </c>
      <c r="B63" s="527" t="s">
        <v>2558</v>
      </c>
      <c r="C63" s="528" t="str">
        <f>C9</f>
        <v>商业</v>
      </c>
      <c r="D63" s="529"/>
      <c r="E63" s="529"/>
      <c r="F63" s="529"/>
      <c r="G63" s="529"/>
      <c r="H63" s="529"/>
      <c r="I63" s="529"/>
      <c r="J63" s="529"/>
      <c r="K63" s="530"/>
      <c r="L63" s="531"/>
      <c r="M63" s="532"/>
      <c r="N63" s="1151"/>
      <c r="O63" s="1151"/>
      <c r="P63" s="2630"/>
      <c r="Q63" s="503"/>
    </row>
    <row r="64" spans="1:29" ht="15.75" thickBot="1">
      <c r="A64" s="533"/>
      <c r="B64" s="534"/>
      <c r="C64" s="535">
        <v>100</v>
      </c>
      <c r="D64" s="535"/>
      <c r="E64" s="535"/>
      <c r="F64" s="535"/>
      <c r="G64" s="535"/>
      <c r="H64" s="535"/>
      <c r="I64" s="535"/>
      <c r="J64" s="535"/>
      <c r="K64" s="535"/>
      <c r="L64" s="535"/>
      <c r="M64" s="536"/>
      <c r="N64" s="1152"/>
      <c r="O64" s="1152"/>
      <c r="P64" s="2630"/>
      <c r="Q64" s="503"/>
    </row>
    <row r="65" spans="1:17" ht="27.75" thickTop="1">
      <c r="A65" s="533"/>
      <c r="B65" s="537" t="s">
        <v>2561</v>
      </c>
      <c r="C65" s="538" t="s">
        <v>2593</v>
      </c>
      <c r="D65" s="538" t="s">
        <v>2594</v>
      </c>
      <c r="E65" s="538" t="s">
        <v>2595</v>
      </c>
      <c r="F65" s="538" t="s">
        <v>2596</v>
      </c>
      <c r="G65" s="538" t="s">
        <v>2597</v>
      </c>
      <c r="H65" s="538" t="s">
        <v>2598</v>
      </c>
      <c r="I65" s="538" t="s">
        <v>2599</v>
      </c>
      <c r="J65" s="538"/>
      <c r="K65" s="539"/>
      <c r="L65" s="540"/>
      <c r="M65" s="541"/>
      <c r="N65" s="1151"/>
      <c r="O65" s="1151"/>
      <c r="P65" s="2630"/>
      <c r="Q65" s="503"/>
    </row>
    <row r="66" spans="1:17" ht="15.75" thickBot="1">
      <c r="A66" s="533"/>
      <c r="B66" s="542"/>
      <c r="C66" s="543" t="s">
        <v>24</v>
      </c>
      <c r="D66" s="543" t="s">
        <v>25</v>
      </c>
      <c r="E66" s="543" t="s">
        <v>26</v>
      </c>
      <c r="F66" s="543">
        <v>100</v>
      </c>
      <c r="G66" s="543">
        <f>F66-$K10</f>
        <v>99</v>
      </c>
      <c r="H66" s="543">
        <f>G66-$K10</f>
        <v>98</v>
      </c>
      <c r="I66" s="543">
        <f>H66-$K10</f>
        <v>97</v>
      </c>
      <c r="J66" s="543"/>
      <c r="K66" s="543"/>
      <c r="L66" s="543"/>
      <c r="M66" s="544"/>
      <c r="N66" s="1152"/>
      <c r="O66" s="1152"/>
      <c r="P66" s="2630"/>
      <c r="Q66" s="503"/>
    </row>
    <row r="67" spans="1:17" ht="15.75" thickTop="1">
      <c r="A67" s="533"/>
      <c r="B67" s="545" t="s">
        <v>2562</v>
      </c>
      <c r="C67" s="546" t="str">
        <f>C68&amp;"（含）"&amp;"-"&amp;D68</f>
        <v>0（含）-1</v>
      </c>
      <c r="D67" s="546" t="str">
        <f t="shared" ref="D67:L67" si="17">D68&amp;"（含）"&amp;"-"&amp;E68</f>
        <v>1（含）-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30"/>
      <c r="Q67" s="503"/>
    </row>
    <row r="68" spans="1:17" ht="15">
      <c r="A68" s="533"/>
      <c r="B68" s="547"/>
      <c r="C68" s="548">
        <v>0</v>
      </c>
      <c r="D68" s="548">
        <v>1</v>
      </c>
      <c r="E68" s="548"/>
      <c r="F68" s="548"/>
      <c r="G68" s="548"/>
      <c r="H68" s="548"/>
      <c r="I68" s="548"/>
      <c r="J68" s="548"/>
      <c r="K68" s="549"/>
      <c r="L68" s="550"/>
      <c r="M68" s="551"/>
      <c r="N68" s="1151"/>
      <c r="O68" s="1151"/>
      <c r="P68" s="2630"/>
      <c r="Q68" s="503"/>
    </row>
    <row r="69" spans="1:17" ht="15.75" thickBot="1">
      <c r="A69" s="533"/>
      <c r="B69" s="534"/>
      <c r="C69" s="543">
        <v>100</v>
      </c>
      <c r="D69" s="543">
        <f t="shared" ref="D69:M69" si="18">C69-$K11</f>
        <v>98</v>
      </c>
      <c r="E69" s="543">
        <f t="shared" si="18"/>
        <v>96</v>
      </c>
      <c r="F69" s="543">
        <f t="shared" si="18"/>
        <v>94</v>
      </c>
      <c r="G69" s="543">
        <f t="shared" si="18"/>
        <v>92</v>
      </c>
      <c r="H69" s="543">
        <f t="shared" si="18"/>
        <v>90</v>
      </c>
      <c r="I69" s="543">
        <f t="shared" si="18"/>
        <v>88</v>
      </c>
      <c r="J69" s="543">
        <f t="shared" si="18"/>
        <v>86</v>
      </c>
      <c r="K69" s="543">
        <f t="shared" si="18"/>
        <v>84</v>
      </c>
      <c r="L69" s="543">
        <f t="shared" si="18"/>
        <v>82</v>
      </c>
      <c r="M69" s="544">
        <f t="shared" si="18"/>
        <v>80</v>
      </c>
      <c r="N69" s="1152"/>
      <c r="O69" s="1152"/>
      <c r="P69" s="2630"/>
      <c r="Q69" s="503"/>
    </row>
    <row r="70" spans="1:17" s="470" customFormat="1" ht="15.75" thickTop="1">
      <c r="A70" s="552"/>
      <c r="B70" s="537">
        <f>B12</f>
        <v>111</v>
      </c>
      <c r="C70" s="553"/>
      <c r="D70" s="553"/>
      <c r="E70" s="553"/>
      <c r="F70" s="553"/>
      <c r="G70" s="553"/>
      <c r="H70" s="554"/>
      <c r="I70" s="554"/>
      <c r="J70" s="554"/>
      <c r="K70" s="554"/>
      <c r="L70" s="555"/>
      <c r="M70" s="556"/>
      <c r="N70" s="1153"/>
      <c r="O70" s="1153"/>
      <c r="P70" s="2631"/>
      <c r="Q70" s="558"/>
    </row>
    <row r="71" spans="1:17" s="470" customFormat="1" ht="15.75" thickBot="1">
      <c r="A71" s="552"/>
      <c r="B71" s="542"/>
      <c r="C71" s="559"/>
      <c r="D71" s="535"/>
      <c r="E71" s="535"/>
      <c r="F71" s="535"/>
      <c r="G71" s="535"/>
      <c r="H71" s="535"/>
      <c r="I71" s="535"/>
      <c r="J71" s="535"/>
      <c r="K71" s="535"/>
      <c r="L71" s="535"/>
      <c r="M71" s="536"/>
      <c r="N71" s="1152"/>
      <c r="O71" s="1152"/>
      <c r="P71" s="2631"/>
      <c r="Q71" s="558"/>
    </row>
    <row r="72" spans="1:17" s="470" customFormat="1" ht="15.75" thickTop="1">
      <c r="A72" s="552"/>
      <c r="B72" s="537">
        <f>B13</f>
        <v>111</v>
      </c>
      <c r="C72" s="553"/>
      <c r="D72" s="553"/>
      <c r="E72" s="553"/>
      <c r="F72" s="553"/>
      <c r="G72" s="553"/>
      <c r="H72" s="554"/>
      <c r="I72" s="554"/>
      <c r="J72" s="554"/>
      <c r="K72" s="554"/>
      <c r="L72" s="555"/>
      <c r="M72" s="556"/>
      <c r="N72" s="1153"/>
      <c r="O72" s="1153"/>
      <c r="P72" s="2632"/>
      <c r="Q72" s="560"/>
    </row>
    <row r="73" spans="1:17" s="470" customFormat="1" ht="15.75" thickBot="1">
      <c r="A73" s="552"/>
      <c r="B73" s="542"/>
      <c r="C73" s="559"/>
      <c r="D73" s="535"/>
      <c r="E73" s="535"/>
      <c r="F73" s="535"/>
      <c r="G73" s="559"/>
      <c r="H73" s="561"/>
      <c r="I73" s="561"/>
      <c r="J73" s="561"/>
      <c r="K73" s="561"/>
      <c r="L73" s="561"/>
      <c r="M73" s="562"/>
      <c r="N73" s="1153"/>
      <c r="O73" s="1153"/>
      <c r="P73" s="2631"/>
      <c r="Q73" s="558"/>
    </row>
    <row r="74" spans="1:17" s="470" customFormat="1" ht="15.75" thickTop="1">
      <c r="A74" s="552"/>
      <c r="B74" s="545">
        <f>B14</f>
        <v>111</v>
      </c>
      <c r="C74" s="553"/>
      <c r="D74" s="553"/>
      <c r="E74" s="553"/>
      <c r="F74" s="553"/>
      <c r="G74" s="522"/>
      <c r="H74" s="563"/>
      <c r="I74" s="563"/>
      <c r="J74" s="563"/>
      <c r="K74" s="563"/>
      <c r="L74" s="564"/>
      <c r="M74" s="565"/>
      <c r="N74" s="1153"/>
      <c r="O74" s="1153"/>
      <c r="P74" s="2633"/>
      <c r="Q74" s="558"/>
    </row>
    <row r="75" spans="1:17" s="470" customFormat="1" ht="15.75" thickBot="1">
      <c r="A75" s="567"/>
      <c r="B75" s="568"/>
      <c r="C75" s="569"/>
      <c r="D75" s="569"/>
      <c r="E75" s="569"/>
      <c r="F75" s="569"/>
      <c r="G75" s="569"/>
      <c r="H75" s="570"/>
      <c r="I75" s="570"/>
      <c r="J75" s="570"/>
      <c r="K75" s="570"/>
      <c r="L75" s="570"/>
      <c r="M75" s="571"/>
      <c r="N75" s="1153"/>
      <c r="O75" s="1153"/>
      <c r="P75" s="2631"/>
      <c r="Q75" s="558"/>
    </row>
    <row r="76" spans="1:17">
      <c r="A76" s="526" t="s">
        <v>2563</v>
      </c>
      <c r="B76" s="527" t="s">
        <v>2600</v>
      </c>
      <c r="C76" s="572" t="s">
        <v>2601</v>
      </c>
      <c r="D76" s="572" t="s">
        <v>2602</v>
      </c>
      <c r="E76" s="572" t="s">
        <v>2603</v>
      </c>
      <c r="F76" s="572" t="s">
        <v>2604</v>
      </c>
      <c r="G76" s="572" t="s">
        <v>2605</v>
      </c>
      <c r="H76" s="528"/>
      <c r="I76" s="528"/>
      <c r="J76" s="528"/>
      <c r="K76" s="573"/>
      <c r="L76" s="574"/>
      <c r="M76" s="575"/>
      <c r="N76" s="1151"/>
      <c r="O76" s="1151"/>
      <c r="P76" s="2634"/>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2"/>
      <c r="O77" s="1152"/>
      <c r="P77" s="2630"/>
      <c r="Q77" s="503"/>
    </row>
    <row r="78" spans="1:17" ht="15.75" thickTop="1">
      <c r="A78" s="533"/>
      <c r="B78" s="537" t="s">
        <v>2606</v>
      </c>
      <c r="C78" s="577" t="s">
        <v>2601</v>
      </c>
      <c r="D78" s="577" t="s">
        <v>2602</v>
      </c>
      <c r="E78" s="577" t="s">
        <v>2603</v>
      </c>
      <c r="F78" s="577" t="s">
        <v>2604</v>
      </c>
      <c r="G78" s="577" t="s">
        <v>2605</v>
      </c>
      <c r="H78" s="538"/>
      <c r="I78" s="538"/>
      <c r="J78" s="538"/>
      <c r="K78" s="539"/>
      <c r="L78" s="540"/>
      <c r="M78" s="541"/>
      <c r="N78" s="1151"/>
      <c r="O78" s="1151"/>
      <c r="P78" s="2630"/>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52"/>
      <c r="O79" s="1152"/>
      <c r="P79" s="2630"/>
      <c r="Q79" s="503"/>
    </row>
    <row r="80" spans="1:17" ht="15.75" thickTop="1">
      <c r="A80" s="533"/>
      <c r="B80" s="537" t="s">
        <v>2607</v>
      </c>
      <c r="C80" s="577" t="s">
        <v>2601</v>
      </c>
      <c r="D80" s="577" t="s">
        <v>2602</v>
      </c>
      <c r="E80" s="577" t="s">
        <v>2603</v>
      </c>
      <c r="F80" s="577" t="s">
        <v>2604</v>
      </c>
      <c r="G80" s="577" t="s">
        <v>2605</v>
      </c>
      <c r="H80" s="538"/>
      <c r="I80" s="538"/>
      <c r="J80" s="538"/>
      <c r="K80" s="539"/>
      <c r="L80" s="540"/>
      <c r="M80" s="541"/>
      <c r="N80" s="1151"/>
      <c r="O80" s="1151"/>
      <c r="P80" s="2630"/>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52"/>
      <c r="O81" s="1152"/>
      <c r="P81" s="2630"/>
      <c r="Q81" s="503"/>
    </row>
    <row r="82" spans="1:17" ht="15.75" thickTop="1">
      <c r="A82" s="533"/>
      <c r="B82" s="545" t="s">
        <v>2659</v>
      </c>
      <c r="C82" s="659" t="s">
        <v>2679</v>
      </c>
      <c r="D82" s="659" t="s">
        <v>2680</v>
      </c>
      <c r="E82" s="659" t="s">
        <v>2681</v>
      </c>
      <c r="F82" s="659" t="s">
        <v>2682</v>
      </c>
      <c r="G82" s="659" t="s">
        <v>2683</v>
      </c>
      <c r="H82" s="538"/>
      <c r="I82" s="538"/>
      <c r="J82" s="538"/>
      <c r="K82" s="538"/>
      <c r="L82" s="538"/>
      <c r="M82" s="1381"/>
      <c r="N82" s="1152"/>
      <c r="O82" s="1152"/>
      <c r="P82" s="2630"/>
      <c r="Q82" s="503"/>
    </row>
    <row r="83" spans="1:17" ht="15.75" thickBot="1">
      <c r="A83" s="533"/>
      <c r="B83" s="545"/>
      <c r="C83" s="543">
        <v>100</v>
      </c>
      <c r="D83" s="543">
        <f>C83-$K21</f>
        <v>98</v>
      </c>
      <c r="E83" s="543">
        <f t="shared" ref="E83:G83" si="19">D83-$K21</f>
        <v>96</v>
      </c>
      <c r="F83" s="543">
        <f t="shared" si="19"/>
        <v>94</v>
      </c>
      <c r="G83" s="543">
        <f t="shared" si="19"/>
        <v>92</v>
      </c>
      <c r="H83" s="659"/>
      <c r="I83" s="659"/>
      <c r="J83" s="659"/>
      <c r="K83" s="659"/>
      <c r="L83" s="659"/>
      <c r="M83" s="449"/>
      <c r="N83" s="1152"/>
      <c r="O83" s="1152"/>
      <c r="P83" s="2630"/>
      <c r="Q83" s="503"/>
    </row>
    <row r="84" spans="1:17" ht="15.75" thickTop="1">
      <c r="A84" s="533"/>
      <c r="B84" s="537" t="s">
        <v>2613</v>
      </c>
      <c r="C84" s="577" t="s">
        <v>2601</v>
      </c>
      <c r="D84" s="577" t="s">
        <v>2602</v>
      </c>
      <c r="E84" s="577" t="s">
        <v>2603</v>
      </c>
      <c r="F84" s="577" t="s">
        <v>2604</v>
      </c>
      <c r="G84" s="577" t="s">
        <v>2605</v>
      </c>
      <c r="H84" s="538"/>
      <c r="I84" s="538"/>
      <c r="J84" s="538"/>
      <c r="K84" s="539"/>
      <c r="L84" s="540"/>
      <c r="M84" s="541"/>
      <c r="N84" s="1151"/>
      <c r="O84" s="1151"/>
      <c r="P84" s="2630"/>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52"/>
      <c r="O85" s="1152"/>
      <c r="P85" s="2630"/>
      <c r="Q85" s="503"/>
    </row>
    <row r="86" spans="1:17" s="116" customFormat="1" ht="15.75" thickTop="1">
      <c r="A86" s="578"/>
      <c r="B86" s="537" t="s">
        <v>2684</v>
      </c>
      <c r="C86" s="2988" t="s">
        <v>3329</v>
      </c>
      <c r="D86" s="2988" t="s">
        <v>3330</v>
      </c>
      <c r="E86" s="2988" t="s">
        <v>3331</v>
      </c>
      <c r="F86" s="2988" t="s">
        <v>3332</v>
      </c>
      <c r="G86" s="553"/>
      <c r="H86" s="553"/>
      <c r="I86" s="553"/>
      <c r="J86" s="553"/>
      <c r="K86" s="553"/>
      <c r="L86" s="579"/>
      <c r="M86" s="580"/>
      <c r="N86" s="1150"/>
      <c r="O86" s="1150"/>
      <c r="P86" s="2630"/>
      <c r="Q86" s="503"/>
    </row>
    <row r="87" spans="1:17" s="116" customFormat="1" ht="15.75" thickBot="1">
      <c r="A87" s="578"/>
      <c r="B87" s="542"/>
      <c r="C87" s="581">
        <v>100</v>
      </c>
      <c r="D87" s="543">
        <f t="shared" ref="D87:M87" si="20">C87-$K25</f>
        <v>97</v>
      </c>
      <c r="E87" s="543">
        <f t="shared" si="20"/>
        <v>94</v>
      </c>
      <c r="F87" s="543">
        <f t="shared" si="20"/>
        <v>91</v>
      </c>
      <c r="G87" s="543">
        <f t="shared" si="20"/>
        <v>88</v>
      </c>
      <c r="H87" s="543">
        <f t="shared" si="20"/>
        <v>85</v>
      </c>
      <c r="I87" s="543">
        <f t="shared" si="20"/>
        <v>82</v>
      </c>
      <c r="J87" s="543">
        <f t="shared" si="20"/>
        <v>79</v>
      </c>
      <c r="K87" s="543">
        <f t="shared" si="20"/>
        <v>76</v>
      </c>
      <c r="L87" s="543">
        <f t="shared" si="20"/>
        <v>73</v>
      </c>
      <c r="M87" s="543">
        <f t="shared" si="20"/>
        <v>70</v>
      </c>
      <c r="N87" s="1152"/>
      <c r="O87" s="1152"/>
      <c r="P87" s="2630"/>
      <c r="Q87" s="503"/>
    </row>
    <row r="88" spans="1:17" s="116" customFormat="1" ht="15.75" thickTop="1">
      <c r="A88" s="578"/>
      <c r="B88" s="537" t="str">
        <f>B26</f>
        <v>平面位置/可视性</v>
      </c>
      <c r="C88" s="2988" t="s">
        <v>3333</v>
      </c>
      <c r="D88" s="2988" t="s">
        <v>3334</v>
      </c>
      <c r="E88" s="2988" t="s">
        <v>3335</v>
      </c>
      <c r="F88" s="2993" t="s">
        <v>3336</v>
      </c>
      <c r="G88" s="2988" t="s">
        <v>3337</v>
      </c>
      <c r="H88" s="553"/>
      <c r="I88" s="553"/>
      <c r="J88" s="553"/>
      <c r="K88" s="553"/>
      <c r="L88" s="553"/>
      <c r="M88" s="580"/>
      <c r="N88" s="1150"/>
      <c r="O88" s="1150"/>
      <c r="P88" s="2630"/>
      <c r="Q88" s="503"/>
    </row>
    <row r="89" spans="1:17" s="116" customFormat="1" ht="15.75" thickBot="1">
      <c r="A89" s="578"/>
      <c r="B89" s="542"/>
      <c r="C89" s="559"/>
      <c r="D89" s="535"/>
      <c r="E89" s="535"/>
      <c r="F89" s="535"/>
      <c r="G89" s="535"/>
      <c r="H89" s="535"/>
      <c r="I89" s="535"/>
      <c r="J89" s="535"/>
      <c r="K89" s="535"/>
      <c r="L89" s="535"/>
      <c r="M89" s="535"/>
      <c r="N89" s="1152"/>
      <c r="O89" s="1152"/>
      <c r="P89" s="2630"/>
      <c r="Q89" s="503"/>
    </row>
    <row r="90" spans="1:17" s="470" customFormat="1" ht="15.75" thickTop="1">
      <c r="A90" s="552"/>
      <c r="B90" s="537" t="str">
        <f>B27</f>
        <v>人流量</v>
      </c>
      <c r="C90" s="2988" t="s">
        <v>3338</v>
      </c>
      <c r="D90" s="2988" t="s">
        <v>3339</v>
      </c>
      <c r="E90" s="2988" t="s">
        <v>3335</v>
      </c>
      <c r="F90" s="2988" t="s">
        <v>3336</v>
      </c>
      <c r="G90" s="2988" t="s">
        <v>3337</v>
      </c>
      <c r="H90" s="554"/>
      <c r="I90" s="554"/>
      <c r="J90" s="554"/>
      <c r="K90" s="554"/>
      <c r="L90" s="555"/>
      <c r="M90" s="556"/>
      <c r="N90" s="1153"/>
      <c r="O90" s="1153"/>
      <c r="P90" s="2631"/>
      <c r="Q90" s="558"/>
    </row>
    <row r="91" spans="1:17" s="470" customFormat="1" ht="15.75" thickBot="1">
      <c r="A91" s="552"/>
      <c r="B91" s="542"/>
      <c r="C91" s="581">
        <v>100</v>
      </c>
      <c r="D91" s="543">
        <f>C91-$K27</f>
        <v>97</v>
      </c>
      <c r="E91" s="543">
        <f t="shared" ref="E91:M91" si="21">D91-$K27</f>
        <v>94</v>
      </c>
      <c r="F91" s="543">
        <f t="shared" si="21"/>
        <v>91</v>
      </c>
      <c r="G91" s="543">
        <f t="shared" si="21"/>
        <v>88</v>
      </c>
      <c r="H91" s="543">
        <f t="shared" si="21"/>
        <v>85</v>
      </c>
      <c r="I91" s="543">
        <f t="shared" si="21"/>
        <v>82</v>
      </c>
      <c r="J91" s="543">
        <f t="shared" si="21"/>
        <v>79</v>
      </c>
      <c r="K91" s="543">
        <f t="shared" si="21"/>
        <v>76</v>
      </c>
      <c r="L91" s="543">
        <f t="shared" si="21"/>
        <v>73</v>
      </c>
      <c r="M91" s="543">
        <f t="shared" si="21"/>
        <v>70</v>
      </c>
      <c r="N91" s="1153"/>
      <c r="O91" s="1153"/>
      <c r="P91" s="2631"/>
      <c r="Q91" s="558"/>
    </row>
    <row r="92" spans="1:17" ht="15.75" thickTop="1">
      <c r="A92" s="533"/>
      <c r="B92" s="537" t="str">
        <f>B28</f>
        <v>楼层</v>
      </c>
      <c r="C92" s="553" t="s">
        <v>3340</v>
      </c>
      <c r="D92" s="553" t="s">
        <v>3341</v>
      </c>
      <c r="E92" s="553" t="s">
        <v>3342</v>
      </c>
      <c r="F92" s="553" t="s">
        <v>3343</v>
      </c>
      <c r="G92" s="553" t="s">
        <v>3379</v>
      </c>
      <c r="H92" s="553"/>
      <c r="I92" s="553"/>
      <c r="J92" s="553"/>
      <c r="K92" s="553"/>
      <c r="L92" s="579"/>
      <c r="M92" s="580"/>
      <c r="N92" s="1151"/>
      <c r="O92" s="1151"/>
      <c r="P92" s="2630"/>
      <c r="Q92" s="503"/>
    </row>
    <row r="93" spans="1:17" ht="15.75" thickBot="1">
      <c r="A93" s="533"/>
      <c r="B93" s="542"/>
      <c r="C93" s="535">
        <v>100</v>
      </c>
      <c r="D93" s="535"/>
      <c r="E93" s="535"/>
      <c r="F93" s="535">
        <v>70</v>
      </c>
      <c r="G93" s="535">
        <v>80</v>
      </c>
      <c r="H93" s="535"/>
      <c r="I93" s="535"/>
      <c r="J93" s="535"/>
      <c r="K93" s="535"/>
      <c r="L93" s="535"/>
      <c r="M93" s="536"/>
      <c r="N93" s="1152"/>
      <c r="O93" s="1152"/>
      <c r="P93" s="2630"/>
      <c r="Q93" s="503"/>
    </row>
    <row r="94" spans="1:17" ht="15.75" thickTop="1">
      <c r="A94" s="533"/>
      <c r="B94" s="537">
        <f>B29</f>
        <v>111</v>
      </c>
      <c r="C94" s="553"/>
      <c r="D94" s="553"/>
      <c r="E94" s="553"/>
      <c r="F94" s="553"/>
      <c r="G94" s="582"/>
      <c r="H94" s="582"/>
      <c r="I94" s="582"/>
      <c r="J94" s="582"/>
      <c r="K94" s="583"/>
      <c r="L94" s="584"/>
      <c r="M94" s="585"/>
      <c r="N94" s="1151"/>
      <c r="O94" s="1151"/>
      <c r="P94" s="2630"/>
      <c r="Q94" s="503"/>
    </row>
    <row r="95" spans="1:17" ht="15.75" thickBot="1">
      <c r="A95" s="533"/>
      <c r="B95" s="542"/>
      <c r="C95" s="559"/>
      <c r="D95" s="535"/>
      <c r="E95" s="535"/>
      <c r="F95" s="535"/>
      <c r="G95" s="535"/>
      <c r="H95" s="535"/>
      <c r="I95" s="535"/>
      <c r="J95" s="535"/>
      <c r="K95" s="535"/>
      <c r="L95" s="535"/>
      <c r="M95" s="536"/>
      <c r="N95" s="1152"/>
      <c r="O95" s="1152"/>
      <c r="P95" s="2630"/>
      <c r="Q95" s="503"/>
    </row>
    <row r="96" spans="1:17" ht="15.75" thickTop="1">
      <c r="A96" s="533"/>
      <c r="B96" s="537">
        <f>B30</f>
        <v>111</v>
      </c>
      <c r="C96" s="553"/>
      <c r="D96" s="553"/>
      <c r="E96" s="553"/>
      <c r="F96" s="553"/>
      <c r="G96" s="582"/>
      <c r="H96" s="582"/>
      <c r="I96" s="582"/>
      <c r="J96" s="582"/>
      <c r="K96" s="583"/>
      <c r="L96" s="584"/>
      <c r="M96" s="585"/>
      <c r="N96" s="1151"/>
      <c r="O96" s="1151"/>
      <c r="P96" s="2630"/>
      <c r="Q96" s="503"/>
    </row>
    <row r="97" spans="1:17" ht="15.75" thickBot="1">
      <c r="A97" s="533"/>
      <c r="B97" s="542"/>
      <c r="C97" s="559"/>
      <c r="D97" s="535"/>
      <c r="E97" s="535"/>
      <c r="F97" s="535"/>
      <c r="G97" s="535"/>
      <c r="H97" s="535"/>
      <c r="I97" s="535"/>
      <c r="J97" s="535"/>
      <c r="K97" s="535"/>
      <c r="L97" s="535"/>
      <c r="M97" s="536"/>
      <c r="N97" s="1152"/>
      <c r="O97" s="1152"/>
      <c r="P97" s="2630"/>
      <c r="Q97" s="503"/>
    </row>
    <row r="98" spans="1:17" ht="15.75" thickTop="1">
      <c r="A98" s="533"/>
      <c r="B98" s="545">
        <f>B31</f>
        <v>111</v>
      </c>
      <c r="C98" s="553"/>
      <c r="D98" s="553"/>
      <c r="E98" s="553"/>
      <c r="F98" s="553"/>
      <c r="G98" s="586"/>
      <c r="H98" s="586"/>
      <c r="I98" s="586"/>
      <c r="J98" s="586"/>
      <c r="K98" s="587"/>
      <c r="L98" s="588"/>
      <c r="M98" s="589"/>
      <c r="N98" s="1151"/>
      <c r="O98" s="1151"/>
      <c r="P98" s="2630"/>
      <c r="Q98" s="503"/>
    </row>
    <row r="99" spans="1:17" ht="15.75" thickBot="1">
      <c r="A99" s="2636"/>
      <c r="B99" s="568"/>
      <c r="C99" s="569"/>
      <c r="D99" s="569"/>
      <c r="E99" s="569"/>
      <c r="F99" s="569"/>
      <c r="G99" s="590"/>
      <c r="H99" s="590"/>
      <c r="I99" s="590"/>
      <c r="J99" s="590"/>
      <c r="K99" s="590"/>
      <c r="L99" s="590"/>
      <c r="M99" s="591"/>
      <c r="N99" s="1152"/>
      <c r="O99" s="1152"/>
      <c r="P99" s="2630"/>
      <c r="Q99" s="503"/>
    </row>
    <row r="100" spans="1:17">
      <c r="A100" s="526" t="s">
        <v>2567</v>
      </c>
      <c r="B100" s="527" t="s">
        <v>2685</v>
      </c>
      <c r="C100" s="2996" t="s">
        <v>3357</v>
      </c>
      <c r="D100" s="2996" t="s">
        <v>3358</v>
      </c>
      <c r="E100" s="2996" t="s">
        <v>3359</v>
      </c>
      <c r="F100" s="2996" t="s">
        <v>3360</v>
      </c>
      <c r="G100" s="2996" t="s">
        <v>3361</v>
      </c>
      <c r="H100" s="2996"/>
      <c r="I100" s="529"/>
      <c r="J100" s="529"/>
      <c r="K100" s="530"/>
      <c r="L100" s="531"/>
      <c r="M100" s="532"/>
      <c r="N100" s="1151"/>
      <c r="O100" s="1151"/>
      <c r="P100" s="2630"/>
      <c r="Q100" s="503"/>
    </row>
    <row r="101" spans="1:17" ht="15.75" thickBot="1">
      <c r="A101" s="533"/>
      <c r="B101" s="542"/>
      <c r="C101" s="543">
        <v>100</v>
      </c>
      <c r="D101" s="543">
        <f t="shared" ref="D101:M101" si="22">C101-$K32</f>
        <v>98</v>
      </c>
      <c r="E101" s="543">
        <f t="shared" si="22"/>
        <v>96</v>
      </c>
      <c r="F101" s="543">
        <f t="shared" si="22"/>
        <v>94</v>
      </c>
      <c r="G101" s="543">
        <f t="shared" si="22"/>
        <v>92</v>
      </c>
      <c r="H101" s="543">
        <f t="shared" si="22"/>
        <v>90</v>
      </c>
      <c r="I101" s="543">
        <f t="shared" si="22"/>
        <v>88</v>
      </c>
      <c r="J101" s="543">
        <f t="shared" si="22"/>
        <v>86</v>
      </c>
      <c r="K101" s="543">
        <f t="shared" si="22"/>
        <v>84</v>
      </c>
      <c r="L101" s="543">
        <f t="shared" si="22"/>
        <v>82</v>
      </c>
      <c r="M101" s="544">
        <f t="shared" si="22"/>
        <v>80</v>
      </c>
      <c r="N101" s="1152"/>
      <c r="O101" s="1152"/>
      <c r="P101" s="2630"/>
      <c r="Q101" s="503"/>
    </row>
    <row r="102" spans="1:17" ht="29.25" thickTop="1">
      <c r="A102" s="533"/>
      <c r="B102" s="537" t="s">
        <v>2617</v>
      </c>
      <c r="C102" s="577" t="str">
        <f>C103&amp;"(含)"&amp;"-"&amp;D103</f>
        <v>0(含)-100</v>
      </c>
      <c r="D102" s="577" t="str">
        <f t="shared" ref="D102:L102" si="23">D103&amp;"(含)"&amp;"-"&amp;E103</f>
        <v>100(含)-200</v>
      </c>
      <c r="E102" s="577" t="str">
        <f t="shared" si="23"/>
        <v>200(含)-500</v>
      </c>
      <c r="F102" s="577" t="str">
        <f t="shared" si="23"/>
        <v>500(含)-1000</v>
      </c>
      <c r="G102" s="577" t="str">
        <f t="shared" si="23"/>
        <v>1000(含)-5000</v>
      </c>
      <c r="H102" s="577" t="str">
        <f t="shared" si="23"/>
        <v>5000(含)-10000</v>
      </c>
      <c r="I102" s="577" t="str">
        <f t="shared" si="23"/>
        <v>10000(含)-20000</v>
      </c>
      <c r="J102" s="577" t="str">
        <f t="shared" si="23"/>
        <v>20000(含)-</v>
      </c>
      <c r="K102" s="577" t="str">
        <f t="shared" si="23"/>
        <v>(含)-</v>
      </c>
      <c r="L102" s="577" t="str">
        <f t="shared" si="23"/>
        <v>(含)-</v>
      </c>
      <c r="M102" s="621" t="str">
        <f>M103&amp;"(含)"&amp;"-"&amp;P103</f>
        <v>(含)-</v>
      </c>
      <c r="N102" s="1150"/>
      <c r="O102" s="1150"/>
      <c r="P102" s="2630"/>
      <c r="Q102" s="503"/>
    </row>
    <row r="103" spans="1:17" s="470" customFormat="1">
      <c r="A103" s="592"/>
      <c r="B103" s="593"/>
      <c r="C103" s="594">
        <v>0</v>
      </c>
      <c r="D103" s="594">
        <v>100</v>
      </c>
      <c r="E103" s="594">
        <v>200</v>
      </c>
      <c r="F103" s="594">
        <v>500</v>
      </c>
      <c r="G103" s="594">
        <v>1000</v>
      </c>
      <c r="H103" s="594">
        <v>5000</v>
      </c>
      <c r="I103" s="594">
        <v>10000</v>
      </c>
      <c r="J103" s="595">
        <v>20000</v>
      </c>
      <c r="K103" s="595"/>
      <c r="L103" s="596"/>
      <c r="M103" s="597"/>
      <c r="N103" s="1153"/>
      <c r="O103" s="1153"/>
      <c r="P103" s="2631"/>
      <c r="Q103" s="558"/>
    </row>
    <row r="104" spans="1:17" s="470" customFormat="1" ht="15.75" thickBot="1">
      <c r="A104" s="552"/>
      <c r="B104" s="542"/>
      <c r="C104" s="559">
        <v>100</v>
      </c>
      <c r="D104" s="535">
        <v>98</v>
      </c>
      <c r="E104" s="535">
        <v>96</v>
      </c>
      <c r="F104" s="535">
        <v>94</v>
      </c>
      <c r="G104" s="535">
        <v>92</v>
      </c>
      <c r="H104" s="535">
        <v>90</v>
      </c>
      <c r="I104" s="535">
        <v>88</v>
      </c>
      <c r="J104" s="535">
        <v>86</v>
      </c>
      <c r="K104" s="535"/>
      <c r="L104" s="535"/>
      <c r="M104" s="536"/>
      <c r="N104" s="1152"/>
      <c r="O104" s="1152"/>
      <c r="P104" s="2631"/>
      <c r="Q104" s="558"/>
    </row>
    <row r="105" spans="1:17" ht="15" thickTop="1">
      <c r="A105" s="598"/>
      <c r="B105" s="537" t="s">
        <v>2618</v>
      </c>
      <c r="C105" s="2988" t="s">
        <v>3344</v>
      </c>
      <c r="D105" s="553"/>
      <c r="E105" s="582"/>
      <c r="F105" s="582"/>
      <c r="G105" s="582"/>
      <c r="H105" s="582"/>
      <c r="I105" s="582"/>
      <c r="J105" s="582"/>
      <c r="K105" s="583"/>
      <c r="L105" s="584"/>
      <c r="M105" s="585"/>
      <c r="N105" s="1151"/>
      <c r="O105" s="1151"/>
      <c r="P105" s="2630"/>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4">
        <f t="shared" si="24"/>
        <v>80</v>
      </c>
      <c r="N106" s="1152"/>
      <c r="O106" s="1152"/>
      <c r="P106" s="2630"/>
      <c r="Q106" s="503"/>
    </row>
    <row r="107" spans="1:17" ht="15" thickTop="1">
      <c r="A107" s="598"/>
      <c r="B107" s="537" t="s">
        <v>2620</v>
      </c>
      <c r="C107" s="2988" t="s">
        <v>3345</v>
      </c>
      <c r="D107" s="2988" t="s">
        <v>3346</v>
      </c>
      <c r="E107" s="2988" t="s">
        <v>3347</v>
      </c>
      <c r="F107" s="2994" t="s">
        <v>3348</v>
      </c>
      <c r="G107" s="582"/>
      <c r="H107" s="582"/>
      <c r="I107" s="582"/>
      <c r="J107" s="582"/>
      <c r="K107" s="583"/>
      <c r="L107" s="584"/>
      <c r="M107" s="585"/>
      <c r="N107" s="1151"/>
      <c r="O107" s="1151"/>
      <c r="P107" s="2630"/>
      <c r="Q107" s="503"/>
    </row>
    <row r="108" spans="1:17" ht="15.75" thickBot="1">
      <c r="A108" s="533"/>
      <c r="B108" s="542"/>
      <c r="C108" s="543">
        <v>100</v>
      </c>
      <c r="D108" s="543">
        <f t="shared" ref="D108:M108" si="25">C108-$K35</f>
        <v>97</v>
      </c>
      <c r="E108" s="543">
        <f t="shared" si="25"/>
        <v>94</v>
      </c>
      <c r="F108" s="543">
        <f t="shared" si="25"/>
        <v>91</v>
      </c>
      <c r="G108" s="543">
        <f t="shared" si="25"/>
        <v>88</v>
      </c>
      <c r="H108" s="543">
        <f t="shared" si="25"/>
        <v>85</v>
      </c>
      <c r="I108" s="543">
        <f t="shared" si="25"/>
        <v>82</v>
      </c>
      <c r="J108" s="543">
        <f t="shared" si="25"/>
        <v>79</v>
      </c>
      <c r="K108" s="543">
        <f t="shared" si="25"/>
        <v>76</v>
      </c>
      <c r="L108" s="543">
        <f t="shared" si="25"/>
        <v>73</v>
      </c>
      <c r="M108" s="544">
        <f t="shared" si="25"/>
        <v>70</v>
      </c>
      <c r="N108" s="1152"/>
      <c r="O108" s="1152"/>
      <c r="P108" s="2630"/>
      <c r="Q108" s="503"/>
    </row>
    <row r="109" spans="1:17" ht="15" thickTop="1">
      <c r="A109" s="598"/>
      <c r="B109" s="537" t="s">
        <v>1998</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30"/>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30"/>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2"/>
      <c r="O111" s="1152"/>
      <c r="P111" s="2630"/>
      <c r="Q111" s="503"/>
    </row>
    <row r="112" spans="1:17" s="470" customFormat="1" ht="15" thickTop="1">
      <c r="A112" s="592"/>
      <c r="B112" s="537" t="s">
        <v>2622</v>
      </c>
      <c r="C112" s="2988" t="s">
        <v>3349</v>
      </c>
      <c r="D112" s="553"/>
      <c r="E112" s="553"/>
      <c r="F112" s="553"/>
      <c r="G112" s="553"/>
      <c r="H112" s="582"/>
      <c r="I112" s="582"/>
      <c r="J112" s="582"/>
      <c r="K112" s="583"/>
      <c r="L112" s="584"/>
      <c r="M112" s="585"/>
      <c r="N112" s="1153"/>
      <c r="O112" s="1153"/>
      <c r="P112" s="2631"/>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3"/>
      <c r="O113" s="1153"/>
      <c r="P113" s="2631"/>
      <c r="Q113" s="558"/>
    </row>
    <row r="114" spans="1:17" ht="15" thickTop="1">
      <c r="A114" s="598"/>
      <c r="B114" s="537" t="s">
        <v>2686</v>
      </c>
      <c r="C114" s="2988" t="s">
        <v>3350</v>
      </c>
      <c r="D114" s="2988" t="s">
        <v>3351</v>
      </c>
      <c r="E114" s="582"/>
      <c r="F114" s="582"/>
      <c r="G114" s="582"/>
      <c r="H114" s="582"/>
      <c r="I114" s="582"/>
      <c r="J114" s="582"/>
      <c r="K114" s="583"/>
      <c r="L114" s="584"/>
      <c r="M114" s="585"/>
      <c r="N114" s="1151"/>
      <c r="O114" s="1151"/>
      <c r="P114" s="2630"/>
      <c r="Q114" s="503"/>
    </row>
    <row r="115" spans="1:17" ht="15.75" thickBot="1">
      <c r="A115" s="533"/>
      <c r="B115" s="542"/>
      <c r="C115" s="543">
        <v>100</v>
      </c>
      <c r="D115" s="543">
        <f t="shared" ref="D115:M115" si="28">C115-$K38</f>
        <v>97</v>
      </c>
      <c r="E115" s="543">
        <f t="shared" si="28"/>
        <v>94</v>
      </c>
      <c r="F115" s="543">
        <f t="shared" si="28"/>
        <v>91</v>
      </c>
      <c r="G115" s="543">
        <f t="shared" si="28"/>
        <v>88</v>
      </c>
      <c r="H115" s="543">
        <f t="shared" si="28"/>
        <v>85</v>
      </c>
      <c r="I115" s="543">
        <f t="shared" si="28"/>
        <v>82</v>
      </c>
      <c r="J115" s="543">
        <f t="shared" si="28"/>
        <v>79</v>
      </c>
      <c r="K115" s="543">
        <f t="shared" si="28"/>
        <v>76</v>
      </c>
      <c r="L115" s="543">
        <f t="shared" si="28"/>
        <v>73</v>
      </c>
      <c r="M115" s="544">
        <f t="shared" si="28"/>
        <v>70</v>
      </c>
      <c r="N115" s="1152"/>
      <c r="O115" s="1152"/>
      <c r="P115" s="2630"/>
      <c r="Q115" s="503"/>
    </row>
    <row r="116" spans="1:17" ht="15" thickTop="1">
      <c r="A116" s="598"/>
      <c r="B116" s="537" t="s">
        <v>2687</v>
      </c>
      <c r="C116" s="2988" t="s">
        <v>3352</v>
      </c>
      <c r="D116" s="2988" t="s">
        <v>3353</v>
      </c>
      <c r="E116" s="2988" t="s">
        <v>3354</v>
      </c>
      <c r="F116" s="553"/>
      <c r="G116" s="553"/>
      <c r="H116" s="582"/>
      <c r="I116" s="582"/>
      <c r="J116" s="582"/>
      <c r="K116" s="583"/>
      <c r="L116" s="584"/>
      <c r="M116" s="585"/>
      <c r="N116" s="1151"/>
      <c r="O116" s="1151"/>
      <c r="P116" s="2630"/>
      <c r="Q116" s="503"/>
    </row>
    <row r="117" spans="1:17" ht="15.75" thickBot="1">
      <c r="A117" s="533"/>
      <c r="B117" s="542"/>
      <c r="C117" s="543">
        <v>100</v>
      </c>
      <c r="D117" s="543">
        <f>C117-$K39</f>
        <v>97</v>
      </c>
      <c r="E117" s="543">
        <f>D117-$K39</f>
        <v>94</v>
      </c>
      <c r="F117" s="543">
        <f>E117-$K39</f>
        <v>91</v>
      </c>
      <c r="G117" s="543">
        <f>F117-$K39</f>
        <v>88</v>
      </c>
      <c r="H117" s="543"/>
      <c r="I117" s="543"/>
      <c r="J117" s="543"/>
      <c r="K117" s="543"/>
      <c r="L117" s="543"/>
      <c r="M117" s="544"/>
      <c r="N117" s="1152"/>
      <c r="O117" s="1152"/>
      <c r="P117" s="2630"/>
      <c r="Q117" s="503"/>
    </row>
    <row r="118" spans="1:17" ht="15" thickTop="1">
      <c r="A118" s="598"/>
      <c r="B118" s="537" t="s">
        <v>2688</v>
      </c>
      <c r="C118" s="626"/>
      <c r="D118" s="626"/>
      <c r="E118" s="626"/>
      <c r="F118" s="626"/>
      <c r="G118" s="626"/>
      <c r="H118" s="554"/>
      <c r="I118" s="554"/>
      <c r="J118" s="554"/>
      <c r="K118" s="554"/>
      <c r="L118" s="555"/>
      <c r="M118" s="556"/>
      <c r="N118" s="1151"/>
      <c r="O118" s="1151"/>
      <c r="P118" s="2630"/>
      <c r="Q118" s="503"/>
    </row>
    <row r="119" spans="1:17" ht="15.75" thickBot="1">
      <c r="A119" s="533"/>
      <c r="B119" s="542"/>
      <c r="C119" s="559"/>
      <c r="D119" s="535"/>
      <c r="E119" s="535"/>
      <c r="F119" s="535"/>
      <c r="G119" s="535"/>
      <c r="H119" s="535"/>
      <c r="I119" s="535"/>
      <c r="J119" s="535"/>
      <c r="K119" s="535"/>
      <c r="L119" s="535"/>
      <c r="M119" s="536"/>
      <c r="N119" s="1152"/>
      <c r="O119" s="1152"/>
      <c r="P119" s="2630"/>
      <c r="Q119" s="503"/>
    </row>
    <row r="120" spans="1:17" s="470" customFormat="1" ht="15" thickTop="1">
      <c r="A120" s="592"/>
      <c r="B120" s="537" t="s">
        <v>2689</v>
      </c>
      <c r="C120" s="582"/>
      <c r="D120" s="582"/>
      <c r="E120" s="582"/>
      <c r="F120" s="582"/>
      <c r="G120" s="554"/>
      <c r="H120" s="554"/>
      <c r="I120" s="554"/>
      <c r="J120" s="554"/>
      <c r="K120" s="554"/>
      <c r="L120" s="555"/>
      <c r="M120" s="556"/>
      <c r="N120" s="1153"/>
      <c r="O120" s="1153"/>
      <c r="P120" s="2631"/>
      <c r="Q120" s="558"/>
    </row>
    <row r="121" spans="1:17" s="470" customFormat="1" ht="15.75" thickBot="1">
      <c r="A121" s="552"/>
      <c r="B121" s="534"/>
      <c r="C121" s="581">
        <v>100</v>
      </c>
      <c r="D121" s="543">
        <f>C121-$K41</f>
        <v>97</v>
      </c>
      <c r="E121" s="543">
        <f t="shared" ref="E121:M121" si="29">D121-$K41</f>
        <v>94</v>
      </c>
      <c r="F121" s="543">
        <f t="shared" si="29"/>
        <v>91</v>
      </c>
      <c r="G121" s="543">
        <f t="shared" si="29"/>
        <v>88</v>
      </c>
      <c r="H121" s="543">
        <f t="shared" si="29"/>
        <v>85</v>
      </c>
      <c r="I121" s="543">
        <f t="shared" si="29"/>
        <v>82</v>
      </c>
      <c r="J121" s="543">
        <f t="shared" si="29"/>
        <v>79</v>
      </c>
      <c r="K121" s="543">
        <f t="shared" si="29"/>
        <v>76</v>
      </c>
      <c r="L121" s="543">
        <f t="shared" si="29"/>
        <v>73</v>
      </c>
      <c r="M121" s="544">
        <f t="shared" si="29"/>
        <v>70</v>
      </c>
      <c r="N121" s="1153"/>
      <c r="O121" s="1153"/>
      <c r="P121" s="2631"/>
      <c r="Q121" s="558"/>
    </row>
    <row r="122" spans="1:17" ht="15" thickTop="1">
      <c r="A122" s="598"/>
      <c r="B122" s="537" t="s">
        <v>2624</v>
      </c>
      <c r="C122" s="2988" t="s">
        <v>3345</v>
      </c>
      <c r="D122" s="2988" t="s">
        <v>3346</v>
      </c>
      <c r="E122" s="2988" t="s">
        <v>3347</v>
      </c>
      <c r="F122" s="2994" t="s">
        <v>3348</v>
      </c>
      <c r="G122" s="582"/>
      <c r="H122" s="582"/>
      <c r="I122" s="582"/>
      <c r="J122" s="582"/>
      <c r="K122" s="583"/>
      <c r="L122" s="584"/>
      <c r="M122" s="585"/>
      <c r="N122" s="1151"/>
      <c r="O122" s="1151"/>
      <c r="P122" s="2630"/>
      <c r="Q122" s="503"/>
    </row>
    <row r="123" spans="1:17" ht="15.75" thickBot="1">
      <c r="A123" s="533"/>
      <c r="B123" s="542"/>
      <c r="C123" s="543">
        <v>100</v>
      </c>
      <c r="D123" s="543">
        <f t="shared" ref="D123:M123" si="30">C123-$K42</f>
        <v>99</v>
      </c>
      <c r="E123" s="543">
        <f t="shared" si="30"/>
        <v>98</v>
      </c>
      <c r="F123" s="543">
        <f t="shared" si="30"/>
        <v>97</v>
      </c>
      <c r="G123" s="543">
        <f t="shared" si="30"/>
        <v>96</v>
      </c>
      <c r="H123" s="543">
        <f t="shared" si="30"/>
        <v>95</v>
      </c>
      <c r="I123" s="543">
        <f t="shared" si="30"/>
        <v>94</v>
      </c>
      <c r="J123" s="543">
        <f t="shared" si="30"/>
        <v>93</v>
      </c>
      <c r="K123" s="543">
        <f t="shared" si="30"/>
        <v>92</v>
      </c>
      <c r="L123" s="543">
        <f t="shared" si="30"/>
        <v>91</v>
      </c>
      <c r="M123" s="544">
        <f t="shared" si="30"/>
        <v>90</v>
      </c>
      <c r="N123" s="1152"/>
      <c r="O123" s="1152"/>
      <c r="P123" s="2630"/>
      <c r="Q123" s="503"/>
    </row>
    <row r="124" spans="1:17" ht="15" thickTop="1">
      <c r="A124" s="598"/>
      <c r="B124" s="537" t="s">
        <v>2625</v>
      </c>
      <c r="C124" s="577" t="s">
        <v>2601</v>
      </c>
      <c r="D124" s="577" t="s">
        <v>2602</v>
      </c>
      <c r="E124" s="577" t="s">
        <v>2603</v>
      </c>
      <c r="F124" s="577" t="s">
        <v>2604</v>
      </c>
      <c r="G124" s="577" t="s">
        <v>2605</v>
      </c>
      <c r="H124" s="538"/>
      <c r="I124" s="538"/>
      <c r="J124" s="538"/>
      <c r="K124" s="539"/>
      <c r="L124" s="540"/>
      <c r="M124" s="541"/>
      <c r="N124" s="1151"/>
      <c r="O124" s="1151"/>
      <c r="P124" s="2631"/>
      <c r="Q124" s="503"/>
    </row>
    <row r="125" spans="1:17" ht="15.75" thickBot="1">
      <c r="A125" s="533"/>
      <c r="B125" s="542"/>
      <c r="C125" s="543">
        <v>100</v>
      </c>
      <c r="D125" s="543">
        <f>C125-$K43</f>
        <v>97</v>
      </c>
      <c r="E125" s="543">
        <f>D125-$K43</f>
        <v>94</v>
      </c>
      <c r="F125" s="543">
        <f>E125-$K43</f>
        <v>91</v>
      </c>
      <c r="G125" s="543">
        <f>F125-$K43</f>
        <v>88</v>
      </c>
      <c r="H125" s="543"/>
      <c r="I125" s="543"/>
      <c r="J125" s="543"/>
      <c r="K125" s="543"/>
      <c r="L125" s="543"/>
      <c r="M125" s="544"/>
      <c r="N125" s="1152"/>
      <c r="O125" s="1152"/>
      <c r="P125" s="2630"/>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31"/>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31"/>
      <c r="Q127" s="558"/>
    </row>
    <row r="128" spans="1:17" ht="15" thickTop="1">
      <c r="A128" s="598"/>
      <c r="B128" s="537">
        <f>B45</f>
        <v>111</v>
      </c>
      <c r="C128" s="553"/>
      <c r="D128" s="553"/>
      <c r="E128" s="553"/>
      <c r="F128" s="553"/>
      <c r="G128" s="582"/>
      <c r="H128" s="582"/>
      <c r="I128" s="582"/>
      <c r="J128" s="582"/>
      <c r="K128" s="583"/>
      <c r="L128" s="584"/>
      <c r="M128" s="585"/>
      <c r="N128" s="1151"/>
      <c r="O128" s="1151"/>
      <c r="P128" s="2630"/>
      <c r="Q128" s="503"/>
    </row>
    <row r="129" spans="1:17" ht="15.75" thickBot="1">
      <c r="A129" s="533"/>
      <c r="B129" s="542"/>
      <c r="C129" s="559"/>
      <c r="D129" s="535"/>
      <c r="E129" s="535"/>
      <c r="F129" s="535"/>
      <c r="G129" s="535"/>
      <c r="H129" s="535"/>
      <c r="I129" s="535"/>
      <c r="J129" s="535"/>
      <c r="K129" s="535"/>
      <c r="L129" s="535"/>
      <c r="M129" s="536"/>
      <c r="N129" s="1152"/>
      <c r="O129" s="1152"/>
      <c r="P129" s="2630"/>
      <c r="Q129" s="503"/>
    </row>
    <row r="130" spans="1:17" ht="15" thickTop="1">
      <c r="A130" s="598"/>
      <c r="B130" s="545">
        <f>B46</f>
        <v>111</v>
      </c>
      <c r="C130" s="553"/>
      <c r="D130" s="553"/>
      <c r="E130" s="553"/>
      <c r="F130" s="553"/>
      <c r="G130" s="586"/>
      <c r="H130" s="586"/>
      <c r="I130" s="586"/>
      <c r="J130" s="586"/>
      <c r="K130" s="522"/>
      <c r="L130" s="523"/>
      <c r="M130" s="589"/>
      <c r="N130" s="1151"/>
      <c r="O130" s="1151"/>
      <c r="P130" s="2630"/>
      <c r="Q130" s="503"/>
    </row>
    <row r="131" spans="1:17" ht="15.75" thickBot="1">
      <c r="A131" s="2636"/>
      <c r="B131" s="568"/>
      <c r="C131" s="569"/>
      <c r="D131" s="569"/>
      <c r="E131" s="569"/>
      <c r="F131" s="569"/>
      <c r="G131" s="590"/>
      <c r="H131" s="590"/>
      <c r="I131" s="590"/>
      <c r="J131" s="590"/>
      <c r="K131" s="590"/>
      <c r="L131" s="590"/>
      <c r="M131" s="591"/>
      <c r="N131" s="1152"/>
      <c r="O131" s="1152"/>
      <c r="P131" s="2630"/>
      <c r="Q131" s="503"/>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77" priority="16" stopIfTrue="1" operator="containsText" text="超过">
      <formula>NOT(ISERROR(SEARCH("超过",F52)))</formula>
    </cfRule>
  </conditionalFormatting>
  <conditionalFormatting sqref="H54">
    <cfRule type="containsText" dxfId="76" priority="15" stopIfTrue="1" operator="containsText" text="超过">
      <formula>NOT(ISERROR(SEARCH("超过",H54)))</formula>
    </cfRule>
  </conditionalFormatting>
  <conditionalFormatting sqref="F54">
    <cfRule type="containsText" dxfId="75" priority="14" stopIfTrue="1" operator="containsText" text="超过">
      <formula>NOT(ISERROR(SEARCH("超过",F54)))</formula>
    </cfRule>
  </conditionalFormatting>
  <conditionalFormatting sqref="F53 H53">
    <cfRule type="containsText" dxfId="74" priority="13" stopIfTrue="1" operator="containsText" text="超过">
      <formula>NOT(ISERROR(SEARCH("超过",F53)))</formula>
    </cfRule>
  </conditionalFormatting>
  <conditionalFormatting sqref="E52">
    <cfRule type="expression" dxfId="73" priority="12" stopIfTrue="1">
      <formula>$F$52="超过30%"</formula>
    </cfRule>
  </conditionalFormatting>
  <conditionalFormatting sqref="E53">
    <cfRule type="expression" dxfId="72" priority="11" stopIfTrue="1">
      <formula>$F$53="超过20%"</formula>
    </cfRule>
  </conditionalFormatting>
  <conditionalFormatting sqref="E54">
    <cfRule type="expression" dxfId="71" priority="10" stopIfTrue="1">
      <formula>$F$54="超过30%"</formula>
    </cfRule>
  </conditionalFormatting>
  <conditionalFormatting sqref="G54">
    <cfRule type="expression" dxfId="70" priority="9" stopIfTrue="1">
      <formula>$H$54="超过30%"</formula>
    </cfRule>
  </conditionalFormatting>
  <conditionalFormatting sqref="G52">
    <cfRule type="expression" dxfId="69" priority="8" stopIfTrue="1">
      <formula>$H$52="超过30%"</formula>
    </cfRule>
  </conditionalFormatting>
  <conditionalFormatting sqref="G53">
    <cfRule type="expression" dxfId="68" priority="7" stopIfTrue="1">
      <formula>$H$53="超过20%"</formula>
    </cfRule>
  </conditionalFormatting>
  <conditionalFormatting sqref="J52">
    <cfRule type="containsText" dxfId="67" priority="6" stopIfTrue="1" operator="containsText" text="超过">
      <formula>NOT(ISERROR(SEARCH("超过",J52)))</formula>
    </cfRule>
  </conditionalFormatting>
  <conditionalFormatting sqref="J54">
    <cfRule type="containsText" dxfId="66" priority="5" stopIfTrue="1" operator="containsText" text="超过">
      <formula>NOT(ISERROR(SEARCH("超过",J54)))</formula>
    </cfRule>
  </conditionalFormatting>
  <conditionalFormatting sqref="J53">
    <cfRule type="containsText" dxfId="65" priority="4" stopIfTrue="1" operator="containsText" text="超过">
      <formula>NOT(ISERROR(SEARCH("超过",J53)))</formula>
    </cfRule>
  </conditionalFormatting>
  <conditionalFormatting sqref="I52">
    <cfRule type="expression" dxfId="64" priority="3" stopIfTrue="1">
      <formula>$J$52="超过30%"</formula>
    </cfRule>
  </conditionalFormatting>
  <conditionalFormatting sqref="I53">
    <cfRule type="expression" dxfId="63" priority="2" stopIfTrue="1">
      <formula>$J$53="超过20%"</formula>
    </cfRule>
  </conditionalFormatting>
  <conditionalFormatting sqref="I54">
    <cfRule type="expression" dxfId="62"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3" t="s">
        <v>3009</v>
      </c>
      <c r="C1" s="3309" t="s">
        <v>3010</v>
      </c>
      <c r="D1" s="3310"/>
      <c r="E1" s="3310"/>
      <c r="F1" s="3310"/>
      <c r="G1" s="3310"/>
      <c r="H1" s="3310"/>
      <c r="I1" s="3310"/>
      <c r="J1" s="3310"/>
      <c r="K1" s="3310"/>
      <c r="L1" s="3310"/>
      <c r="M1" s="3310"/>
      <c r="N1" s="3310"/>
      <c r="O1" s="3310"/>
      <c r="P1" s="3310"/>
      <c r="Q1" s="3310"/>
      <c r="R1" s="3310"/>
      <c r="S1" s="3311"/>
      <c r="T1" s="1203" t="s">
        <v>3011</v>
      </c>
    </row>
    <row r="2" spans="1:45" s="706" customFormat="1">
      <c r="A2" s="1204"/>
      <c r="B2" s="702" t="s">
        <v>3012</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3"/>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4"/>
      <c r="B5" s="1768" t="s">
        <v>3013</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4"/>
      <c r="B7" s="1769" t="s">
        <v>3014</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4"/>
      <c r="B9" s="1769" t="s">
        <v>3015</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4"/>
      <c r="B11" s="1768" t="s">
        <v>3016</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4"/>
      <c r="B13" s="1768" t="s">
        <v>3017</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4"/>
      <c r="B15" s="1768" t="s">
        <v>3018</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6" t="s">
        <v>3019</v>
      </c>
      <c r="B17" s="2917" t="s">
        <v>3020</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7"/>
      <c r="B19" s="167"/>
      <c r="C19" s="167"/>
      <c r="D19" s="2918" t="s">
        <v>3021</v>
      </c>
      <c r="E19" s="1791"/>
      <c r="F19" s="1791"/>
      <c r="G19" s="1791"/>
      <c r="H19" s="1279"/>
      <c r="I19" s="167"/>
      <c r="J19" s="167"/>
      <c r="K19" s="167"/>
      <c r="L19" s="167"/>
      <c r="M19" s="167"/>
      <c r="N19" s="167"/>
      <c r="O19" s="167"/>
      <c r="P19" s="167"/>
      <c r="Q19" s="167"/>
      <c r="R19" s="787"/>
      <c r="S19" s="137"/>
    </row>
    <row r="20" spans="1:45" ht="16.5" thickBot="1">
      <c r="A20" s="714" t="s">
        <v>3022</v>
      </c>
      <c r="B20" s="337" t="e">
        <f ca="1">IF(D20="——",S22,S22-F20)</f>
        <v>#REF!</v>
      </c>
      <c r="C20" s="167"/>
      <c r="D20" s="2919" t="s">
        <v>3023</v>
      </c>
      <c r="E20" s="1792"/>
      <c r="F20" s="1203" t="e">
        <f ca="1">SUMIF(INDIRECT("'"&amp;H20&amp;"'"&amp;"!A:A"),"承租人权益价值",INDIRECT("'"&amp;H20&amp;"'"&amp;"!c:c"))</f>
        <v>#REF!</v>
      </c>
      <c r="G20" s="1203" t="s">
        <v>3024</v>
      </c>
      <c r="H20" s="2920"/>
      <c r="I20" s="167"/>
      <c r="J20" s="167"/>
      <c r="K20" s="167"/>
      <c r="L20" s="167"/>
      <c r="M20" s="167"/>
      <c r="N20" s="167"/>
      <c r="O20" s="167"/>
      <c r="P20" s="167"/>
      <c r="Q20" s="167"/>
      <c r="R20" s="787"/>
      <c r="S20" s="137"/>
    </row>
    <row r="21" spans="1:45" ht="15.75">
      <c r="A21" s="714" t="s">
        <v>3025</v>
      </c>
      <c r="B21" s="337">
        <f>R22</f>
        <v>10000</v>
      </c>
      <c r="C21" s="167"/>
      <c r="D21" s="167"/>
      <c r="E21" s="167"/>
      <c r="F21" s="167"/>
      <c r="G21" s="167"/>
      <c r="H21" s="167"/>
      <c r="I21" s="167"/>
      <c r="J21" s="167"/>
      <c r="K21" s="167"/>
      <c r="L21" s="167"/>
      <c r="M21" s="167"/>
      <c r="N21" s="167"/>
      <c r="O21" s="167"/>
      <c r="P21" s="167"/>
      <c r="Q21" s="167"/>
      <c r="R21" s="787"/>
      <c r="S21" s="137"/>
    </row>
    <row r="22" spans="1:45">
      <c r="A22" s="360" t="s">
        <v>3026</v>
      </c>
      <c r="B22" s="24">
        <f>SUM(B24:B10000)</f>
        <v>100</v>
      </c>
      <c r="C22" s="3204" t="s">
        <v>33</v>
      </c>
      <c r="D22" s="3205"/>
      <c r="E22" s="3205"/>
      <c r="F22" s="3205"/>
      <c r="G22" s="3205"/>
      <c r="H22" s="3205"/>
      <c r="I22" s="3205"/>
      <c r="J22" s="3205"/>
      <c r="K22" s="3205"/>
      <c r="L22" s="3205"/>
      <c r="M22" s="3205"/>
      <c r="N22" s="3205"/>
      <c r="O22" s="3205"/>
      <c r="P22" s="3205"/>
      <c r="Q22" s="3308"/>
      <c r="R22" s="715">
        <f>ROUND(S22*10000/B22,0)</f>
        <v>10000</v>
      </c>
      <c r="S22" s="24">
        <f>SUM(S24:S10000)</f>
        <v>100</v>
      </c>
    </row>
    <row r="23" spans="1:45" s="12" customFormat="1" ht="24">
      <c r="A23" s="11" t="s">
        <v>3027</v>
      </c>
      <c r="B23" s="11" t="s">
        <v>3028</v>
      </c>
      <c r="C23" s="11" t="s">
        <v>3029</v>
      </c>
      <c r="D23" s="11" t="str">
        <f>B5</f>
        <v>修正项2</v>
      </c>
      <c r="E23" s="11" t="s">
        <v>3029</v>
      </c>
      <c r="F23" s="11" t="str">
        <f>B7</f>
        <v>修正项3</v>
      </c>
      <c r="G23" s="11" t="s">
        <v>3029</v>
      </c>
      <c r="H23" s="11" t="str">
        <f>B9</f>
        <v>修正项4</v>
      </c>
      <c r="I23" s="11" t="s">
        <v>3029</v>
      </c>
      <c r="J23" s="11" t="str">
        <f>B11</f>
        <v>修正项5</v>
      </c>
      <c r="K23" s="11" t="s">
        <v>3029</v>
      </c>
      <c r="L23" s="11" t="str">
        <f>B13</f>
        <v>修正项6</v>
      </c>
      <c r="M23" s="11" t="s">
        <v>3029</v>
      </c>
      <c r="N23" s="11" t="str">
        <f>B15</f>
        <v>修正项7</v>
      </c>
      <c r="O23" s="11" t="s">
        <v>3029</v>
      </c>
      <c r="P23" s="11" t="str">
        <f>B17</f>
        <v>楼层</v>
      </c>
      <c r="Q23" s="11" t="s">
        <v>3029</v>
      </c>
      <c r="R23" s="716" t="s">
        <v>3030</v>
      </c>
      <c r="S23" s="11" t="s">
        <v>3031</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3032</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E24" sqref="E24"/>
    </sheetView>
  </sheetViews>
  <sheetFormatPr defaultColWidth="12.625" defaultRowHeight="21.75" customHeight="1"/>
  <cols>
    <col min="1" max="2" width="12.625" style="2422"/>
    <col min="3" max="4" width="12.625" style="2422" customWidth="1"/>
    <col min="5" max="9" width="12.625" style="2422"/>
    <col min="10" max="11" width="12.625" style="794" customWidth="1"/>
    <col min="12" max="12" width="12.625" style="794"/>
    <col min="13" max="13" width="14.125" style="794" bestFit="1" customWidth="1"/>
    <col min="14" max="26" width="12.625" style="794"/>
    <col min="27" max="35" width="12.625" style="2421"/>
    <col min="36" max="16384" width="12.625" style="2422"/>
  </cols>
  <sheetData>
    <row r="1" spans="1:12" ht="21.75" customHeight="1" thickBot="1">
      <c r="A1" s="2223" t="s">
        <v>2121</v>
      </c>
      <c r="B1" s="2416"/>
      <c r="C1" s="2417" t="s">
        <v>3376</v>
      </c>
      <c r="D1" s="2416"/>
      <c r="E1" s="2416"/>
      <c r="F1" s="2418" t="s">
        <v>2122</v>
      </c>
      <c r="G1" s="2068" t="s">
        <v>3060</v>
      </c>
      <c r="H1" s="2419" t="str">
        <f>IF(G1="现房","——","估价对象范围")</f>
        <v>——</v>
      </c>
      <c r="I1" s="2420"/>
    </row>
    <row r="2" spans="1:12" ht="21.75" customHeight="1" thickBot="1">
      <c r="A2" s="3149" t="str">
        <f>项目基本情况!S2</f>
        <v>北京市房地产</v>
      </c>
      <c r="B2" s="3150"/>
      <c r="C2" s="3150"/>
      <c r="D2" s="3150"/>
      <c r="E2" s="3150"/>
      <c r="F2" s="3150"/>
      <c r="G2" s="3150"/>
      <c r="H2" s="3150"/>
      <c r="I2" s="3151"/>
    </row>
    <row r="3" spans="1:12" ht="12.75">
      <c r="A3" s="3153" t="s">
        <v>2123</v>
      </c>
      <c r="B3" s="3154"/>
      <c r="C3" s="3154"/>
      <c r="D3" s="3154"/>
      <c r="E3" s="3154"/>
      <c r="F3" s="3154"/>
      <c r="G3" s="3154"/>
      <c r="H3" s="3154"/>
      <c r="I3" s="3154"/>
    </row>
    <row r="4" spans="1:12" ht="14.25">
      <c r="A4" s="2423" t="s">
        <v>2124</v>
      </c>
      <c r="B4" s="2424" t="s">
        <v>2125</v>
      </c>
      <c r="C4" s="2425" t="s">
        <v>3426</v>
      </c>
      <c r="D4" s="2425" t="s">
        <v>3281</v>
      </c>
      <c r="E4" s="3146" t="s">
        <v>2126</v>
      </c>
      <c r="F4" s="3147"/>
      <c r="G4" s="3147"/>
      <c r="H4" s="3147"/>
      <c r="I4" s="3155"/>
      <c r="K4" s="2426" t="str">
        <f>IF(ISNUMBER(FIND("比较法",结果表仓储!C4)),"比较法",IF(ISNUMBER(FIND("成本法",结果表仓储!C4)),"成本法",IF(ISNUMBER(FIND("假设开发法",结果表仓储!C4)),"假设开发法",IF(ISNUMBER(FIND("收益法",结果表仓储!C4)),"收益法","基准地价系数修正法"))))</f>
        <v>成本法</v>
      </c>
      <c r="L4" s="2426"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129" t="s">
        <v>2127</v>
      </c>
      <c r="B5" s="3052">
        <v>25</v>
      </c>
      <c r="C5" s="3132"/>
      <c r="D5" s="3152"/>
      <c r="E5" s="139" t="s">
        <v>2128</v>
      </c>
      <c r="F5" s="2427"/>
      <c r="G5" s="2427"/>
      <c r="H5" s="2427"/>
      <c r="I5" s="1830"/>
    </row>
    <row r="6" spans="1:12" ht="12.75">
      <c r="A6" s="3129"/>
      <c r="B6" s="3052"/>
      <c r="C6" s="3133"/>
      <c r="D6" s="3152"/>
      <c r="E6" s="139" t="s">
        <v>2129</v>
      </c>
      <c r="F6" s="2427"/>
      <c r="G6" s="2427"/>
      <c r="H6" s="2427"/>
      <c r="I6" s="1830"/>
    </row>
    <row r="7" spans="1:12" ht="12.75">
      <c r="A7" s="3129"/>
      <c r="B7" s="3052"/>
      <c r="C7" s="3134"/>
      <c r="D7" s="3152"/>
      <c r="E7" s="139" t="s">
        <v>2130</v>
      </c>
      <c r="F7" s="2427"/>
      <c r="G7" s="2427"/>
      <c r="H7" s="2427"/>
      <c r="I7" s="1830"/>
    </row>
    <row r="8" spans="1:12" ht="12.75">
      <c r="A8" s="3129" t="s">
        <v>2131</v>
      </c>
      <c r="B8" s="3052">
        <v>15</v>
      </c>
      <c r="C8" s="3132"/>
      <c r="D8" s="3152"/>
      <c r="E8" s="139" t="s">
        <v>2132</v>
      </c>
      <c r="F8" s="2427"/>
      <c r="G8" s="2427"/>
      <c r="H8" s="2427"/>
      <c r="I8" s="1830"/>
    </row>
    <row r="9" spans="1:12" ht="12.75">
      <c r="A9" s="3129"/>
      <c r="B9" s="3052"/>
      <c r="C9" s="3134"/>
      <c r="D9" s="3152"/>
      <c r="E9" s="139" t="s">
        <v>2133</v>
      </c>
      <c r="F9" s="2427"/>
      <c r="G9" s="2427"/>
      <c r="H9" s="2427"/>
      <c r="I9" s="1830"/>
    </row>
    <row r="10" spans="1:12" ht="12.75">
      <c r="A10" s="3129" t="s">
        <v>2134</v>
      </c>
      <c r="B10" s="3052">
        <v>15</v>
      </c>
      <c r="C10" s="3132"/>
      <c r="D10" s="3152"/>
      <c r="E10" s="139" t="s">
        <v>2135</v>
      </c>
      <c r="F10" s="2427"/>
      <c r="G10" s="2427"/>
      <c r="H10" s="2427"/>
      <c r="I10" s="1830"/>
    </row>
    <row r="11" spans="1:12" ht="12.75">
      <c r="A11" s="3129"/>
      <c r="B11" s="3052"/>
      <c r="C11" s="3134"/>
      <c r="D11" s="3152"/>
      <c r="E11" s="139" t="s">
        <v>2136</v>
      </c>
      <c r="F11" s="2427"/>
      <c r="G11" s="2427"/>
      <c r="H11" s="2427"/>
      <c r="I11" s="1830"/>
    </row>
    <row r="12" spans="1:12" ht="12.75">
      <c r="A12" s="3129" t="s">
        <v>2137</v>
      </c>
      <c r="B12" s="3052">
        <v>15</v>
      </c>
      <c r="C12" s="3132"/>
      <c r="D12" s="3152"/>
      <c r="E12" s="139" t="s">
        <v>2138</v>
      </c>
      <c r="F12" s="2427"/>
      <c r="G12" s="2427"/>
      <c r="H12" s="2427"/>
      <c r="I12" s="1830"/>
    </row>
    <row r="13" spans="1:12" ht="12.75">
      <c r="A13" s="3129"/>
      <c r="B13" s="3052"/>
      <c r="C13" s="3134"/>
      <c r="D13" s="3152"/>
      <c r="E13" s="139" t="s">
        <v>2139</v>
      </c>
      <c r="F13" s="2427"/>
      <c r="G13" s="2427"/>
      <c r="H13" s="2427"/>
      <c r="I13" s="1830"/>
    </row>
    <row r="14" spans="1:12" ht="12.75">
      <c r="A14" s="3129" t="s">
        <v>2140</v>
      </c>
      <c r="B14" s="3052">
        <v>30</v>
      </c>
      <c r="C14" s="3132">
        <v>0.45</v>
      </c>
      <c r="D14" s="3152">
        <f>1-C14</f>
        <v>0.55000000000000004</v>
      </c>
      <c r="E14" s="139" t="s">
        <v>2141</v>
      </c>
      <c r="F14" s="2427"/>
      <c r="G14" s="2427"/>
      <c r="H14" s="2427"/>
      <c r="I14" s="1830"/>
    </row>
    <row r="15" spans="1:12" ht="12.75">
      <c r="A15" s="3129"/>
      <c r="B15" s="3052"/>
      <c r="C15" s="3133"/>
      <c r="D15" s="3152"/>
      <c r="E15" s="139" t="s">
        <v>2142</v>
      </c>
      <c r="F15" s="2427"/>
      <c r="G15" s="2427"/>
      <c r="H15" s="2427"/>
      <c r="I15" s="1830"/>
    </row>
    <row r="16" spans="1:12" ht="12.75">
      <c r="A16" s="3129"/>
      <c r="B16" s="3052"/>
      <c r="C16" s="3134"/>
      <c r="D16" s="3152"/>
      <c r="E16" s="139" t="s">
        <v>2143</v>
      </c>
      <c r="F16" s="2427"/>
      <c r="G16" s="2427"/>
      <c r="H16" s="2427"/>
      <c r="I16" s="1830"/>
    </row>
    <row r="17" spans="1:35" ht="15">
      <c r="A17" s="2428" t="s">
        <v>2144</v>
      </c>
      <c r="B17" s="64"/>
      <c r="C17" s="140">
        <f>SUM(C5:C16)</f>
        <v>0.45</v>
      </c>
      <c r="D17" s="140">
        <f>SUM(D5:D16)</f>
        <v>0.55000000000000004</v>
      </c>
      <c r="E17" s="137"/>
      <c r="F17" s="137"/>
      <c r="G17" s="137"/>
      <c r="H17" s="137"/>
      <c r="I17" s="137"/>
      <c r="K17" s="2426"/>
      <c r="L17" s="2429" t="s">
        <v>2145</v>
      </c>
      <c r="M17" s="2429" t="s">
        <v>2146</v>
      </c>
    </row>
    <row r="18" spans="1:35" ht="15.75" thickBot="1">
      <c r="A18" s="2430" t="s">
        <v>2147</v>
      </c>
      <c r="B18" s="2431"/>
      <c r="C18" s="141">
        <f>ROUND(C17/SUM(C17:D17),2)</f>
        <v>0.45</v>
      </c>
      <c r="D18" s="141">
        <f>1-C18</f>
        <v>0.55000000000000004</v>
      </c>
      <c r="E18" s="137"/>
      <c r="F18" s="137"/>
      <c r="G18" s="137"/>
      <c r="H18" s="137"/>
      <c r="I18" s="137"/>
      <c r="K18" s="2426" t="s">
        <v>2148</v>
      </c>
      <c r="L18" s="2426">
        <f>IF(C1="",'数据-汇总表'!E3,SUMIF(项目类型,C1,'数据-汇总表'!E17:E26)+SUMIF(项目类型,C1,'数据-汇总表'!I17:I26))</f>
        <v>0</v>
      </c>
      <c r="M18" s="2426">
        <f>IF(C1="",'数据-汇总表'!E3,SUMIF(项目类型,C1,'数据-汇总表'!E17:E26))</f>
        <v>0</v>
      </c>
    </row>
    <row r="19" spans="1:35" ht="15">
      <c r="A19" s="2432" t="s">
        <v>2149</v>
      </c>
      <c r="B19" s="2433" t="s">
        <v>2150</v>
      </c>
      <c r="C19" s="142" t="e">
        <f ca="1">SUMIF(INDIRECT("'"&amp;C4&amp;"'"&amp;"!A:A"),结果表仓储!B19,INDIRECT("'"&amp;C4&amp;"'"&amp;"!B:B"))</f>
        <v>#N/A</v>
      </c>
      <c r="D19" s="143" t="e">
        <f ca="1">SUMIF(INDIRECT("'"&amp;D4&amp;"'"&amp;"!A:A"),结果表仓储!B19,INDIRECT("'"&amp;D4&amp;"'"&amp;"!B:B"))</f>
        <v>#N/A</v>
      </c>
      <c r="E19" s="2432" t="s">
        <v>2151</v>
      </c>
      <c r="F19" s="2433" t="s">
        <v>2150</v>
      </c>
      <c r="G19" s="144" t="e">
        <f ca="1">ROUND(C19*$C$18+D19*$D$18,0)</f>
        <v>#N/A</v>
      </c>
      <c r="H19" s="2434" t="s">
        <v>2152</v>
      </c>
      <c r="I19" s="137"/>
      <c r="K19" s="2426" t="s">
        <v>2153</v>
      </c>
      <c r="L19" s="2426">
        <f>IF(C1="",'数据-汇总表'!D3,SUMIF(项目类型,C1,'数据-汇总表'!D17:D26)+SUMIF(项目类型,C1,'数据-汇总表'!H17:H27))</f>
        <v>0</v>
      </c>
      <c r="M19" s="2426">
        <f>IF(C1="",'数据-汇总表'!D3,SUMIF(项目类型,C1,'数据-汇总表'!D17:D26))</f>
        <v>0</v>
      </c>
    </row>
    <row r="20" spans="1:35" ht="15">
      <c r="A20" s="2435"/>
      <c r="B20" s="1246" t="s">
        <v>2154</v>
      </c>
      <c r="C20" s="145" t="e">
        <f ca="1">SUMIF(INDIRECT("'"&amp;C4&amp;"'"&amp;"!A:A"),结果表仓储!B20,INDIRECT("'"&amp;C4&amp;"'"&amp;"!B:B"))</f>
        <v>#N/A</v>
      </c>
      <c r="D20" s="146">
        <f ca="1">SUMIF(INDIRECT("'"&amp;D4&amp;"'"&amp;"!A:A"),结果表仓储!B20,INDIRECT("'"&amp;D4&amp;"'"&amp;"!B:B"))</f>
        <v>0</v>
      </c>
      <c r="E20" s="2435"/>
      <c r="F20" s="1246" t="s">
        <v>2154</v>
      </c>
      <c r="G20" s="147" t="e">
        <f ca="1">ROUND(C20*$C$18+D20*$D$18,0)</f>
        <v>#N/A</v>
      </c>
      <c r="H20" s="979" t="s">
        <v>2155</v>
      </c>
      <c r="I20" s="137"/>
    </row>
    <row r="21" spans="1:35" ht="15" customHeight="1" thickBot="1">
      <c r="A21" s="999"/>
      <c r="B21" s="2436" t="s">
        <v>2156</v>
      </c>
      <c r="C21" s="788" t="e">
        <f ca="1">ROUND(C19*10000/L19,0)</f>
        <v>#N/A</v>
      </c>
      <c r="D21" s="789" t="e">
        <f ca="1">ROUND(D19*10000/L19,0)</f>
        <v>#N/A</v>
      </c>
      <c r="E21" s="999"/>
      <c r="F21" s="2436" t="s">
        <v>2156</v>
      </c>
      <c r="G21" s="148" t="e">
        <f ca="1">ROUND(G19*10000/L19,0)</f>
        <v>#N/A</v>
      </c>
      <c r="H21" s="2437" t="s">
        <v>2155</v>
      </c>
      <c r="I21" s="137"/>
    </row>
    <row r="22" spans="1:35" ht="15" thickBot="1">
      <c r="A22" s="2278" t="s">
        <v>2157</v>
      </c>
      <c r="B22" s="2438"/>
      <c r="C22" s="2439"/>
      <c r="D22" s="790" t="e">
        <f ca="1">IF(C19&lt;D19,D19/C19-1,C19/D19-1)</f>
        <v>#N/A</v>
      </c>
      <c r="E22" s="137"/>
      <c r="F22" s="137"/>
      <c r="G22" s="137"/>
      <c r="H22" s="137"/>
      <c r="I22" s="137"/>
    </row>
    <row r="23" spans="1:35" ht="13.5" thickBot="1">
      <c r="A23" s="2416"/>
      <c r="B23" s="2416"/>
      <c r="C23" s="2416"/>
      <c r="D23" s="2416"/>
      <c r="E23" s="137"/>
      <c r="F23" s="137"/>
      <c r="G23" s="137"/>
      <c r="H23" s="137"/>
      <c r="I23" s="137"/>
    </row>
    <row r="24" spans="1:35" ht="14.25">
      <c r="A24" s="3123" t="s">
        <v>2158</v>
      </c>
      <c r="B24" s="2433" t="s">
        <v>2150</v>
      </c>
      <c r="C24" s="144">
        <f>IF(B30=0,0,D30)</f>
        <v>0</v>
      </c>
      <c r="D24" s="2440"/>
      <c r="E24" s="137"/>
      <c r="F24" s="137"/>
      <c r="G24" s="137"/>
      <c r="H24" s="137"/>
      <c r="I24" s="137"/>
    </row>
    <row r="25" spans="1:35" ht="14.25">
      <c r="A25" s="3124"/>
      <c r="B25" s="1246" t="s">
        <v>2154</v>
      </c>
      <c r="C25" s="149">
        <f>IF(B30=0,0,C30)</f>
        <v>0</v>
      </c>
      <c r="D25" s="2441"/>
      <c r="E25" s="137"/>
      <c r="F25" s="137"/>
      <c r="G25" s="137"/>
      <c r="H25" s="137"/>
      <c r="I25" s="137"/>
    </row>
    <row r="26" spans="1:35" ht="13.5" customHeight="1">
      <c r="A26" s="2442" t="s">
        <v>2159</v>
      </c>
      <c r="B26" s="150" t="s">
        <v>2160</v>
      </c>
      <c r="C26" s="150" t="s">
        <v>2161</v>
      </c>
      <c r="D26" s="151" t="s">
        <v>2162</v>
      </c>
      <c r="E26" s="137"/>
      <c r="F26" s="137"/>
      <c r="G26" s="137"/>
      <c r="H26" s="137"/>
      <c r="I26" s="137"/>
    </row>
    <row r="27" spans="1:35" ht="14.25">
      <c r="A27" s="2442"/>
      <c r="B27" s="150">
        <v>0</v>
      </c>
      <c r="C27" s="150">
        <v>0</v>
      </c>
      <c r="D27" s="151">
        <f>ROUND(C27*B27/10000,0)</f>
        <v>0</v>
      </c>
      <c r="E27" s="137"/>
      <c r="F27" s="137"/>
      <c r="G27" s="137"/>
      <c r="H27" s="137"/>
      <c r="I27" s="137"/>
    </row>
    <row r="28" spans="1:35" ht="14.25">
      <c r="A28" s="2442"/>
      <c r="B28" s="150"/>
      <c r="C28" s="150"/>
      <c r="D28" s="151"/>
      <c r="E28" s="137"/>
      <c r="F28" s="137"/>
      <c r="G28" s="137"/>
      <c r="H28" s="137"/>
      <c r="I28" s="137"/>
    </row>
    <row r="29" spans="1:35" ht="14.25">
      <c r="A29" s="2442"/>
      <c r="B29" s="150"/>
      <c r="C29" s="150"/>
      <c r="D29" s="151"/>
      <c r="E29" s="137"/>
      <c r="F29" s="137"/>
      <c r="G29" s="137"/>
      <c r="H29" s="137"/>
      <c r="I29" s="137"/>
    </row>
    <row r="30" spans="1:35" ht="14.25">
      <c r="A30" s="150" t="s">
        <v>2163</v>
      </c>
      <c r="B30" s="150"/>
      <c r="C30" s="150"/>
      <c r="D30" s="150"/>
      <c r="E30" s="2925" t="s">
        <v>3040</v>
      </c>
      <c r="F30" s="137"/>
      <c r="G30" s="137"/>
      <c r="H30" s="137"/>
      <c r="I30" s="137"/>
    </row>
    <row r="31" spans="1:35" s="2444" customFormat="1" ht="15" thickBot="1">
      <c r="A31" s="2443"/>
      <c r="B31" s="2443"/>
      <c r="C31" s="2443"/>
      <c r="D31" s="2443"/>
      <c r="E31" s="137"/>
      <c r="F31" s="137"/>
      <c r="G31" s="137"/>
      <c r="H31" s="137"/>
      <c r="I31" s="137"/>
      <c r="J31" s="794"/>
      <c r="K31" s="794"/>
      <c r="L31" s="794"/>
      <c r="M31" s="794"/>
      <c r="N31" s="794"/>
      <c r="O31" s="794"/>
      <c r="P31" s="794"/>
      <c r="Q31" s="794"/>
      <c r="R31" s="794"/>
      <c r="S31" s="794"/>
      <c r="T31" s="794"/>
      <c r="U31" s="794"/>
      <c r="V31" s="794"/>
      <c r="W31" s="794"/>
      <c r="X31" s="794"/>
      <c r="Y31" s="794"/>
      <c r="Z31" s="794"/>
      <c r="AA31" s="2421"/>
      <c r="AB31" s="2421"/>
      <c r="AC31" s="2421"/>
      <c r="AD31" s="2421"/>
      <c r="AE31" s="2421"/>
      <c r="AF31" s="2421"/>
      <c r="AG31" s="2421"/>
      <c r="AH31" s="2421"/>
      <c r="AI31" s="2421"/>
    </row>
    <row r="32" spans="1:35" ht="15.75" thickBot="1">
      <c r="A32" s="2445" t="s">
        <v>2164</v>
      </c>
      <c r="B32" s="2446"/>
      <c r="C32" s="152" t="e">
        <f ca="1">IF(D32="总价",G19-C24,G20-C25)</f>
        <v>#N/A</v>
      </c>
      <c r="D32" s="2447" t="s">
        <v>2165</v>
      </c>
      <c r="E32" s="137"/>
      <c r="F32" s="137"/>
      <c r="G32" s="137"/>
      <c r="H32" s="137"/>
      <c r="I32" s="137"/>
    </row>
    <row r="33" spans="1:15" ht="15">
      <c r="A33" s="956" t="s">
        <v>2166</v>
      </c>
      <c r="B33" s="2448"/>
      <c r="C33" s="2449"/>
      <c r="D33" s="2450"/>
      <c r="E33" s="2451" t="s">
        <v>2167</v>
      </c>
      <c r="F33" s="2943" t="str">
        <f>IF(D32="楼面单价","取值（单价）","取值（总价）")</f>
        <v>取值（总价）</v>
      </c>
      <c r="G33" s="137"/>
      <c r="H33" s="137"/>
      <c r="I33" s="137"/>
    </row>
    <row r="34" spans="1:15" ht="15">
      <c r="A34" s="2453"/>
      <c r="B34" s="2454" t="s">
        <v>2168</v>
      </c>
      <c r="C34" s="156" t="e">
        <f ca="1">IF(C33="自定义",F34,C32-C35)</f>
        <v>#N/A</v>
      </c>
      <c r="D34" s="1054" t="e">
        <f ca="1">IF(C33="自定义",ROUND(C34/C32,3),IF(C33="收益比率",SUMIF(INDIRECT("'"&amp;D33&amp;"'"&amp;"!b:b"),"土地收益比率",INDIRECT("'"&amp;D33&amp;"'"&amp;"!c:c")),SUMIF(INDIRECT("'"&amp;D33&amp;"'"&amp;"!b:b"),"土地成本比率",INDIRECT("'"&amp;D33&amp;"'"&amp;"!c:c"))))</f>
        <v>#REF!</v>
      </c>
      <c r="E34" s="2455" t="s">
        <v>2169</v>
      </c>
      <c r="F34" s="1735"/>
      <c r="G34" s="137"/>
      <c r="H34" s="137"/>
      <c r="I34" s="137"/>
    </row>
    <row r="35" spans="1:15" ht="15.75" thickBot="1">
      <c r="A35" s="2456"/>
      <c r="B35" s="2457" t="s">
        <v>2170</v>
      </c>
      <c r="C35" s="1440" t="e">
        <f ca="1">IF(C33="自定义",F35,ROUND(C32*D35,0))</f>
        <v>#N/A</v>
      </c>
      <c r="D35" s="1441" t="e">
        <f ca="1">IF(C33="自定义",ROUND(C35/C32,3),IF(C33="收益比率",SUMIF(INDIRECT("'"&amp;D33&amp;"'"&amp;"!b:b"),"建筑物收益比率",INDIRECT("'"&amp;D33&amp;"'"&amp;"!c:c")),SUMIF(INDIRECT("'"&amp;D33&amp;"'"&amp;"!b:b"),"建筑物成本比率",INDIRECT("'"&amp;D33&amp;"'"&amp;"!c:c"))))</f>
        <v>#REF!</v>
      </c>
      <c r="E35" s="2458" t="s">
        <v>2171</v>
      </c>
      <c r="F35" s="162"/>
      <c r="G35" s="137"/>
      <c r="H35" s="137"/>
      <c r="I35" s="137"/>
    </row>
    <row r="36" spans="1:15" ht="15.75" thickBot="1">
      <c r="A36" s="3141" t="s">
        <v>2172</v>
      </c>
      <c r="B36" s="2459" t="s">
        <v>2173</v>
      </c>
      <c r="C36" s="153"/>
      <c r="D36" s="2460"/>
      <c r="E36" s="2461"/>
      <c r="F36" s="2462"/>
      <c r="G36" s="137"/>
      <c r="H36" s="137"/>
      <c r="I36" s="137"/>
    </row>
    <row r="37" spans="1:15" ht="15.75" thickBot="1">
      <c r="A37" s="3142"/>
      <c r="B37" s="2264" t="s">
        <v>2174</v>
      </c>
      <c r="C37" s="155"/>
      <c r="D37" s="1391"/>
      <c r="E37" s="1391"/>
      <c r="F37" s="2462"/>
      <c r="G37" s="137"/>
      <c r="H37" s="137"/>
      <c r="I37" s="137"/>
    </row>
    <row r="38" spans="1:15" ht="15.75" thickBot="1">
      <c r="A38" s="3143"/>
      <c r="B38" s="2463" t="s">
        <v>2175</v>
      </c>
      <c r="C38" s="726"/>
      <c r="D38" s="2464" t="s">
        <v>2176</v>
      </c>
      <c r="E38" s="1391"/>
      <c r="F38" s="2462"/>
      <c r="G38" s="137"/>
      <c r="H38" s="137"/>
      <c r="I38" s="137"/>
    </row>
    <row r="39" spans="1:15" ht="15">
      <c r="A39" s="2435" t="s">
        <v>2177</v>
      </c>
      <c r="B39" s="2465" t="s">
        <v>2160</v>
      </c>
      <c r="C39" s="2466" t="s">
        <v>2161</v>
      </c>
      <c r="D39" s="2466" t="s">
        <v>2180</v>
      </c>
      <c r="E39" s="2467" t="s">
        <v>2162</v>
      </c>
      <c r="F39" s="2462"/>
      <c r="G39" s="137"/>
      <c r="H39" s="137"/>
      <c r="I39" s="137"/>
    </row>
    <row r="40" spans="1:15" ht="14.25">
      <c r="A40" s="2468" t="s">
        <v>2182</v>
      </c>
      <c r="B40" s="157"/>
      <c r="C40" s="158"/>
      <c r="D40" s="158"/>
      <c r="E40" s="159"/>
      <c r="F40" s="2462"/>
      <c r="G40" s="137"/>
      <c r="H40" s="137"/>
      <c r="I40" s="137"/>
    </row>
    <row r="41" spans="1:15" ht="14.25">
      <c r="A41" s="2468" t="s">
        <v>2183</v>
      </c>
      <c r="B41" s="157"/>
      <c r="C41" s="158"/>
      <c r="D41" s="158"/>
      <c r="E41" s="159"/>
      <c r="F41" s="2462"/>
      <c r="G41" s="137"/>
      <c r="H41" s="137"/>
      <c r="I41" s="137"/>
    </row>
    <row r="42" spans="1:15" ht="15" thickBot="1">
      <c r="A42" s="2469"/>
      <c r="B42" s="160"/>
      <c r="C42" s="161"/>
      <c r="D42" s="161"/>
      <c r="E42" s="162"/>
      <c r="F42" s="2462"/>
      <c r="G42" s="137"/>
      <c r="H42" s="137"/>
      <c r="I42" s="137"/>
    </row>
    <row r="43" spans="1:15" ht="12.75">
      <c r="A43" s="2163"/>
      <c r="B43" s="2163"/>
      <c r="C43" s="2163"/>
      <c r="D43" s="2163"/>
      <c r="E43" s="2163"/>
      <c r="F43" s="2470"/>
      <c r="G43" s="2470"/>
      <c r="H43" s="2470"/>
      <c r="I43" s="2471"/>
    </row>
    <row r="44" spans="1:15" ht="18.75">
      <c r="A44" s="2472" t="s">
        <v>2184</v>
      </c>
      <c r="B44" s="2473"/>
      <c r="C44" s="2473"/>
      <c r="D44" s="2474"/>
      <c r="E44" s="2474"/>
      <c r="F44" s="2475"/>
      <c r="G44" s="2475"/>
      <c r="H44" s="2475"/>
      <c r="I44" s="2475"/>
      <c r="J44" s="2476" t="s">
        <v>2185</v>
      </c>
      <c r="K44" s="2477"/>
      <c r="L44" s="2477"/>
      <c r="M44" s="2477"/>
      <c r="N44" s="2477"/>
      <c r="O44" s="2477"/>
    </row>
    <row r="45" spans="1:15" ht="14.25" customHeight="1" thickBot="1">
      <c r="A45" s="3120" t="s">
        <v>2186</v>
      </c>
      <c r="B45" s="3121"/>
      <c r="C45" s="3122"/>
      <c r="D45" s="163" t="e">
        <f ca="1">ROUND(H101*F45,0)</f>
        <v>#N/A</v>
      </c>
      <c r="E45" s="164" t="s">
        <v>2187</v>
      </c>
      <c r="F45" s="165">
        <v>1</v>
      </c>
      <c r="G45" s="166" t="s">
        <v>2188</v>
      </c>
      <c r="H45" s="137"/>
      <c r="I45" s="137"/>
      <c r="J45" s="3180" t="s">
        <v>2189</v>
      </c>
      <c r="K45" s="3180"/>
      <c r="L45" s="3180"/>
      <c r="M45" s="3180"/>
      <c r="N45" s="3180"/>
      <c r="O45" s="3180"/>
    </row>
    <row r="46" spans="1:15" ht="14.25" customHeight="1">
      <c r="A46" s="3117" t="s">
        <v>2190</v>
      </c>
      <c r="B46" s="3118"/>
      <c r="C46" s="3118"/>
      <c r="D46" s="3118"/>
      <c r="E46" s="3118"/>
      <c r="F46" s="3118"/>
      <c r="G46" s="3119"/>
      <c r="H46" s="2478"/>
      <c r="I46" s="167"/>
      <c r="J46" s="2957">
        <v>1</v>
      </c>
      <c r="K46" s="3180" t="s">
        <v>2191</v>
      </c>
      <c r="L46" s="3180"/>
      <c r="M46" s="3200"/>
      <c r="N46" s="3200"/>
      <c r="O46" s="3200"/>
    </row>
    <row r="47" spans="1:15" ht="12" customHeight="1">
      <c r="A47" s="168" t="s">
        <v>2192</v>
      </c>
      <c r="B47" s="169"/>
      <c r="C47" s="170"/>
      <c r="D47" s="171" t="s">
        <v>2193</v>
      </c>
      <c r="E47" s="24" t="s">
        <v>2194</v>
      </c>
      <c r="F47" s="172" t="s">
        <v>2195</v>
      </c>
      <c r="G47" s="173" t="s">
        <v>2196</v>
      </c>
      <c r="H47" s="2478"/>
      <c r="I47" s="167"/>
      <c r="J47" s="2957">
        <v>2</v>
      </c>
      <c r="K47" s="3180" t="s">
        <v>2197</v>
      </c>
      <c r="L47" s="3180"/>
      <c r="M47" s="3201">
        <f>'数据-取费表'!B2</f>
        <v>43252</v>
      </c>
      <c r="N47" s="3201"/>
      <c r="O47" s="3201"/>
    </row>
    <row r="48" spans="1:15" ht="25.5">
      <c r="A48" s="3148" t="s">
        <v>2198</v>
      </c>
      <c r="B48" s="3131"/>
      <c r="C48" s="3131"/>
      <c r="D48" s="139">
        <f>IF(H48="情况1",0,IF(H48="情况2",D52,IF(H48="情况3",D53,IF(H48="情况4",D54))))</f>
        <v>0</v>
      </c>
      <c r="E48" s="2948" t="str">
        <f>IF(H48="情况4","(销售额-原购置价)×税（费）率","销售额×税（费）率")</f>
        <v>销售额×税（费）率</v>
      </c>
      <c r="F48" s="174" t="str">
        <f>IF(H48="情况1","免征",'数据-取费表'!B41)</f>
        <v>免征</v>
      </c>
      <c r="G48" s="2479" t="s">
        <v>2199</v>
      </c>
      <c r="H48" s="2480" t="s">
        <v>2200</v>
      </c>
      <c r="I48" s="2478"/>
      <c r="J48" s="2957">
        <v>3</v>
      </c>
      <c r="K48" s="3180" t="s">
        <v>2201</v>
      </c>
      <c r="L48" s="3180"/>
      <c r="M48" s="3202" t="e">
        <f ca="1">H101</f>
        <v>#N/A</v>
      </c>
      <c r="N48" s="3202"/>
      <c r="O48" s="3202"/>
    </row>
    <row r="49" spans="1:35" ht="25.5" customHeight="1">
      <c r="A49" s="175" t="s">
        <v>2202</v>
      </c>
      <c r="B49" s="3116" t="s">
        <v>2203</v>
      </c>
      <c r="C49" s="3116"/>
      <c r="D49" s="176">
        <v>0</v>
      </c>
      <c r="E49" s="23" t="s">
        <v>2204</v>
      </c>
      <c r="F49" s="28" t="s">
        <v>34</v>
      </c>
      <c r="G49" s="3186"/>
      <c r="H49" s="137"/>
      <c r="I49" s="2481"/>
      <c r="J49" s="2957">
        <v>4</v>
      </c>
      <c r="K49" s="3180" t="str">
        <f>IF(项目基本情况!E8="房地产抵押价值","房地产抵押价值","抵押担保权已注销时的房地产抵押价值")</f>
        <v>房地产抵押价值</v>
      </c>
      <c r="L49" s="3180"/>
      <c r="M49" s="3202" t="e">
        <f ca="1">IF(项目基本情况!E8="房地产抵押价值",H107,H109)</f>
        <v>#N/A</v>
      </c>
      <c r="N49" s="3202"/>
      <c r="O49" s="3202"/>
    </row>
    <row r="50" spans="1:35" ht="25.5" customHeight="1">
      <c r="A50" s="177"/>
      <c r="B50" s="3116" t="s">
        <v>2205</v>
      </c>
      <c r="C50" s="3116"/>
      <c r="D50" s="178"/>
      <c r="E50" s="31"/>
      <c r="F50" s="179"/>
      <c r="G50" s="3187"/>
      <c r="H50" s="137"/>
      <c r="I50" s="2481"/>
      <c r="J50" s="3180" t="s">
        <v>2206</v>
      </c>
      <c r="K50" s="3180"/>
      <c r="L50" s="3180"/>
      <c r="M50" s="3180"/>
      <c r="N50" s="3180"/>
      <c r="O50" s="3180"/>
    </row>
    <row r="51" spans="1:35" ht="12" customHeight="1">
      <c r="A51" s="180"/>
      <c r="B51" s="3116" t="s">
        <v>2207</v>
      </c>
      <c r="C51" s="3116"/>
      <c r="D51" s="181"/>
      <c r="E51" s="30"/>
      <c r="F51" s="179"/>
      <c r="G51" s="3188"/>
      <c r="H51" s="137"/>
      <c r="I51" s="2481"/>
      <c r="J51" s="2956" t="s">
        <v>2208</v>
      </c>
      <c r="K51" s="3180" t="s">
        <v>2209</v>
      </c>
      <c r="L51" s="3180"/>
      <c r="M51" s="2956" t="s">
        <v>2210</v>
      </c>
      <c r="N51" s="2956" t="s">
        <v>2211</v>
      </c>
      <c r="O51" s="2956" t="s">
        <v>2212</v>
      </c>
    </row>
    <row r="52" spans="1:35" ht="24" customHeight="1">
      <c r="A52" s="182" t="s">
        <v>2213</v>
      </c>
      <c r="B52" s="3116" t="s">
        <v>2214</v>
      </c>
      <c r="C52" s="3116"/>
      <c r="D52" s="181" t="e">
        <f ca="1">ROUND(D45*'数据-取费表'!B41/(1+'数据-取费表'!C42),0)</f>
        <v>#N/A</v>
      </c>
      <c r="E52" s="11" t="s">
        <v>2215</v>
      </c>
      <c r="F52" s="183">
        <f>'数据-取费表'!B41</f>
        <v>5.5000000000000007E-2</v>
      </c>
      <c r="G52" s="2483"/>
      <c r="H52" s="137"/>
      <c r="I52" s="2481"/>
      <c r="J52" s="2957">
        <v>1</v>
      </c>
      <c r="K52" s="3181" t="s">
        <v>2216</v>
      </c>
      <c r="L52" s="3181"/>
      <c r="M52" s="1750">
        <f>D48</f>
        <v>0</v>
      </c>
      <c r="N52" s="2957" t="str">
        <f>E48</f>
        <v>销售额×税（费）率</v>
      </c>
      <c r="O52" s="1751" t="str">
        <f>F48</f>
        <v>免征</v>
      </c>
    </row>
    <row r="53" spans="1:35" ht="12" customHeight="1">
      <c r="A53" s="182" t="s">
        <v>2217</v>
      </c>
      <c r="B53" s="3139" t="s">
        <v>2218</v>
      </c>
      <c r="C53" s="3140"/>
      <c r="D53" s="181" t="e">
        <f ca="1">ROUND(D45*'数据-取费表'!B41/(1+'数据-取费表'!C42),0)</f>
        <v>#N/A</v>
      </c>
      <c r="E53" s="11" t="s">
        <v>2215</v>
      </c>
      <c r="F53" s="183">
        <f>'数据-取费表'!B41</f>
        <v>5.5000000000000007E-2</v>
      </c>
      <c r="G53" s="2483"/>
      <c r="H53" s="137"/>
      <c r="I53" s="2481"/>
      <c r="J53" s="2957">
        <v>2</v>
      </c>
      <c r="K53" s="3181" t="s">
        <v>2219</v>
      </c>
      <c r="L53" s="3181"/>
      <c r="M53" s="1750" t="e">
        <f t="shared" ref="M53:O54" ca="1" si="0">D55</f>
        <v>#N/A</v>
      </c>
      <c r="N53" s="2957" t="str">
        <f t="shared" si="0"/>
        <v>销售额×税（费）率</v>
      </c>
      <c r="O53" s="1751">
        <f t="shared" si="0"/>
        <v>5.0000000000000001E-4</v>
      </c>
    </row>
    <row r="54" spans="1:35" ht="12" customHeight="1">
      <c r="A54" s="182" t="s">
        <v>2220</v>
      </c>
      <c r="B54" s="3139" t="s">
        <v>2221</v>
      </c>
      <c r="C54" s="3140"/>
      <c r="D54" s="181" t="e">
        <f ca="1">C68</f>
        <v>#N/A</v>
      </c>
      <c r="E54" s="30" t="s">
        <v>2222</v>
      </c>
      <c r="F54" s="183">
        <f>'数据-取费表'!B41</f>
        <v>5.5000000000000007E-2</v>
      </c>
      <c r="G54" s="2483"/>
      <c r="H54" s="2484"/>
      <c r="I54" s="2481"/>
      <c r="J54" s="2957">
        <v>3</v>
      </c>
      <c r="K54" s="3181" t="s">
        <v>2223</v>
      </c>
      <c r="L54" s="3181"/>
      <c r="M54" s="1750" t="e">
        <f t="shared" ca="1" si="0"/>
        <v>#N/A</v>
      </c>
      <c r="N54" s="2957" t="str">
        <f t="shared" si="0"/>
        <v>增值额×税（费）率</v>
      </c>
      <c r="O54" s="1752" t="str">
        <f t="shared" si="0"/>
        <v>——</v>
      </c>
    </row>
    <row r="55" spans="1:35" ht="24" customHeight="1">
      <c r="A55" s="3130" t="s">
        <v>2224</v>
      </c>
      <c r="B55" s="3131"/>
      <c r="C55" s="3131"/>
      <c r="D55" s="184" t="e">
        <f ca="1">IF(H55="个人住宅",0,ROUND(D45*I55,0))</f>
        <v>#N/A</v>
      </c>
      <c r="E55" s="11" t="s">
        <v>2225</v>
      </c>
      <c r="F55" s="183">
        <f>IF(H55="正常",I55,"免征")</f>
        <v>5.0000000000000001E-4</v>
      </c>
      <c r="G55" s="2483"/>
      <c r="H55" s="2480" t="s">
        <v>2226</v>
      </c>
      <c r="I55" s="185">
        <f>'数据-取费表'!B49</f>
        <v>5.0000000000000001E-4</v>
      </c>
      <c r="J55" s="2957" t="str">
        <f>IF(H59="非个人房产","",4)</f>
        <v/>
      </c>
      <c r="K55" s="3181" t="str">
        <f>IF(H59="非个人房产","——","个人所得税")</f>
        <v>——</v>
      </c>
      <c r="L55" s="3181"/>
      <c r="M55" s="1753" t="str">
        <f>D59</f>
        <v>——</v>
      </c>
      <c r="N55" s="2958" t="str">
        <f>E59</f>
        <v>——</v>
      </c>
      <c r="O55" s="1754" t="str">
        <f>F59</f>
        <v>——</v>
      </c>
    </row>
    <row r="56" spans="1:35" ht="24.75">
      <c r="A56" s="3130" t="s">
        <v>2227</v>
      </c>
      <c r="B56" s="3131"/>
      <c r="C56" s="3131"/>
      <c r="D56" s="184" t="e">
        <f ca="1">IF(H56="个人住宅",D57,D58)</f>
        <v>#N/A</v>
      </c>
      <c r="E56" s="11" t="s">
        <v>2228</v>
      </c>
      <c r="F56" s="183" t="str">
        <f>IF(H56="正常",F58,"免征")</f>
        <v>——</v>
      </c>
      <c r="G56" s="2485" t="s">
        <v>2229</v>
      </c>
      <c r="H56" s="2486" t="s">
        <v>2226</v>
      </c>
      <c r="I56" s="2487"/>
      <c r="J56" s="2957" t="str">
        <f>IF(项目基本情况!K6="上海银行",IF(J55="",4,J55+1),"")</f>
        <v/>
      </c>
      <c r="K56" s="3204" t="str">
        <f>IF(项目基本情况!K6="上海银行","其他处置费用","")</f>
        <v/>
      </c>
      <c r="L56" s="3205"/>
      <c r="M56" s="1750" t="str">
        <f>IF(项目基本情况!K6="上海银行",M69,"")</f>
        <v/>
      </c>
      <c r="N56" s="3207" t="str">
        <f>IF(项目基本情况!K6="上海银行","包含处置中涉及的律师、诉讼、拍卖、评估等费用","")</f>
        <v/>
      </c>
      <c r="O56" s="3208"/>
    </row>
    <row r="57" spans="1:35" ht="12.75">
      <c r="A57" s="182" t="s">
        <v>2202</v>
      </c>
      <c r="B57" s="3146" t="s">
        <v>2230</v>
      </c>
      <c r="C57" s="3155"/>
      <c r="D57" s="186">
        <v>0</v>
      </c>
      <c r="E57" s="23" t="s">
        <v>2204</v>
      </c>
      <c r="F57" s="154"/>
      <c r="G57" s="2483"/>
      <c r="H57" s="2487"/>
      <c r="I57" s="2487"/>
      <c r="J57" s="3181">
        <f>IF(AND(J55="",J56=""),4,IF(项目基本情况!K6="上海银行",结果表仓储!J56+1,结果表仓储!J55+1))</f>
        <v>4</v>
      </c>
      <c r="K57" s="3181" t="s">
        <v>2231</v>
      </c>
      <c r="L57" s="2488" t="s">
        <v>2232</v>
      </c>
      <c r="M57" s="1755"/>
      <c r="N57" s="1756">
        <f ca="1">SUMIF(M52:M56,"&lt;9e307")</f>
        <v>0</v>
      </c>
      <c r="O57" s="2489"/>
      <c r="P57" s="1749" t="e">
        <f ca="1">N57/M49</f>
        <v>#N/A</v>
      </c>
    </row>
    <row r="58" spans="1:35" ht="24.75">
      <c r="A58" s="182" t="s">
        <v>2213</v>
      </c>
      <c r="B58" s="3146" t="s">
        <v>2233</v>
      </c>
      <c r="C58" s="3147"/>
      <c r="D58" s="184" t="e">
        <f ca="1">IF(H58="转让取得",C81,C97)</f>
        <v>#N/A</v>
      </c>
      <c r="E58" s="11" t="s">
        <v>2228</v>
      </c>
      <c r="F58" s="24" t="s">
        <v>34</v>
      </c>
      <c r="G58" s="2483"/>
      <c r="H58" s="2486" t="s">
        <v>2234</v>
      </c>
      <c r="I58" s="2487"/>
      <c r="J58" s="3181"/>
      <c r="K58" s="3181"/>
      <c r="L58" s="2488" t="s">
        <v>2235</v>
      </c>
      <c r="M58" s="1757"/>
      <c r="N58" s="2490" t="str">
        <f ca="1">NUMBERSTRING(INT(N57*10000),2)&amp;"元整"</f>
        <v>零元整</v>
      </c>
      <c r="O58" s="2491"/>
    </row>
    <row r="59" spans="1:35" ht="24.75" thickBot="1">
      <c r="A59" s="3184" t="s">
        <v>2236</v>
      </c>
      <c r="B59" s="3185"/>
      <c r="C59" s="3185"/>
      <c r="D59" s="187" t="str">
        <f>IF(H59="非个人房产","——",IF(H59="个人住宅",0,ROUND(D45*I59,0)))</f>
        <v>——</v>
      </c>
      <c r="E59" s="188" t="str">
        <f>IF(H59="非个人房产","——","销售额×税（费）率")</f>
        <v>——</v>
      </c>
      <c r="F59" s="189" t="str">
        <f>IF(H59="非个人房产","——",IF(H59="个人住宅","免征",I59))</f>
        <v>——</v>
      </c>
      <c r="G59" s="2492" t="s">
        <v>2229</v>
      </c>
      <c r="H59" s="2486" t="s">
        <v>2237</v>
      </c>
      <c r="I59" s="190">
        <v>0.01</v>
      </c>
      <c r="J59" s="3182">
        <f>J57+1</f>
        <v>5</v>
      </c>
      <c r="K59" s="3181" t="s">
        <v>2238</v>
      </c>
      <c r="L59" s="2957" t="s">
        <v>2232</v>
      </c>
      <c r="M59" s="1758"/>
      <c r="N59" s="1759" t="e">
        <f ca="1">M49-N57</f>
        <v>#N/A</v>
      </c>
      <c r="O59" s="2493"/>
    </row>
    <row r="60" spans="1:35" ht="12" customHeight="1">
      <c r="A60" s="2494"/>
      <c r="B60" s="2416"/>
      <c r="C60" s="2416"/>
      <c r="D60" s="2416"/>
      <c r="E60" s="2164"/>
      <c r="F60" s="2487"/>
      <c r="G60" s="2487"/>
      <c r="H60" s="2495"/>
      <c r="I60" s="137"/>
      <c r="J60" s="3183"/>
      <c r="K60" s="3181"/>
      <c r="L60" s="2488" t="s">
        <v>2235</v>
      </c>
      <c r="M60" s="1757"/>
      <c r="N60" s="2490" t="e">
        <f ca="1">NUMBERSTRING(INT(N59*10000),2)&amp;"元整"</f>
        <v>#N/A</v>
      </c>
      <c r="O60" s="2491"/>
    </row>
    <row r="61" spans="1:35" ht="13.5" thickBot="1">
      <c r="A61" s="3128" t="s">
        <v>2239</v>
      </c>
      <c r="B61" s="3128"/>
      <c r="C61" s="3128"/>
      <c r="D61" s="3128"/>
      <c r="E61" s="3128"/>
      <c r="F61" s="2487"/>
      <c r="G61" s="2487"/>
      <c r="H61" s="2495"/>
      <c r="I61" s="137"/>
      <c r="J61" s="2957">
        <f>J59+1</f>
        <v>6</v>
      </c>
      <c r="K61" s="3181" t="s">
        <v>2240</v>
      </c>
      <c r="L61" s="3181"/>
      <c r="M61" s="1760"/>
      <c r="N61" s="1761" t="e">
        <f ca="1">ROUND(N59*10000/'数据-汇总表'!E3,0)</f>
        <v>#N/A</v>
      </c>
      <c r="O61" s="2496"/>
    </row>
    <row r="62" spans="1:35" ht="12.75">
      <c r="A62" s="3144" t="s">
        <v>2241</v>
      </c>
      <c r="B62" s="3145"/>
      <c r="C62" s="2951"/>
      <c r="D62" s="2951" t="s">
        <v>2242</v>
      </c>
      <c r="E62" s="191" t="s">
        <v>2243</v>
      </c>
      <c r="F62" s="2487"/>
      <c r="G62" s="2487"/>
      <c r="H62" s="2495"/>
      <c r="I62" s="137"/>
    </row>
    <row r="63" spans="1:35" ht="12.75">
      <c r="A63" s="202" t="s">
        <v>775</v>
      </c>
      <c r="B63" s="192" t="s">
        <v>2244</v>
      </c>
      <c r="C63" s="193" t="e">
        <f ca="1">ROUND((C64+C65)/(1+'数据-取费表'!C42),0)</f>
        <v>#N/A</v>
      </c>
      <c r="D63" s="194"/>
      <c r="E63" s="195"/>
      <c r="F63" s="2487"/>
      <c r="G63" s="2487"/>
      <c r="H63" s="2495"/>
      <c r="I63" s="137"/>
      <c r="J63" s="3206" t="s">
        <v>2245</v>
      </c>
      <c r="K63" s="2961" t="s">
        <v>2246</v>
      </c>
      <c r="L63" s="1748" t="e">
        <f ca="1">IF(M49&gt;10000,M49*0.5%,IF(AND(M49&gt;1000,M49&lt;=10000),M49*1%,IF(AND(M49&gt;100,M49&lt;=1000),M49*3%,IF(AND(M49&gt;10,M49&lt;=100),M49*5%,M49*8%))))</f>
        <v>#N/A</v>
      </c>
      <c r="M63" s="24" t="e">
        <f ca="1">ROUND(L63,1)</f>
        <v>#N/A</v>
      </c>
      <c r="Z63" s="2421"/>
      <c r="AI63" s="2422"/>
    </row>
    <row r="64" spans="1:35" ht="14.25" customHeight="1">
      <c r="A64" s="196" t="s">
        <v>770</v>
      </c>
      <c r="B64" s="197" t="s">
        <v>2247</v>
      </c>
      <c r="C64" s="198" t="e">
        <f ca="1">D45</f>
        <v>#N/A</v>
      </c>
      <c r="D64" s="199" t="s">
        <v>32</v>
      </c>
      <c r="E64" s="200"/>
      <c r="F64" s="2487"/>
      <c r="G64" s="2487"/>
      <c r="H64" s="2495"/>
      <c r="I64" s="137"/>
      <c r="J64" s="3206"/>
      <c r="K64" s="2961" t="s">
        <v>2248</v>
      </c>
      <c r="L64" s="1748" t="e">
        <f ca="1">IF(M49&gt;2000,M49*0.5%,IF(AND(M49&gt;1000,M49&lt;=2000),M49*0.6%,IF(AND(M49&gt;500,M49&lt;=1000),M49*0.7%,IF(AND(M49&gt;200,M49&lt;=500),M49*0.8%,IF(AND(M49&gt;100,M49&lt;=200),M49*0.9%,IF(AND(M49&gt;50,M49&lt;=100),M49*1%,IF(AND(M49&gt;20,M49&lt;=50),M49*1.5%,IF(AND(M49&gt;10,M49&lt;=20),M49*2%,IF(AND(M49&gt;1,M49&lt;=10),M49*2.5%)))))))))</f>
        <v>#N/A</v>
      </c>
      <c r="M64" s="24" t="e">
        <f t="shared" ref="M64:M65" ca="1" si="1">ROUND(L64,1)</f>
        <v>#N/A</v>
      </c>
      <c r="N64" s="137" t="s">
        <v>2249</v>
      </c>
      <c r="Z64" s="2421"/>
      <c r="AI64" s="2422"/>
    </row>
    <row r="65" spans="1:35" ht="14.25" customHeight="1">
      <c r="A65" s="196" t="s">
        <v>771</v>
      </c>
      <c r="B65" s="197" t="s">
        <v>2250</v>
      </c>
      <c r="C65" s="201"/>
      <c r="D65" s="199"/>
      <c r="E65" s="200"/>
      <c r="F65" s="2487"/>
      <c r="G65" s="2487"/>
      <c r="H65" s="2495"/>
      <c r="I65" s="137"/>
      <c r="J65" s="3206"/>
      <c r="K65" s="2961" t="s">
        <v>2251</v>
      </c>
      <c r="L65" s="1748" t="e">
        <f ca="1">IF(M49&gt;1000,M49*0.1%,IF(AND(M49&gt;500,M49&lt;=1000),M49*0.5%,IF(AND(M49&gt;50,M49&lt;=500),M49*1%,IF(AND(M49&gt;1,M49&lt;=50),M49*1.5%))))</f>
        <v>#N/A</v>
      </c>
      <c r="M65" s="24" t="e">
        <f t="shared" ca="1" si="1"/>
        <v>#N/A</v>
      </c>
      <c r="N65" s="137" t="s">
        <v>2249</v>
      </c>
      <c r="Z65" s="2421"/>
      <c r="AI65" s="2422"/>
    </row>
    <row r="66" spans="1:35" ht="14.25" customHeight="1">
      <c r="A66" s="202" t="s">
        <v>772</v>
      </c>
      <c r="B66" s="203" t="s">
        <v>2252</v>
      </c>
      <c r="C66" s="204"/>
      <c r="D66" s="205" t="s">
        <v>32</v>
      </c>
      <c r="E66" s="1772" t="s">
        <v>1371</v>
      </c>
      <c r="F66" s="2487"/>
      <c r="G66" s="2487"/>
      <c r="H66" s="2495"/>
      <c r="I66" s="137"/>
      <c r="J66" s="3206"/>
      <c r="K66" s="2961" t="s">
        <v>2253</v>
      </c>
      <c r="L66" s="1748" t="e">
        <f ca="1">M49*0.5%</f>
        <v>#N/A</v>
      </c>
      <c r="M66" s="24" t="e">
        <f ca="1">IF(L66&gt;0.5,0.5,ROUND(L66,0))</f>
        <v>#N/A</v>
      </c>
      <c r="N66" s="137" t="s">
        <v>2254</v>
      </c>
      <c r="Z66" s="2421"/>
      <c r="AI66" s="2422"/>
    </row>
    <row r="67" spans="1:35" ht="14.25" customHeight="1">
      <c r="A67" s="202" t="s">
        <v>773</v>
      </c>
      <c r="B67" s="203" t="s">
        <v>2255</v>
      </c>
      <c r="C67" s="206" t="e">
        <f ca="1">C63-C66</f>
        <v>#N/A</v>
      </c>
      <c r="D67" s="199" t="s">
        <v>32</v>
      </c>
      <c r="E67" s="200"/>
      <c r="F67" s="2487"/>
      <c r="G67" s="2487"/>
      <c r="H67" s="2495"/>
      <c r="I67" s="137"/>
      <c r="J67" s="3206"/>
      <c r="K67" s="2961" t="s">
        <v>2256</v>
      </c>
      <c r="L67" s="1748" t="e">
        <f ca="1">IF(M49&gt;=10000,(8.25+(M49-10000)*0.01%),IF(AND(M49&gt;=8000,M49&lt;10000),(7.85+(M49-8000)*0.02%),IF(AND(M49&gt;=5000,M49&lt;8000),(6.65+(M49-5000)*0.04%),IF(AND(M49&gt;=2000,M49&lt;5000),(4.25+(PM49-2000)*0.08%),IF(AND(M49&gt;=1000,M49&lt;2000),(2.75+(M49-1000)*0.15%),IF(AND(M49&gt;=100,M49&lt;1000),(0.5+(M49-100)*0.25%),IF(AND(M49&gt;0,M49&lt;100),M49*0.5%)))))))</f>
        <v>#N/A</v>
      </c>
      <c r="M67" s="24" t="e">
        <f ca="1">ROUND(L67*0.9,1)</f>
        <v>#N/A</v>
      </c>
      <c r="Z67" s="2421"/>
      <c r="AI67" s="2422"/>
    </row>
    <row r="68" spans="1:35" ht="14.25" customHeight="1" thickBot="1">
      <c r="A68" s="207" t="s">
        <v>774</v>
      </c>
      <c r="B68" s="208" t="s">
        <v>2257</v>
      </c>
      <c r="C68" s="209" t="e">
        <f ca="1">IF(C67&lt;=0,0,ROUND(C67*D68,0))</f>
        <v>#N/A</v>
      </c>
      <c r="D68" s="210">
        <f>'数据-取费表'!B41</f>
        <v>5.5000000000000007E-2</v>
      </c>
      <c r="E68" s="211"/>
      <c r="F68" s="2487"/>
      <c r="G68" s="2487"/>
      <c r="H68" s="2495"/>
      <c r="I68" s="137"/>
      <c r="J68" s="3206"/>
      <c r="K68" s="2961" t="s">
        <v>2258</v>
      </c>
      <c r="L68" s="1748" t="e">
        <f ca="1">IF(M49&gt;10000,M49*0.5%,IF(AND(M49&gt;5000,M49&lt;=10000),M49*1%,IF(AND(M49&gt;1000,M49&lt;=5000),M49*2%,IF(AND(M49&gt;200,M49&lt;=1000),M49*3%,M49*5%))))</f>
        <v>#N/A</v>
      </c>
      <c r="M68" s="24" t="e">
        <f ca="1">ROUND(L68,1)</f>
        <v>#N/A</v>
      </c>
      <c r="Z68" s="2421"/>
      <c r="AI68" s="2422"/>
    </row>
    <row r="69" spans="1:35" s="2444" customFormat="1" ht="16.5" customHeight="1">
      <c r="A69" s="2498"/>
      <c r="B69" s="2499"/>
      <c r="C69" s="2500"/>
      <c r="D69" s="2501"/>
      <c r="E69" s="2502"/>
      <c r="F69" s="2164"/>
      <c r="G69" s="2164"/>
      <c r="H69" s="2163"/>
      <c r="I69" s="2416"/>
      <c r="J69" s="3206"/>
      <c r="K69" s="2961" t="s">
        <v>2259</v>
      </c>
      <c r="L69" s="2503"/>
      <c r="M69" s="24" t="e">
        <f ca="1">ROUND(SUM(M63:M68),0)</f>
        <v>#N/A</v>
      </c>
      <c r="N69" s="1749" t="e">
        <f ca="1">M69/M49</f>
        <v>#N/A</v>
      </c>
      <c r="O69" s="794"/>
      <c r="P69" s="794"/>
      <c r="Q69" s="794"/>
      <c r="R69" s="794"/>
      <c r="S69" s="794"/>
      <c r="T69" s="794"/>
      <c r="U69" s="794"/>
      <c r="V69" s="794"/>
      <c r="W69" s="794"/>
      <c r="X69" s="794"/>
      <c r="Y69" s="794"/>
      <c r="Z69" s="2421"/>
      <c r="AA69" s="2421"/>
      <c r="AB69" s="2421"/>
      <c r="AC69" s="2421"/>
      <c r="AD69" s="2421"/>
      <c r="AE69" s="2421"/>
      <c r="AF69" s="2421"/>
      <c r="AG69" s="2421"/>
      <c r="AH69" s="2421"/>
    </row>
    <row r="70" spans="1:35" s="2505" customFormat="1" ht="15" thickBot="1">
      <c r="A70" s="3165" t="s">
        <v>2260</v>
      </c>
      <c r="B70" s="3166"/>
      <c r="C70" s="3166"/>
      <c r="D70" s="3166"/>
      <c r="E70" s="3166"/>
      <c r="F70" s="3166"/>
      <c r="G70" s="3166"/>
      <c r="H70" s="3166"/>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44" t="s">
        <v>2241</v>
      </c>
      <c r="B71" s="3145"/>
      <c r="C71" s="2951"/>
      <c r="D71" s="2951" t="s">
        <v>2242</v>
      </c>
      <c r="E71" s="212" t="s">
        <v>2243</v>
      </c>
      <c r="F71" s="213"/>
      <c r="G71" s="213"/>
      <c r="H71" s="214"/>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2" t="s">
        <v>775</v>
      </c>
      <c r="B72" s="203" t="s">
        <v>2261</v>
      </c>
      <c r="C72" s="206" t="e">
        <f ca="1">ROUND(D45/(1+'数据-取费表'!C42),0)</f>
        <v>#N/A</v>
      </c>
      <c r="D72" s="199" t="s">
        <v>32</v>
      </c>
      <c r="E72" s="2950"/>
      <c r="F72" s="2945"/>
      <c r="G72" s="2945"/>
      <c r="H72" s="215"/>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2" t="s">
        <v>772</v>
      </c>
      <c r="B73" s="172" t="s">
        <v>2262</v>
      </c>
      <c r="C73" s="206" t="e">
        <f ca="1">C74+C78</f>
        <v>#N/A</v>
      </c>
      <c r="D73" s="199" t="s">
        <v>32</v>
      </c>
      <c r="E73" s="2950"/>
      <c r="F73" s="2945"/>
      <c r="G73" s="2945"/>
      <c r="H73" s="215"/>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6" t="s">
        <v>770</v>
      </c>
      <c r="B74" s="197" t="s">
        <v>2263</v>
      </c>
      <c r="C74" s="199">
        <f>ROUND(IF(G77="2016年5月1日后购买",C75/(1+'数据-取费表'!C42)+C76+C77,C75+C76+C77),0)</f>
        <v>0</v>
      </c>
      <c r="D74" s="199" t="s">
        <v>32</v>
      </c>
      <c r="E74" s="2950"/>
      <c r="F74" s="2945"/>
      <c r="G74" s="2945"/>
      <c r="H74" s="215"/>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6" t="s">
        <v>776</v>
      </c>
      <c r="B75" s="197" t="s">
        <v>2264</v>
      </c>
      <c r="C75" s="217"/>
      <c r="D75" s="199" t="s">
        <v>32</v>
      </c>
      <c r="E75" s="218" t="s">
        <v>2265</v>
      </c>
      <c r="F75" s="2509" t="s">
        <v>2266</v>
      </c>
      <c r="G75" s="218" t="s">
        <v>2267</v>
      </c>
      <c r="H75" s="219"/>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6" t="s">
        <v>777</v>
      </c>
      <c r="B76" s="220" t="s">
        <v>2268</v>
      </c>
      <c r="C76" s="199">
        <f>IF(F75="购房发票",ROUND(C75*H75*D76,0),0)</f>
        <v>0</v>
      </c>
      <c r="D76" s="221">
        <v>0.05</v>
      </c>
      <c r="E76" s="3139" t="s">
        <v>2269</v>
      </c>
      <c r="F76" s="3116"/>
      <c r="G76" s="3116"/>
      <c r="H76" s="3164"/>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6" t="s">
        <v>778</v>
      </c>
      <c r="B77" s="197" t="s">
        <v>2270</v>
      </c>
      <c r="C77" s="199">
        <f>ROUND(IF(G77="个人住宅",0,IF(G77="2016年5月1日前购买",C75*D77,C75*D77/(1+'数据-取费表'!C42))),0)</f>
        <v>0</v>
      </c>
      <c r="D77" s="222">
        <f>'数据-取费表'!B48+'数据-取费表'!B49</f>
        <v>3.0499999999999999E-2</v>
      </c>
      <c r="E77" s="2962" t="s">
        <v>2271</v>
      </c>
      <c r="F77" s="223"/>
      <c r="G77" s="2511" t="s">
        <v>2272</v>
      </c>
      <c r="H77" s="2953"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6" t="s">
        <v>771</v>
      </c>
      <c r="B78" s="197" t="s">
        <v>2273</v>
      </c>
      <c r="C78" s="224" t="e">
        <f ca="1">ROUND(D45*D78/(1+'数据-取费表'!C42),0)</f>
        <v>#N/A</v>
      </c>
      <c r="D78" s="225">
        <f>'数据-取费表'!B43</f>
        <v>5.000000000000001E-3</v>
      </c>
      <c r="E78" s="3125" t="s">
        <v>2274</v>
      </c>
      <c r="F78" s="3126"/>
      <c r="G78" s="3126"/>
      <c r="H78" s="3135"/>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3" t="s">
        <v>2275</v>
      </c>
      <c r="C79" s="206" t="e">
        <f ca="1">C72-C73</f>
        <v>#N/A</v>
      </c>
      <c r="D79" s="199" t="s">
        <v>32</v>
      </c>
      <c r="E79" s="2950"/>
      <c r="F79" s="2945"/>
      <c r="G79" s="2945"/>
      <c r="H79" s="215"/>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3" t="s">
        <v>2276</v>
      </c>
      <c r="C80" s="226" t="e">
        <f ca="1">IF(C79&lt;=0,0,C79/C73)</f>
        <v>#N/A</v>
      </c>
      <c r="D80" s="199" t="s">
        <v>32</v>
      </c>
      <c r="E80" s="2962" t="e">
        <f ca="1">IF(C80&gt;=200%,"增值额超过扣除项目金额200%",IF(C80&gt;=100%,"增值额超过扣除项目金额100%，未超过200%",IF(C80&gt;=50%,"增值额超过扣除项目金额50%，未超过100%",IF(C80&lt;50%,"增值额未超过扣除项目金额50%"))))</f>
        <v>#N/A</v>
      </c>
      <c r="F80" s="2945"/>
      <c r="G80" s="2945"/>
      <c r="H80" s="215"/>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8" t="s">
        <v>2277</v>
      </c>
      <c r="C81" s="227" t="e">
        <f ca="1">ROUND(IF(C79&lt;=0,0,IF(C80&gt;=200%,C79*60%-C73*35%,IF(C80&gt;=100%,C79*50%-C73*15%,IF(C80&gt;=50%,C79*40%-C73*5%,IF(C80&lt;50%,C79*30%,0))))),0)</f>
        <v>#N/A</v>
      </c>
      <c r="D81" s="228" t="s">
        <v>32</v>
      </c>
      <c r="E81" s="2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0"/>
      <c r="G81" s="230"/>
      <c r="H81" s="231"/>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2"/>
      <c r="B82" s="733"/>
      <c r="C82" s="7"/>
      <c r="D82" s="7"/>
      <c r="E82" s="733"/>
      <c r="F82" s="733"/>
      <c r="G82" s="733"/>
      <c r="H82" s="734"/>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65" t="s">
        <v>2278</v>
      </c>
      <c r="B83" s="3166"/>
      <c r="C83" s="3166"/>
      <c r="D83" s="3166"/>
      <c r="E83" s="3166"/>
      <c r="F83" s="3166"/>
      <c r="G83" s="3166"/>
      <c r="H83" s="3166"/>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44" t="s">
        <v>2241</v>
      </c>
      <c r="B84" s="3145"/>
      <c r="C84" s="2951"/>
      <c r="D84" s="2951" t="s">
        <v>2242</v>
      </c>
      <c r="E84" s="212" t="s">
        <v>2243</v>
      </c>
      <c r="F84" s="213"/>
      <c r="G84" s="213"/>
      <c r="H84" s="232"/>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2" t="s">
        <v>775</v>
      </c>
      <c r="B85" s="203" t="s">
        <v>2261</v>
      </c>
      <c r="C85" s="206" t="e">
        <f ca="1">ROUND(D45/(1+'数据-取费表'!C42),0)</f>
        <v>#N/A</v>
      </c>
      <c r="D85" s="199" t="s">
        <v>32</v>
      </c>
      <c r="E85" s="2950"/>
      <c r="F85" s="2945"/>
      <c r="G85" s="2945"/>
      <c r="H85" s="233"/>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2" t="s">
        <v>772</v>
      </c>
      <c r="B86" s="172" t="s">
        <v>2262</v>
      </c>
      <c r="C86" s="206" t="e">
        <f ca="1">IF(H88="仅含出让金",C87+C90+C91+C92+C93+C94,C87+C91+C92+C93+C94)</f>
        <v>#N/A</v>
      </c>
      <c r="D86" s="234"/>
      <c r="E86" s="2950"/>
      <c r="F86" s="2945"/>
      <c r="G86" s="2945"/>
      <c r="H86" s="233"/>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6" t="s">
        <v>770</v>
      </c>
      <c r="B87" s="197" t="s">
        <v>2279</v>
      </c>
      <c r="C87" s="224">
        <f>C88+C89</f>
        <v>0</v>
      </c>
      <c r="D87" s="225"/>
      <c r="E87" s="2946"/>
      <c r="F87" s="2947"/>
      <c r="G87" s="2947"/>
      <c r="H87" s="2949"/>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6" t="s">
        <v>776</v>
      </c>
      <c r="B88" s="197" t="s">
        <v>2280</v>
      </c>
      <c r="C88" s="235"/>
      <c r="D88" s="225"/>
      <c r="E88" s="236" t="s">
        <v>2281</v>
      </c>
      <c r="F88" s="2947"/>
      <c r="G88" s="237" t="s">
        <v>2282</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6" t="s">
        <v>777</v>
      </c>
      <c r="B89" s="197" t="s">
        <v>2270</v>
      </c>
      <c r="C89" s="224">
        <f>ROUND(C88*D89,0)</f>
        <v>0</v>
      </c>
      <c r="D89" s="225">
        <f>'数据-取费表'!B48+'数据-取费表'!B49</f>
        <v>3.0499999999999999E-2</v>
      </c>
      <c r="E89" s="236" t="s">
        <v>2283</v>
      </c>
      <c r="F89" s="2947"/>
      <c r="G89" s="2947"/>
      <c r="H89" s="2949"/>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6" t="s">
        <v>771</v>
      </c>
      <c r="B90" s="197" t="s">
        <v>2284</v>
      </c>
      <c r="C90" s="235"/>
      <c r="D90" s="225"/>
      <c r="E90" s="236" t="str">
        <f>IF(H88="-","土地取得成本中已包含该笔费用"," ")</f>
        <v xml:space="preserve"> </v>
      </c>
      <c r="F90" s="2947"/>
      <c r="G90" s="2947"/>
      <c r="H90" s="2949"/>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6" t="s">
        <v>2285</v>
      </c>
      <c r="B91" s="197" t="s">
        <v>2286</v>
      </c>
      <c r="C91" s="224">
        <f>IF(H91="——",成本法!C33,I91)</f>
        <v>0</v>
      </c>
      <c r="D91" s="225"/>
      <c r="E91" s="3125" t="s">
        <v>2287</v>
      </c>
      <c r="F91" s="3126"/>
      <c r="G91" s="3126"/>
      <c r="H91" s="2516" t="s">
        <v>2288</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6" t="s">
        <v>2289</v>
      </c>
      <c r="B92" s="197" t="s">
        <v>2290</v>
      </c>
      <c r="C92" s="224">
        <f>ROUND((C87+C90+C91)*D92,0)</f>
        <v>0</v>
      </c>
      <c r="D92" s="225">
        <v>0.1</v>
      </c>
      <c r="E92" s="3125" t="s">
        <v>2291</v>
      </c>
      <c r="F92" s="3126"/>
      <c r="G92" s="3126"/>
      <c r="H92" s="3135"/>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6" t="s">
        <v>2292</v>
      </c>
      <c r="B93" s="197" t="s">
        <v>2273</v>
      </c>
      <c r="C93" s="224" t="e">
        <f ca="1">ROUND(D45*D93/(1+'数据-取费表'!C42),0)</f>
        <v>#N/A</v>
      </c>
      <c r="D93" s="225">
        <f>'数据-取费表'!B43</f>
        <v>5.000000000000001E-3</v>
      </c>
      <c r="E93" s="3125" t="s">
        <v>2274</v>
      </c>
      <c r="F93" s="3126"/>
      <c r="G93" s="3126"/>
      <c r="H93" s="3135"/>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6" t="s">
        <v>2293</v>
      </c>
      <c r="B94" s="197" t="s">
        <v>2294</v>
      </c>
      <c r="C94" s="235">
        <f>ROUND((C87+C90+C91)*D94,0)</f>
        <v>0</v>
      </c>
      <c r="D94" s="225">
        <v>0.2</v>
      </c>
      <c r="E94" s="3136" t="s">
        <v>2295</v>
      </c>
      <c r="F94" s="3137"/>
      <c r="G94" s="3137"/>
      <c r="H94" s="3138"/>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3" t="s">
        <v>2275</v>
      </c>
      <c r="C95" s="206" t="e">
        <f ca="1">ROUND(C85-C86,0)</f>
        <v>#N/A</v>
      </c>
      <c r="D95" s="199" t="s">
        <v>32</v>
      </c>
      <c r="E95" s="2950"/>
      <c r="F95" s="2945"/>
      <c r="G95" s="2945"/>
      <c r="H95" s="233"/>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3" t="s">
        <v>2276</v>
      </c>
      <c r="C96" s="226" t="e">
        <f ca="1">IF(C95&lt;=0,0,C95/C86)</f>
        <v>#N/A</v>
      </c>
      <c r="D96" s="199" t="s">
        <v>32</v>
      </c>
      <c r="E96" s="2962" t="e">
        <f ca="1">IF(C96&gt;=200%,"增值额超过扣除项目金额200%",IF(C96&gt;=100%,"增值额超过扣除项目金额100%，未超过200%",IF(C96&gt;=50%,"增值额超过扣除项目金额50%，未超过100%",IF(C96&lt;50%,"增值额未超过扣除项目金额50%"))))</f>
        <v>#N/A</v>
      </c>
      <c r="F96" s="2945"/>
      <c r="G96" s="2945"/>
      <c r="H96" s="233"/>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8" t="s">
        <v>2277</v>
      </c>
      <c r="C97" s="227" t="e">
        <f ca="1">ROUND(IF(C95&lt;=0,0,IF(C96&gt;=200%,C95*60%-C86*35%,IF(C96&gt;=100%,C95*50%-C86*15%,IF(C96&gt;=50%,C95*40%-C86*5%,IF(C96&lt;50%,C95*30%,0))))),0)</f>
        <v>#N/A</v>
      </c>
      <c r="D97" s="228" t="s">
        <v>32</v>
      </c>
      <c r="E97" s="2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0"/>
      <c r="G97" s="230"/>
      <c r="H97" s="238"/>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7"/>
    </row>
    <row r="99" spans="1:35" ht="21.75" customHeight="1" thickBot="1">
      <c r="A99" s="2472" t="s">
        <v>2296</v>
      </c>
      <c r="B99" s="2416"/>
      <c r="C99" s="2416"/>
      <c r="D99" s="2416"/>
      <c r="E99" s="2164"/>
      <c r="F99" s="2164"/>
      <c r="G99" s="2164"/>
      <c r="H99" s="2163"/>
      <c r="I99" s="137"/>
    </row>
    <row r="100" spans="1:35" ht="18.75" customHeight="1">
      <c r="A100" s="3110" t="s">
        <v>2297</v>
      </c>
      <c r="B100" s="3111"/>
      <c r="C100" s="3111"/>
      <c r="D100" s="3127"/>
      <c r="E100" s="3111" t="s">
        <v>2298</v>
      </c>
      <c r="F100" s="3111"/>
      <c r="G100" s="3111"/>
      <c r="H100" s="3127"/>
      <c r="I100" s="137"/>
    </row>
    <row r="101" spans="1:35" ht="18.75" customHeight="1">
      <c r="A101" s="3189" t="s">
        <v>2299</v>
      </c>
      <c r="B101" s="3190"/>
      <c r="C101" s="735" t="str">
        <f>C4</f>
        <v>成本法</v>
      </c>
      <c r="D101" s="736" t="str">
        <f>D4</f>
        <v>收益法仓储</v>
      </c>
      <c r="E101" s="3203" t="s">
        <v>2300</v>
      </c>
      <c r="F101" s="3157"/>
      <c r="G101" s="2518" t="s">
        <v>2301</v>
      </c>
      <c r="H101" s="1044" t="e">
        <f ca="1">H118</f>
        <v>#N/A</v>
      </c>
      <c r="I101" s="137"/>
    </row>
    <row r="102" spans="1:35" ht="18.75" customHeight="1">
      <c r="A102" s="3159" t="s">
        <v>2302</v>
      </c>
      <c r="B102" s="2518" t="s">
        <v>2301</v>
      </c>
      <c r="C102" s="735" t="e">
        <f ca="1">C19</f>
        <v>#N/A</v>
      </c>
      <c r="D102" s="736" t="e">
        <f ca="1">D19</f>
        <v>#N/A</v>
      </c>
      <c r="E102" s="3203"/>
      <c r="F102" s="3157"/>
      <c r="G102" s="2518" t="s">
        <v>2303</v>
      </c>
      <c r="H102" s="370" t="e">
        <f ca="1">I118</f>
        <v>#N/A</v>
      </c>
      <c r="I102" s="137"/>
    </row>
    <row r="103" spans="1:35" ht="42.75" customHeight="1">
      <c r="A103" s="3159"/>
      <c r="B103" s="2518" t="s">
        <v>2303</v>
      </c>
      <c r="C103" s="737" t="e">
        <f ca="1">C20</f>
        <v>#N/A</v>
      </c>
      <c r="D103" s="738">
        <f ca="1">D20</f>
        <v>0</v>
      </c>
      <c r="E103" s="3198" t="s">
        <v>2304</v>
      </c>
      <c r="F103" s="3199"/>
      <c r="G103" s="2519" t="s">
        <v>2305</v>
      </c>
      <c r="H103" s="1044">
        <f>IF(D36="正常操作",H104+H105+H106,H105+H106)</f>
        <v>0</v>
      </c>
      <c r="I103" s="137"/>
    </row>
    <row r="104" spans="1:35" ht="18.75" customHeight="1">
      <c r="A104" s="3159" t="s">
        <v>2306</v>
      </c>
      <c r="B104" s="2520" t="s">
        <v>2301</v>
      </c>
      <c r="C104" s="739" t="e">
        <f ca="1">H118</f>
        <v>#N/A</v>
      </c>
      <c r="D104" s="740"/>
      <c r="E104" s="2264" t="s">
        <v>2307</v>
      </c>
      <c r="F104" s="2256"/>
      <c r="G104" s="2519" t="s">
        <v>2305</v>
      </c>
      <c r="H104" s="1045">
        <f>IF(D36="同一抵押权人同一抵押物续贷",C36&amp;"（未扣减，详见特别提示）",C36)</f>
        <v>0</v>
      </c>
      <c r="I104" s="137"/>
    </row>
    <row r="105" spans="1:35" ht="18.75" customHeight="1" thickBot="1">
      <c r="A105" s="3160"/>
      <c r="B105" s="2521" t="s">
        <v>2303</v>
      </c>
      <c r="C105" s="741" t="e">
        <f ca="1">I118</f>
        <v>#N/A</v>
      </c>
      <c r="D105" s="742"/>
      <c r="E105" s="2264" t="s">
        <v>2308</v>
      </c>
      <c r="F105" s="2256"/>
      <c r="G105" s="2519" t="s">
        <v>2305</v>
      </c>
      <c r="H105" s="1045">
        <f>C37</f>
        <v>0</v>
      </c>
      <c r="I105" s="137"/>
    </row>
    <row r="106" spans="1:35" ht="18.75" customHeight="1">
      <c r="A106" s="2416" t="s">
        <v>2309</v>
      </c>
      <c r="B106" s="2416"/>
      <c r="C106" s="2416"/>
      <c r="D106" s="2416"/>
      <c r="E106" s="2522" t="s">
        <v>2310</v>
      </c>
      <c r="F106" s="2256"/>
      <c r="G106" s="2519" t="s">
        <v>2305</v>
      </c>
      <c r="H106" s="1045">
        <f>C38</f>
        <v>0</v>
      </c>
      <c r="I106" s="137"/>
    </row>
    <row r="107" spans="1:35" ht="18.75" customHeight="1">
      <c r="A107" s="137"/>
      <c r="B107" s="137"/>
      <c r="C107" s="137"/>
      <c r="D107" s="137"/>
      <c r="E107" s="3156" t="str">
        <f>IF(项目基本情况!E8="已注销","——","3.房地产抵押价值")</f>
        <v>3.房地产抵押价值</v>
      </c>
      <c r="F107" s="3157"/>
      <c r="G107" s="2518" t="s">
        <v>2301</v>
      </c>
      <c r="H107" s="1044" t="e">
        <f ca="1">IF(E107="——","——",H101-H103)</f>
        <v>#N/A</v>
      </c>
      <c r="I107" s="137"/>
    </row>
    <row r="108" spans="1:35" ht="18.75" customHeight="1">
      <c r="A108" s="137"/>
      <c r="B108" s="137"/>
      <c r="C108" s="137"/>
      <c r="D108" s="137"/>
      <c r="E108" s="3156"/>
      <c r="F108" s="3157"/>
      <c r="G108" s="2518" t="s">
        <v>2303</v>
      </c>
      <c r="H108" s="370" t="e">
        <f ca="1">ROUND(H107*10000/'数据-汇总表'!E3,0)</f>
        <v>#N/A</v>
      </c>
      <c r="I108" s="137"/>
    </row>
    <row r="109" spans="1:35" ht="18.75" customHeight="1">
      <c r="A109" s="137"/>
      <c r="B109" s="137"/>
      <c r="C109" s="137"/>
      <c r="D109" s="137"/>
      <c r="E109" s="3156" t="str">
        <f>IF(项目基本情况!E8="已注销及未注销","4.抵押担保权已注销时的房地产抵押价值",IF(项目基本情况!E8="已注销","3.抵押担保权已注销时的房地产抵押价值","——"))</f>
        <v>——</v>
      </c>
      <c r="F109" s="3157"/>
      <c r="G109" s="2518" t="s">
        <v>2301</v>
      </c>
      <c r="H109" s="347" t="str">
        <f>IF(E109="——","——",H101-H105-H106)</f>
        <v>——</v>
      </c>
      <c r="I109" s="137"/>
    </row>
    <row r="110" spans="1:35" ht="18.75" customHeight="1">
      <c r="A110" s="137"/>
      <c r="B110" s="137"/>
      <c r="C110" s="137"/>
      <c r="D110" s="137"/>
      <c r="E110" s="3156"/>
      <c r="F110" s="3157"/>
      <c r="G110" s="2518" t="s">
        <v>2303</v>
      </c>
      <c r="H110" s="370" t="str">
        <f>IF(H109="——","——",ROUND(H109*10000/'数据-汇总表'!E3,0))</f>
        <v>——</v>
      </c>
      <c r="I110" s="137"/>
    </row>
    <row r="111" spans="1:35" ht="18.75" customHeight="1">
      <c r="A111" s="137"/>
      <c r="B111" s="137"/>
      <c r="C111" s="137"/>
      <c r="D111" s="137"/>
      <c r="E111" s="3191" t="str">
        <f>IF(项目基本情况!E9="抵押净值",IF(OR(项目基本情况!E8="已注销",项目基本情况!E8="房地产抵押价值"),"4.抵押净值","5.抵押净值"),"——")</f>
        <v>——</v>
      </c>
      <c r="F111" s="3192"/>
      <c r="G111" s="2518" t="s">
        <v>2301</v>
      </c>
      <c r="H111" s="1044" t="str">
        <f>IF(E111="——","——",N59)</f>
        <v>——</v>
      </c>
      <c r="I111" s="137"/>
    </row>
    <row r="112" spans="1:35" ht="18.75" customHeight="1" thickBot="1">
      <c r="A112" s="137"/>
      <c r="B112" s="137"/>
      <c r="C112" s="137"/>
      <c r="D112" s="137"/>
      <c r="E112" s="3193"/>
      <c r="F112" s="3194"/>
      <c r="G112" s="2523" t="s">
        <v>2303</v>
      </c>
      <c r="H112" s="789" t="str">
        <f>IF(E111="——","——",N61)</f>
        <v>——</v>
      </c>
      <c r="I112" s="137"/>
    </row>
    <row r="113" spans="1:11" ht="18.75" customHeight="1">
      <c r="A113" s="137"/>
      <c r="B113" s="137"/>
      <c r="C113" s="137"/>
      <c r="D113" s="137"/>
      <c r="E113" s="3161" t="s">
        <v>2309</v>
      </c>
      <c r="F113" s="3161"/>
      <c r="G113" s="3161"/>
      <c r="H113" s="3161"/>
      <c r="I113" s="137"/>
    </row>
    <row r="114" spans="1:11" ht="3.75" customHeight="1">
      <c r="A114" s="2416"/>
      <c r="B114" s="2416"/>
      <c r="C114" s="2416"/>
      <c r="D114" s="2416"/>
      <c r="E114" s="2494"/>
      <c r="F114" s="2494"/>
      <c r="G114" s="2494"/>
      <c r="H114" s="2494"/>
      <c r="I114" s="2416"/>
    </row>
    <row r="115" spans="1:11" ht="18.75" customHeight="1">
      <c r="A115" s="3174" t="s">
        <v>2311</v>
      </c>
      <c r="B115" s="3175"/>
      <c r="C115" s="3175"/>
      <c r="D115" s="3175"/>
      <c r="E115" s="3175"/>
      <c r="F115" s="3175"/>
      <c r="G115" s="3175"/>
      <c r="H115" s="3175"/>
      <c r="I115" s="3176"/>
    </row>
    <row r="116" spans="1:11" ht="27" customHeight="1">
      <c r="A116" s="3052" t="s">
        <v>2312</v>
      </c>
      <c r="B116" s="3162" t="s">
        <v>2313</v>
      </c>
      <c r="C116" s="3162" t="s">
        <v>2314</v>
      </c>
      <c r="D116" s="3178" t="s">
        <v>2315</v>
      </c>
      <c r="E116" s="3179"/>
      <c r="F116" s="3170" t="s">
        <v>2316</v>
      </c>
      <c r="G116" s="3170"/>
      <c r="H116" s="3052" t="s">
        <v>2317</v>
      </c>
      <c r="I116" s="3052"/>
    </row>
    <row r="117" spans="1:11" ht="18.75" customHeight="1">
      <c r="A117" s="3052"/>
      <c r="B117" s="3163"/>
      <c r="C117" s="3163"/>
      <c r="D117" s="2942" t="s">
        <v>2318</v>
      </c>
      <c r="E117" s="2942" t="s">
        <v>2319</v>
      </c>
      <c r="F117" s="2942" t="s">
        <v>2318</v>
      </c>
      <c r="G117" s="2942" t="s">
        <v>2320</v>
      </c>
      <c r="H117" s="2942" t="s">
        <v>2318</v>
      </c>
      <c r="I117" s="2942" t="s">
        <v>2320</v>
      </c>
    </row>
    <row r="118" spans="1:11" ht="24.75" customHeight="1">
      <c r="A118" s="2524" t="str">
        <f>项目基本情况!S2</f>
        <v>北京市房地产</v>
      </c>
      <c r="B118" s="2942">
        <f>M18</f>
        <v>0</v>
      </c>
      <c r="C118" s="2942">
        <f>M19</f>
        <v>0</v>
      </c>
      <c r="D118" s="2942" t="e">
        <f ca="1">ROUND(IF(D32="总价",C34,E118*B118/10000),0)</f>
        <v>#N/A</v>
      </c>
      <c r="E118" s="2942" t="e">
        <f ca="1">ROUND(IF(C33="自定义",IF(D32="楼面单价",C34,D118*10000/B118),I118-G118),0)</f>
        <v>#N/A</v>
      </c>
      <c r="F118" s="2942" t="e">
        <f ca="1">ROUND(IF(D32="总价",C35,G118*B118/10000),0)</f>
        <v>#N/A</v>
      </c>
      <c r="G118" s="2942" t="e">
        <f ca="1">ROUND(IF(D32="楼面单价",C35,F118*10000/B118),0)</f>
        <v>#N/A</v>
      </c>
      <c r="H118" s="2942" t="e">
        <f ca="1">ROUND(IF(D32="总价",C32,I118*B118/10000),0)</f>
        <v>#N/A</v>
      </c>
      <c r="I118" s="2942" t="e">
        <f ca="1">ROUND(IF(D32="楼面单价",C32,H118*10000/B118),0)</f>
        <v>#N/A</v>
      </c>
    </row>
    <row r="119" spans="1:11" ht="18.75" customHeight="1">
      <c r="A119" s="3052" t="s">
        <v>2321</v>
      </c>
      <c r="B119" s="3052"/>
      <c r="C119" s="3052"/>
      <c r="D119" s="3167" t="e">
        <f ca="1">NUMBERSTRING(INT(D118*10000),2)&amp;"元整"</f>
        <v>#N/A</v>
      </c>
      <c r="E119" s="3169"/>
      <c r="F119" s="3167" t="e">
        <f ca="1">NUMBERSTRING(INT(F118*10000),2)&amp;"元整"</f>
        <v>#N/A</v>
      </c>
      <c r="G119" s="3169"/>
      <c r="H119" s="3167" t="e">
        <f ca="1">NUMBERSTRING(INT(H118*10000),2)&amp;"元整"</f>
        <v>#N/A</v>
      </c>
      <c r="I119" s="3169"/>
    </row>
    <row r="120" spans="1:11" ht="18.75" customHeight="1">
      <c r="A120" s="3195" t="str">
        <f>IF(项目基本情况!B9="房地产市场价值","",MID(E103,3,LEN(E103)-2))</f>
        <v>估价师知悉的法定优先受偿款</v>
      </c>
      <c r="B120" s="3196"/>
      <c r="C120" s="3197"/>
      <c r="D120" s="3195">
        <f>H103</f>
        <v>0</v>
      </c>
      <c r="E120" s="3196"/>
      <c r="F120" s="3196"/>
      <c r="G120" s="3196"/>
      <c r="H120" s="3196"/>
      <c r="I120" s="3197"/>
      <c r="K120" s="2421" t="str">
        <f>IF(D120=0,"故，本次评估不存在"&amp;A120,"故，本次评估"&amp;A120&amp;"为人民币"&amp;D120&amp;"万元整。")</f>
        <v>故，本次评估不存在估价师知悉的法定优先受偿款</v>
      </c>
    </row>
    <row r="121" spans="1:11" ht="18.75" customHeight="1">
      <c r="A121" s="3171" t="s">
        <v>2321</v>
      </c>
      <c r="B121" s="3172"/>
      <c r="C121" s="3173"/>
      <c r="D121" s="3167" t="str">
        <f>IF(D120=0,"零元整",NUMBERSTRING(INT(D120*10000),2)&amp;"元整")</f>
        <v>零元整</v>
      </c>
      <c r="E121" s="3168"/>
      <c r="F121" s="3168"/>
      <c r="G121" s="3168"/>
      <c r="H121" s="3168"/>
      <c r="I121" s="3169"/>
    </row>
    <row r="122" spans="1:11" ht="18.75" customHeight="1">
      <c r="A122" s="3158" t="str">
        <f>IF(项目基本情况!B9="房地产市场价值","",MID(E107,3,LEN(E107)-2))</f>
        <v>房地产抵押价值</v>
      </c>
      <c r="B122" s="3158"/>
      <c r="C122" s="3158"/>
      <c r="D122" s="3195" t="e">
        <f ca="1">H107</f>
        <v>#N/A</v>
      </c>
      <c r="E122" s="3196"/>
      <c r="F122" s="3196"/>
      <c r="G122" s="3196"/>
      <c r="H122" s="3196"/>
      <c r="I122" s="3197"/>
    </row>
    <row r="123" spans="1:11" ht="18.75" customHeight="1">
      <c r="A123" s="3052" t="s">
        <v>2321</v>
      </c>
      <c r="B123" s="3052"/>
      <c r="C123" s="3052"/>
      <c r="D123" s="3167" t="e">
        <f ca="1">NUMBERSTRING(INT(D122*10000),2)&amp;"元整"</f>
        <v>#N/A</v>
      </c>
      <c r="E123" s="3168"/>
      <c r="F123" s="3168"/>
      <c r="G123" s="3168"/>
      <c r="H123" s="3168"/>
      <c r="I123" s="3169"/>
    </row>
    <row r="124" spans="1:11" ht="18.75" customHeight="1">
      <c r="A124" s="3158" t="str">
        <f>IF(项目基本情况!B9="房地产市场价值","",MID(E109,3,LEN(E109)-2))</f>
        <v/>
      </c>
      <c r="B124" s="3158"/>
      <c r="C124" s="3158"/>
      <c r="D124" s="3195" t="str">
        <f>H109</f>
        <v>——</v>
      </c>
      <c r="E124" s="3196"/>
      <c r="F124" s="3196"/>
      <c r="G124" s="3196"/>
      <c r="H124" s="3196"/>
      <c r="I124" s="3197"/>
    </row>
    <row r="125" spans="1:11" ht="18.75" customHeight="1">
      <c r="A125" s="3052" t="s">
        <v>2321</v>
      </c>
      <c r="B125" s="3052"/>
      <c r="C125" s="3052"/>
      <c r="D125" s="3167" t="e">
        <f>NUMBERSTRING(INT(D124*10000),2)&amp;"元整"</f>
        <v>#VALUE!</v>
      </c>
      <c r="E125" s="3168"/>
      <c r="F125" s="3168"/>
      <c r="G125" s="3168"/>
      <c r="H125" s="3168"/>
      <c r="I125" s="3169"/>
    </row>
    <row r="126" spans="1:11" ht="18.75" customHeight="1">
      <c r="A126" s="3158" t="str">
        <f>IF(项目基本情况!B9="房地产市场价值","",MID(E111,3,LEN(E111)-2))</f>
        <v/>
      </c>
      <c r="B126" s="3158"/>
      <c r="C126" s="3158"/>
      <c r="D126" s="3195" t="str">
        <f>H111</f>
        <v>——</v>
      </c>
      <c r="E126" s="3196"/>
      <c r="F126" s="3196"/>
      <c r="G126" s="3196"/>
      <c r="H126" s="3196"/>
      <c r="I126" s="3197"/>
    </row>
    <row r="127" spans="1:11" ht="18.75" customHeight="1">
      <c r="A127" s="3052" t="s">
        <v>2321</v>
      </c>
      <c r="B127" s="3052"/>
      <c r="C127" s="3052"/>
      <c r="D127" s="3167" t="e">
        <f>NUMBERSTRING(INT(D126*10000),2)&amp;"元整"</f>
        <v>#VALUE!</v>
      </c>
      <c r="E127" s="3168"/>
      <c r="F127" s="3168"/>
      <c r="G127" s="3168"/>
      <c r="H127" s="3168"/>
      <c r="I127" s="3169"/>
    </row>
    <row r="128" spans="1:11" ht="21.75" customHeight="1">
      <c r="A128" s="3177" t="s">
        <v>2322</v>
      </c>
      <c r="B128" s="3177"/>
      <c r="C128" s="3177"/>
      <c r="D128" s="3177"/>
      <c r="E128" s="3177"/>
      <c r="F128" s="3177"/>
      <c r="G128" s="3177"/>
      <c r="H128" s="3177"/>
      <c r="I128" s="3177"/>
    </row>
    <row r="129" spans="1:35" ht="21.75" customHeight="1">
      <c r="A129" s="2525" t="s">
        <v>2323</v>
      </c>
      <c r="B129" s="2526"/>
      <c r="C129" s="2527" t="s">
        <v>2324</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4"/>
    </row>
    <row r="135" spans="1:35" ht="21.75" customHeight="1">
      <c r="A135" s="794"/>
      <c r="B135" s="794"/>
      <c r="C135" s="794"/>
      <c r="D135" s="794"/>
      <c r="E135" s="794"/>
      <c r="F135" s="2541" t="s">
        <v>2325</v>
      </c>
      <c r="G135" s="2542"/>
      <c r="H135" s="2542"/>
      <c r="I135" s="2543" t="s">
        <v>2326</v>
      </c>
    </row>
    <row r="136" spans="1:35" ht="21.75" customHeight="1">
      <c r="A136" s="794"/>
      <c r="B136" s="2544" t="s">
        <v>2327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2"/>
      <c r="C138" s="2542"/>
      <c r="D138" s="2542"/>
      <c r="E138" s="2542"/>
      <c r="F138" s="2542"/>
      <c r="G138" s="2542"/>
      <c r="H138" s="2542"/>
      <c r="I138" s="2543" t="s">
        <v>2328</v>
      </c>
    </row>
    <row r="139" spans="1:35" ht="21.75" customHeight="1">
      <c r="A139" s="794"/>
      <c r="B139" s="2544" t="s">
        <v>2329</v>
      </c>
      <c r="C139" s="794"/>
      <c r="D139" s="794"/>
      <c r="E139" s="794"/>
      <c r="F139" s="794"/>
      <c r="G139" s="794"/>
      <c r="H139" s="794"/>
      <c r="I139" s="794"/>
    </row>
    <row r="140" spans="1:35" ht="21.75" customHeight="1">
      <c r="A140" s="794"/>
      <c r="B140" s="2544"/>
      <c r="C140" s="794"/>
      <c r="D140" s="794"/>
      <c r="E140" s="794"/>
      <c r="F140" s="794"/>
      <c r="G140" s="794"/>
      <c r="H140" s="794"/>
      <c r="I140" s="794"/>
    </row>
    <row r="141" spans="1:35" ht="21.75" customHeight="1">
      <c r="A141" s="794"/>
      <c r="B141" s="2542"/>
      <c r="C141" s="2542"/>
      <c r="D141" s="2542"/>
      <c r="E141" s="2542"/>
      <c r="F141" s="2542"/>
      <c r="G141" s="2542"/>
      <c r="H141" s="2542"/>
      <c r="I141" s="2543" t="s">
        <v>2328</v>
      </c>
    </row>
    <row r="142" spans="1:35" ht="21.75" customHeight="1">
      <c r="A142" s="794"/>
      <c r="B142" s="2544"/>
      <c r="C142" s="2545"/>
      <c r="D142" s="2546"/>
      <c r="E142" s="2546"/>
      <c r="F142" s="2338"/>
      <c r="G142" s="794"/>
      <c r="H142" s="794"/>
      <c r="I142" s="794"/>
    </row>
    <row r="143" spans="1:35" s="138" customFormat="1" ht="21.75" customHeight="1">
      <c r="A143" s="794"/>
      <c r="B143" s="2544"/>
      <c r="C143" s="2545"/>
      <c r="D143" s="2546"/>
      <c r="E143" s="2546"/>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61" priority="10" stopIfTrue="1" operator="equal">
      <formula>25</formula>
    </cfRule>
  </conditionalFormatting>
  <conditionalFormatting sqref="C8:C9">
    <cfRule type="cellIs" dxfId="60" priority="9" stopIfTrue="1" operator="equal">
      <formula>15</formula>
    </cfRule>
  </conditionalFormatting>
  <conditionalFormatting sqref="C14:C16">
    <cfRule type="cellIs" dxfId="59" priority="8" stopIfTrue="1" operator="equal">
      <formula>30</formula>
    </cfRule>
  </conditionalFormatting>
  <conditionalFormatting sqref="D5:D7">
    <cfRule type="cellIs" dxfId="58" priority="7" stopIfTrue="1" operator="equal">
      <formula>25</formula>
    </cfRule>
  </conditionalFormatting>
  <conditionalFormatting sqref="D8:D9">
    <cfRule type="cellIs" dxfId="57" priority="6" stopIfTrue="1" operator="equal">
      <formula>15</formula>
    </cfRule>
  </conditionalFormatting>
  <conditionalFormatting sqref="C10:D13">
    <cfRule type="cellIs" dxfId="56" priority="5" stopIfTrue="1" operator="equal">
      <formula>15</formula>
    </cfRule>
  </conditionalFormatting>
  <conditionalFormatting sqref="D14:D16">
    <cfRule type="cellIs" dxfId="55" priority="4" stopIfTrue="1" operator="equal">
      <formula>30</formula>
    </cfRule>
  </conditionalFormatting>
  <conditionalFormatting sqref="C90">
    <cfRule type="expression" dxfId="54" priority="3" stopIfTrue="1">
      <formula>$H$88&lt;&gt;"仅含出让金"</formula>
    </cfRule>
  </conditionalFormatting>
  <conditionalFormatting sqref="C91">
    <cfRule type="expression" dxfId="53" priority="2" stopIfTrue="1">
      <formula>$H$91="由企业提供"</formula>
    </cfRule>
  </conditionalFormatting>
  <conditionalFormatting sqref="E36">
    <cfRule type="expression" dxfId="5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1" t="s">
        <v>2530</v>
      </c>
      <c r="B1" s="2562"/>
      <c r="C1" s="2562"/>
      <c r="D1" s="2562"/>
      <c r="E1" s="2563"/>
    </row>
    <row r="2" spans="1:6" ht="15.75">
      <c r="A2" s="2564" t="s">
        <v>2331</v>
      </c>
      <c r="B2" s="2565">
        <f ca="1">SUMIF(B6:B13,"&lt;&gt;#ref!",B6:B13)</f>
        <v>51102</v>
      </c>
      <c r="C2" s="2566" t="s">
        <v>2523</v>
      </c>
      <c r="D2" s="2567" t="s">
        <v>2524</v>
      </c>
      <c r="E2" s="2568">
        <f>SUM(E6:E13)</f>
        <v>14974.55</v>
      </c>
    </row>
    <row r="3" spans="1:6" ht="15.75">
      <c r="A3" s="2564" t="s">
        <v>1395</v>
      </c>
      <c r="B3" s="2565">
        <f ca="1">ROUND(B2*10000/E2,0)</f>
        <v>34126</v>
      </c>
      <c r="C3" s="2566" t="s">
        <v>2531</v>
      </c>
      <c r="D3" s="2569"/>
      <c r="E3" s="2570"/>
    </row>
    <row r="4" spans="1:6" ht="15.75">
      <c r="A4" s="2571"/>
      <c r="B4" s="2569"/>
      <c r="C4" s="2569"/>
      <c r="D4" s="2569"/>
      <c r="E4" s="2570"/>
    </row>
    <row r="5" spans="1:6" ht="15">
      <c r="A5" s="2572" t="s">
        <v>2525</v>
      </c>
      <c r="B5" s="3312" t="s">
        <v>2526</v>
      </c>
      <c r="C5" s="3312"/>
      <c r="D5" s="2573"/>
      <c r="E5" s="2574" t="s">
        <v>2527</v>
      </c>
      <c r="F5" s="2575" t="s">
        <v>2528</v>
      </c>
    </row>
    <row r="6" spans="1:6">
      <c r="A6" s="2576" t="str">
        <f>'数据-取费表'!AN6</f>
        <v>收益法办公</v>
      </c>
      <c r="B6" s="2575">
        <f ca="1">IF(F6="是",'数据-取费表'!AO6,0)</f>
        <v>51102</v>
      </c>
      <c r="C6" s="2566" t="s">
        <v>2523</v>
      </c>
      <c r="D6" s="2569"/>
      <c r="E6" s="2577">
        <f>IF(OR(A6=0,F6="否"),0,'数据-取费表'!K6+'数据-取费表'!S6)</f>
        <v>14974.55</v>
      </c>
      <c r="F6" s="2578" t="s">
        <v>2529</v>
      </c>
    </row>
    <row r="7" spans="1:6">
      <c r="A7" s="2576">
        <f>'数据-取费表'!AN7</f>
        <v>0</v>
      </c>
      <c r="B7" s="2575" t="e">
        <f ca="1">IF(F7="是",'数据-取费表'!AO7,0)</f>
        <v>#REF!</v>
      </c>
      <c r="C7" s="2566" t="s">
        <v>2523</v>
      </c>
      <c r="D7" s="2569"/>
      <c r="E7" s="2577">
        <f>IF(OR(A7=0,F7="否"),0,'数据-取费表'!K7+'数据-取费表'!S7)</f>
        <v>0</v>
      </c>
      <c r="F7" s="2578" t="s">
        <v>2529</v>
      </c>
    </row>
    <row r="8" spans="1:6">
      <c r="A8" s="2576">
        <f>'数据-取费表'!AN8</f>
        <v>0</v>
      </c>
      <c r="B8" s="2575" t="e">
        <f ca="1">IF(F8="是",'数据-取费表'!AO8,0)</f>
        <v>#REF!</v>
      </c>
      <c r="C8" s="2566" t="s">
        <v>2523</v>
      </c>
      <c r="D8" s="2569"/>
      <c r="E8" s="2577">
        <f>IF(OR(A8=0,F8="否"),0,'数据-取费表'!K8+'数据-取费表'!S8)</f>
        <v>0</v>
      </c>
      <c r="F8" s="2578" t="s">
        <v>2529</v>
      </c>
    </row>
    <row r="9" spans="1:6">
      <c r="A9" s="2576">
        <f>'数据-取费表'!AN9</f>
        <v>0</v>
      </c>
      <c r="B9" s="2575" t="e">
        <f ca="1">IF(F9="是",'数据-取费表'!AO9,0)</f>
        <v>#REF!</v>
      </c>
      <c r="C9" s="2566" t="s">
        <v>2523</v>
      </c>
      <c r="D9" s="2569"/>
      <c r="E9" s="2577">
        <f>IF(OR(A9=0,F9="否"),0,'数据-取费表'!K9+'数据-取费表'!S9)</f>
        <v>0</v>
      </c>
      <c r="F9" s="2578" t="s">
        <v>2529</v>
      </c>
    </row>
    <row r="10" spans="1:6">
      <c r="A10" s="2576">
        <f>'数据-取费表'!AN10</f>
        <v>0</v>
      </c>
      <c r="B10" s="2575" t="e">
        <f ca="1">IF(F10="是",'数据-取费表'!AO10,0)</f>
        <v>#REF!</v>
      </c>
      <c r="C10" s="2566" t="s">
        <v>2523</v>
      </c>
      <c r="D10" s="2569"/>
      <c r="E10" s="2577">
        <f>IF(OR(A10=0,F10="否"),0,'数据-取费表'!K10+'数据-取费表'!S10)</f>
        <v>0</v>
      </c>
      <c r="F10" s="2578" t="s">
        <v>2529</v>
      </c>
    </row>
    <row r="11" spans="1:6">
      <c r="A11" s="2576">
        <f>'数据-取费表'!AN11</f>
        <v>0</v>
      </c>
      <c r="B11" s="2575" t="e">
        <f ca="1">IF(F11="是",'数据-取费表'!AO11,0)</f>
        <v>#REF!</v>
      </c>
      <c r="C11" s="2566" t="s">
        <v>2523</v>
      </c>
      <c r="D11" s="2569"/>
      <c r="E11" s="2577">
        <f>IF(OR(A11=0,F11="否"),0,'数据-取费表'!K11+'数据-取费表'!S11)</f>
        <v>0</v>
      </c>
      <c r="F11" s="2578" t="s">
        <v>2529</v>
      </c>
    </row>
    <row r="12" spans="1:6">
      <c r="A12" s="2576">
        <f>'数据-取费表'!AN12</f>
        <v>0</v>
      </c>
      <c r="B12" s="2575" t="e">
        <f ca="1">IF(F12="是",'数据-取费表'!AO12,0)</f>
        <v>#REF!</v>
      </c>
      <c r="C12" s="2566" t="s">
        <v>2523</v>
      </c>
      <c r="D12" s="2569"/>
      <c r="E12" s="2577">
        <f>IF(OR(A12=0,F12="否"),0,'数据-取费表'!K12+'数据-取费表'!S12)</f>
        <v>0</v>
      </c>
      <c r="F12" s="2578" t="s">
        <v>2529</v>
      </c>
    </row>
    <row r="13" spans="1:6" ht="15" thickBot="1">
      <c r="A13" s="2579">
        <f>'数据-取费表'!AN13</f>
        <v>0</v>
      </c>
      <c r="B13" s="2575" t="e">
        <f ca="1">IF(F13="是",'数据-取费表'!AO13,0)</f>
        <v>#REF!</v>
      </c>
      <c r="C13" s="2580" t="s">
        <v>2523</v>
      </c>
      <c r="D13" s="2581"/>
      <c r="E13" s="2577">
        <f>IF(OR(A13=0,F13="否"),0,'数据-取费表'!K13+'数据-取费表'!S13)</f>
        <v>0</v>
      </c>
      <c r="F13" s="2578" t="s">
        <v>2529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24" sqref="E24"/>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2330</v>
      </c>
      <c r="B1" s="1936" t="s">
        <v>3376</v>
      </c>
      <c r="C1" s="241"/>
      <c r="D1" s="241"/>
      <c r="E1" s="241"/>
      <c r="F1" s="241"/>
      <c r="G1" s="1378" t="e">
        <f>MATCH(B1,'数据-取费表'!A6:A16,0)+5</f>
        <v>#N/A</v>
      </c>
    </row>
    <row r="2" spans="1:9" s="243" customFormat="1" ht="18" customHeight="1">
      <c r="A2" s="244" t="s">
        <v>2331</v>
      </c>
      <c r="B2" s="245" t="e">
        <f ca="1">IF(D2="——",C52,C52-E2)</f>
        <v>#N/A</v>
      </c>
      <c r="C2" s="242" t="s">
        <v>2332</v>
      </c>
      <c r="D2" s="2547" t="s">
        <v>70</v>
      </c>
      <c r="E2" s="1439" t="e">
        <f ca="1">SUMIF(INDIRECT("'"&amp;G2&amp;"'"&amp;"!A:A"),"承租人权益价值",INDIRECT("'"&amp;G2&amp;"'"&amp;"!c:c"))</f>
        <v>#REF!</v>
      </c>
      <c r="F2" s="2548" t="s">
        <v>2332</v>
      </c>
      <c r="G2" s="2549"/>
    </row>
    <row r="3" spans="1:9" s="243" customFormat="1" ht="18" customHeight="1" thickBot="1">
      <c r="A3" s="246" t="s">
        <v>2333</v>
      </c>
      <c r="B3" s="247" t="e">
        <f ca="1">ROUND(B2*10000/(IF(B1="",'数据-汇总表'!E3,INDIRECT("'数据-取费表'!k"&amp;$G$1))),0)</f>
        <v>#N/A</v>
      </c>
      <c r="C3" s="242" t="s">
        <v>2334</v>
      </c>
      <c r="D3" s="242"/>
      <c r="E3" s="242"/>
      <c r="F3" s="242"/>
      <c r="G3" s="242"/>
    </row>
    <row r="4" spans="1:9" s="251" customFormat="1" ht="15.75">
      <c r="A4" s="248" t="s">
        <v>2335</v>
      </c>
      <c r="B4" s="249"/>
      <c r="C4" s="249"/>
      <c r="D4" s="249"/>
      <c r="E4" s="249"/>
      <c r="F4" s="249"/>
      <c r="G4" s="250"/>
    </row>
    <row r="5" spans="1:9" s="257" customFormat="1" ht="13.5" customHeight="1">
      <c r="A5" s="298" t="s">
        <v>2336</v>
      </c>
      <c r="B5" s="253" t="s">
        <v>2337</v>
      </c>
      <c r="C5" s="254">
        <f ca="1">C6+C7+C8</f>
        <v>0</v>
      </c>
      <c r="D5" s="254" t="s">
        <v>2338</v>
      </c>
      <c r="E5" s="255" t="s">
        <v>2339</v>
      </c>
      <c r="F5" s="255" t="s">
        <v>2340</v>
      </c>
      <c r="G5" s="256"/>
    </row>
    <row r="6" spans="1:9" s="257" customFormat="1" ht="13.5" customHeight="1">
      <c r="A6" s="948" t="s">
        <v>2341</v>
      </c>
      <c r="B6" s="258" t="s">
        <v>2342</v>
      </c>
      <c r="C6" s="259">
        <f ca="1">基准地价修正!C26</f>
        <v>0</v>
      </c>
      <c r="D6" s="260"/>
      <c r="E6" s="261"/>
      <c r="F6" s="261"/>
      <c r="G6" s="262"/>
    </row>
    <row r="7" spans="1:9" s="257" customFormat="1" ht="13.5" customHeight="1">
      <c r="A7" s="948" t="s">
        <v>2343</v>
      </c>
      <c r="B7" s="258" t="s">
        <v>2344</v>
      </c>
      <c r="C7" s="263">
        <f ca="1">ROUND(C6*F7,0)</f>
        <v>0</v>
      </c>
      <c r="D7" s="263"/>
      <c r="E7" s="261"/>
      <c r="F7" s="264">
        <f>'数据-取费表'!B48+'数据-取费表'!B49</f>
        <v>3.0499999999999999E-2</v>
      </c>
      <c r="G7" s="262"/>
    </row>
    <row r="8" spans="1:9" s="266" customFormat="1">
      <c r="A8" s="948" t="s">
        <v>2345</v>
      </c>
      <c r="B8" s="258" t="s">
        <v>2346</v>
      </c>
      <c r="C8" s="263">
        <f>IF(G8="已包含在土地购买价格中","0",IF(B1="",'数据-取费表'!B29,IF(G9="全部缴纳",C9+C10,H9)))</f>
        <v>0</v>
      </c>
      <c r="D8" s="265"/>
      <c r="E8" s="263"/>
      <c r="F8" s="264"/>
      <c r="G8" s="3003" t="s">
        <v>3540</v>
      </c>
    </row>
    <row r="9" spans="1:9" s="257" customFormat="1" ht="13.5" customHeight="1">
      <c r="A9" s="949" t="s">
        <v>800</v>
      </c>
      <c r="B9" s="267" t="s">
        <v>2347</v>
      </c>
      <c r="C9" s="268" t="e">
        <f ca="1">ROUND(D9*E9/10000,0)</f>
        <v>#N/A</v>
      </c>
      <c r="D9" s="1031" t="e">
        <f ca="1">IF(B1="",'数据-汇总表'!E5,IF(INDIRECT("'数据-取费表'!c"&amp;$G$1)="住宅",INDIRECT("'数据-取费表'!k"&amp;$G$1),0))</f>
        <v>#N/A</v>
      </c>
      <c r="E9" s="268">
        <f>'数据-取费表'!B27</f>
        <v>0</v>
      </c>
      <c r="F9" s="264"/>
      <c r="G9" s="2551"/>
      <c r="H9" s="1389"/>
      <c r="I9" s="2552" t="s">
        <v>2348</v>
      </c>
    </row>
    <row r="10" spans="1:9" s="257" customFormat="1" ht="13.5" customHeight="1">
      <c r="A10" s="949" t="s">
        <v>801</v>
      </c>
      <c r="B10" s="267" t="s">
        <v>2349</v>
      </c>
      <c r="C10" s="268" t="e">
        <f ca="1">ROUND(D10*E10/10000,0)</f>
        <v>#N/A</v>
      </c>
      <c r="D10" s="1031" t="e">
        <f ca="1">IF(B1="",'数据-汇总表'!E6,IF(INDIRECT("'数据-取费表'!c"&amp;$G$1)="住宅",INDIRECT("'数据-取费表'!s"&amp;$G$1),INDIRECT("'数据-取费表'!k"&amp;$G$1)+INDIRECT("'数据-取费表'!s"&amp;$G$1)))</f>
        <v>#N/A</v>
      </c>
      <c r="E10" s="268">
        <f>'数据-取费表'!B28</f>
        <v>0</v>
      </c>
      <c r="F10" s="264"/>
      <c r="G10" s="269"/>
    </row>
    <row r="11" spans="1:9" s="257" customFormat="1" ht="13.5" hidden="1" customHeight="1">
      <c r="A11" s="270" t="s">
        <v>7</v>
      </c>
      <c r="B11" s="258" t="s">
        <v>2350</v>
      </c>
      <c r="C11" s="254"/>
      <c r="D11" s="1033"/>
      <c r="E11" s="261"/>
      <c r="F11" s="261"/>
      <c r="G11" s="262"/>
    </row>
    <row r="12" spans="1:9" s="257" customFormat="1" ht="13.5" hidden="1" customHeight="1">
      <c r="A12" s="270" t="s">
        <v>8</v>
      </c>
      <c r="B12" s="258" t="s">
        <v>2351</v>
      </c>
      <c r="C12" s="254">
        <v>0</v>
      </c>
      <c r="D12" s="1033"/>
      <c r="E12" s="271"/>
      <c r="F12" s="264">
        <v>3.0499999999999999E-2</v>
      </c>
      <c r="G12" s="262"/>
    </row>
    <row r="13" spans="1:9" s="257" customFormat="1" ht="13.5" hidden="1" customHeight="1">
      <c r="A13" s="270" t="s">
        <v>9</v>
      </c>
      <c r="B13" s="258" t="s">
        <v>2352</v>
      </c>
      <c r="C13" s="254"/>
      <c r="D13" s="1033"/>
      <c r="E13" s="261"/>
      <c r="F13" s="261"/>
      <c r="G13" s="262"/>
    </row>
    <row r="14" spans="1:9" s="257" customFormat="1" ht="13.5" hidden="1" customHeight="1">
      <c r="A14" s="270" t="s">
        <v>10</v>
      </c>
      <c r="B14" s="258" t="s">
        <v>2353</v>
      </c>
      <c r="C14" s="254"/>
      <c r="D14" s="1033"/>
      <c r="E14" s="261"/>
      <c r="F14" s="261"/>
      <c r="G14" s="262" t="s">
        <v>2354</v>
      </c>
    </row>
    <row r="15" spans="1:9" s="257" customFormat="1" ht="13.5" hidden="1" customHeight="1">
      <c r="A15" s="270" t="s">
        <v>11</v>
      </c>
      <c r="B15" s="258" t="s">
        <v>2355</v>
      </c>
      <c r="C15" s="263"/>
      <c r="D15" s="1033"/>
      <c r="E15" s="261"/>
      <c r="F15" s="261"/>
      <c r="G15" s="262" t="s">
        <v>2356</v>
      </c>
    </row>
    <row r="16" spans="1:9" s="257" customFormat="1" ht="13.5" hidden="1" customHeight="1">
      <c r="A16" s="270" t="s">
        <v>12</v>
      </c>
      <c r="B16" s="258" t="s">
        <v>2353</v>
      </c>
      <c r="C16" s="263"/>
      <c r="D16" s="1033"/>
      <c r="E16" s="261"/>
      <c r="F16" s="261"/>
      <c r="G16" s="262"/>
    </row>
    <row r="17" spans="1:7" s="257" customFormat="1" ht="13.5" hidden="1" customHeight="1">
      <c r="A17" s="270" t="s">
        <v>13</v>
      </c>
      <c r="B17" s="258" t="s">
        <v>2357</v>
      </c>
      <c r="C17" s="272"/>
      <c r="D17" s="1034"/>
      <c r="E17" s="272"/>
      <c r="F17" s="272"/>
      <c r="G17" s="262" t="s">
        <v>2356</v>
      </c>
    </row>
    <row r="18" spans="1:7" s="257" customFormat="1" ht="13.5" hidden="1" customHeight="1">
      <c r="A18" s="270" t="s">
        <v>14</v>
      </c>
      <c r="B18" s="258" t="s">
        <v>2358</v>
      </c>
      <c r="C18" s="263">
        <v>0</v>
      </c>
      <c r="D18" s="1033"/>
      <c r="E18" s="261"/>
      <c r="F18" s="264">
        <v>3.0499999999999999E-2</v>
      </c>
      <c r="G18" s="262" t="s">
        <v>2359</v>
      </c>
    </row>
    <row r="19" spans="1:7" s="266" customFormat="1" ht="13.5" customHeight="1">
      <c r="A19" s="298" t="s">
        <v>2360</v>
      </c>
      <c r="B19" s="253" t="s">
        <v>2361</v>
      </c>
      <c r="C19" s="254" t="str">
        <f>IF(G19="已包含在土地取得成本中","0",ROUND(D19*E19/10000,0))</f>
        <v>0</v>
      </c>
      <c r="D19" s="1035" t="e">
        <f ca="1">D9+D10</f>
        <v>#N/A</v>
      </c>
      <c r="E19" s="254">
        <f>'数据-取费表'!B31</f>
        <v>200</v>
      </c>
      <c r="F19" s="274"/>
      <c r="G19" s="3003" t="s">
        <v>3541</v>
      </c>
    </row>
    <row r="20" spans="1:7" s="257" customFormat="1" ht="13.5" customHeight="1">
      <c r="A20" s="298" t="s">
        <v>2362</v>
      </c>
      <c r="B20" s="253" t="s">
        <v>2363</v>
      </c>
      <c r="C20" s="275">
        <f ca="1">ROUND((C5+C19)*F20,0)</f>
        <v>0</v>
      </c>
      <c r="D20" s="275"/>
      <c r="E20" s="275"/>
      <c r="F20" s="276">
        <f>'数据-取费表'!B37</f>
        <v>0.03</v>
      </c>
      <c r="G20" s="277" t="s">
        <v>2364</v>
      </c>
    </row>
    <row r="21" spans="1:7" s="257" customFormat="1" ht="13.5" customHeight="1">
      <c r="A21" s="298" t="s">
        <v>2365</v>
      </c>
      <c r="B21" s="253" t="s">
        <v>2366</v>
      </c>
      <c r="C21" s="278">
        <f>F21</f>
        <v>0.03</v>
      </c>
      <c r="D21" s="279" t="s">
        <v>2367</v>
      </c>
      <c r="E21" s="275"/>
      <c r="F21" s="276">
        <f>'数据-取费表'!B38</f>
        <v>0.03</v>
      </c>
      <c r="G21" s="277" t="s">
        <v>2368</v>
      </c>
    </row>
    <row r="22" spans="1:7" s="257" customFormat="1" ht="13.5" customHeight="1">
      <c r="A22" s="298" t="s">
        <v>2369</v>
      </c>
      <c r="B22" s="253" t="s">
        <v>2370</v>
      </c>
      <c r="C22" s="1353">
        <f ca="1">ROUND(SUM(C23:C25),0)</f>
        <v>0</v>
      </c>
      <c r="D22" s="278">
        <f ca="1">C26</f>
        <v>1.4E-3</v>
      </c>
      <c r="E22" s="279" t="s">
        <v>2367</v>
      </c>
      <c r="F22" s="280">
        <f ca="1">'数据-取费表'!B40</f>
        <v>4.7500000000000001E-2</v>
      </c>
      <c r="G22" s="277" t="str">
        <f>IF('数据-取费表'!B22&lt;=1,"单利计息","复利计息")</f>
        <v>复利计息</v>
      </c>
    </row>
    <row r="23" spans="1:7" s="257" customFormat="1" ht="13.5" customHeight="1">
      <c r="A23" s="950" t="s">
        <v>2371</v>
      </c>
      <c r="B23" s="258" t="s">
        <v>2372</v>
      </c>
      <c r="C23" s="1354">
        <f ca="1">ROUND(IF('数据-取费表'!B22&lt;=1,C5*F22*'数据-取费表'!B23,C5*(POWER((1+F22),'数据-取费表'!B23)-1)),0)</f>
        <v>0</v>
      </c>
      <c r="D23" s="281"/>
      <c r="E23" s="281"/>
      <c r="F23" s="282"/>
      <c r="G23" s="283" t="s">
        <v>2373</v>
      </c>
    </row>
    <row r="24" spans="1:7" s="257" customFormat="1" ht="13.5" customHeight="1">
      <c r="A24" s="950" t="s">
        <v>2374</v>
      </c>
      <c r="B24" s="258" t="s">
        <v>2375</v>
      </c>
      <c r="C24" s="1354">
        <f ca="1">ROUND(IF('数据-取费表'!B22&lt;=1,C19*F22*('数据-取费表'!B19/2+'数据-取费表'!B21),C19*(POWER((1+F22),('数据-取费表'!B19/2+'数据-取费表'!B21))-1)),0)</f>
        <v>0</v>
      </c>
      <c r="D24" s="281"/>
      <c r="E24" s="281"/>
      <c r="F24" s="282"/>
      <c r="G24" s="283" t="s">
        <v>2376</v>
      </c>
    </row>
    <row r="25" spans="1:7" s="257" customFormat="1" ht="24">
      <c r="A25" s="950" t="s">
        <v>2377</v>
      </c>
      <c r="B25" s="258" t="s">
        <v>2378</v>
      </c>
      <c r="C25" s="1354">
        <f ca="1">ROUND(IF('数据-取费表'!B22&lt;=1,C20*F22*'数据-取费表'!B23/2,C20*(POWER((1+F22),'数据-取费表'!B23/2)-1)),0)</f>
        <v>0</v>
      </c>
      <c r="D25" s="281"/>
      <c r="E25" s="284"/>
      <c r="F25" s="282"/>
      <c r="G25" s="285" t="s">
        <v>2379</v>
      </c>
    </row>
    <row r="26" spans="1:7" s="257" customFormat="1">
      <c r="A26" s="950" t="s">
        <v>795</v>
      </c>
      <c r="B26" s="258" t="s">
        <v>2380</v>
      </c>
      <c r="C26" s="281">
        <f ca="1">ROUND(IF('数据-取费表'!B22&lt;=1,F21*F22*'数据-取费表'!B23/2,F21*(POWER((1+F22),'数据-取费表'!B23/2)-1)),4)</f>
        <v>1.4E-3</v>
      </c>
      <c r="D26" s="281"/>
      <c r="E26" s="284"/>
      <c r="F26" s="282"/>
      <c r="G26" s="286"/>
    </row>
    <row r="27" spans="1:7" s="257" customFormat="1" ht="24.75">
      <c r="A27" s="298" t="s">
        <v>2381</v>
      </c>
      <c r="B27" s="287" t="s">
        <v>2382</v>
      </c>
      <c r="C27" s="288" t="e">
        <f ca="1">C28</f>
        <v>#N/A</v>
      </c>
      <c r="D27" s="278" t="e">
        <f ca="1">C29</f>
        <v>#N/A</v>
      </c>
      <c r="E27" s="279" t="s">
        <v>2383</v>
      </c>
      <c r="F27" s="289" t="e">
        <f ca="1">IF(B1="",'数据-取费表'!Q16,INDIRECT("'数据-取费表'!q"&amp;$G$1))</f>
        <v>#N/A</v>
      </c>
      <c r="G27" s="290" t="s">
        <v>2384</v>
      </c>
    </row>
    <row r="28" spans="1:7" s="257" customFormat="1" ht="13.5" customHeight="1">
      <c r="A28" s="950" t="s">
        <v>791</v>
      </c>
      <c r="B28" s="291" t="s">
        <v>2385</v>
      </c>
      <c r="C28" s="292" t="e">
        <f ca="1">ROUND((C5+C19+C20)*F27*'数据-取费表'!B21/'数据-取费表'!B20,0)</f>
        <v>#N/A</v>
      </c>
      <c r="D28" s="278"/>
      <c r="E28" s="279"/>
      <c r="F28" s="289"/>
      <c r="G28" s="290"/>
    </row>
    <row r="29" spans="1:7" s="257" customFormat="1" ht="13.5" customHeight="1">
      <c r="A29" s="950" t="s">
        <v>792</v>
      </c>
      <c r="B29" s="291" t="s">
        <v>2386</v>
      </c>
      <c r="C29" s="281" t="e">
        <f ca="1">ROUND(C21*F27*'数据-取费表'!B21/'数据-取费表'!B20,4)</f>
        <v>#N/A</v>
      </c>
      <c r="D29" s="278"/>
      <c r="E29" s="279"/>
      <c r="F29" s="289"/>
      <c r="G29" s="290"/>
    </row>
    <row r="30" spans="1:7" s="257" customFormat="1" ht="13.5" customHeight="1">
      <c r="A30" s="298" t="s">
        <v>2387</v>
      </c>
      <c r="B30" s="253" t="s">
        <v>2388</v>
      </c>
      <c r="C30" s="278">
        <f>ROUND(F30/(1+'数据-取费表'!C42),4)</f>
        <v>5.2400000000000002E-2</v>
      </c>
      <c r="D30" s="279" t="s">
        <v>2383</v>
      </c>
      <c r="E30" s="284"/>
      <c r="F30" s="280">
        <f>'数据-取费表'!B41</f>
        <v>5.5000000000000007E-2</v>
      </c>
      <c r="G30" s="277" t="s">
        <v>2389</v>
      </c>
    </row>
    <row r="31" spans="1:7" ht="16.5" customHeight="1">
      <c r="A31" s="252">
        <v>1</v>
      </c>
      <c r="B31" s="253" t="s">
        <v>2390</v>
      </c>
      <c r="C31" s="254" t="e">
        <f ca="1">ROUND((C5+C19+C20+C22+C27)/(1-C21-D22-D27-C30),0)</f>
        <v>#N/A</v>
      </c>
      <c r="D31" s="273"/>
      <c r="E31" s="254"/>
      <c r="F31" s="293"/>
      <c r="G31" s="277" t="s">
        <v>2391</v>
      </c>
    </row>
    <row r="32" spans="1:7" s="251" customFormat="1" ht="15.75">
      <c r="A32" s="295" t="s">
        <v>2392</v>
      </c>
      <c r="B32" s="296"/>
      <c r="C32" s="296"/>
      <c r="D32" s="296"/>
      <c r="E32" s="296"/>
      <c r="F32" s="296"/>
      <c r="G32" s="297"/>
    </row>
    <row r="33" spans="1:7" s="257" customFormat="1" ht="13.5" customHeight="1">
      <c r="A33" s="298" t="s">
        <v>782</v>
      </c>
      <c r="B33" s="253" t="s">
        <v>2393</v>
      </c>
      <c r="C33" s="299" t="e">
        <f ca="1">SUM(C34:C38)</f>
        <v>#N/A</v>
      </c>
      <c r="D33" s="275"/>
      <c r="E33" s="255"/>
      <c r="F33" s="284"/>
      <c r="G33" s="277"/>
    </row>
    <row r="34" spans="1:7" s="301" customFormat="1" ht="13.5" customHeight="1">
      <c r="A34" s="950" t="s">
        <v>791</v>
      </c>
      <c r="B34" s="258" t="s">
        <v>2394</v>
      </c>
      <c r="C34" s="263" t="e">
        <f ca="1">IF(B1="",IF(F34=100%,'数据-取费表'!M16,'数据-取费表'!O16),IF(F34=100%,INDIRECT("'数据-取费表'!m"&amp;$G$1)+INDIRECT("'数据-取费表'!t"&amp;$G$1),INDIRECT("'数据-取费表'!o"&amp;$G$1)+INDIRECT("'数据-取费表'!aq"&amp;$G$1)))</f>
        <v>#N/A</v>
      </c>
      <c r="D34" s="260"/>
      <c r="E34" s="263"/>
      <c r="F34" s="300">
        <f ca="1">IF('数据-取费表'!B24=0,1,IF(B1="",'数据-取费表'!N16,INDIRECT("'数据-取费表'!n"&amp;$G$1)))</f>
        <v>1</v>
      </c>
      <c r="G34" s="262" t="s">
        <v>2395</v>
      </c>
    </row>
    <row r="35" spans="1:7" ht="13.5" customHeight="1">
      <c r="A35" s="950" t="s">
        <v>796</v>
      </c>
      <c r="B35" s="258" t="s">
        <v>2396</v>
      </c>
      <c r="C35" s="263" t="e">
        <f ca="1">ROUND(C34*F35,0)</f>
        <v>#N/A</v>
      </c>
      <c r="D35" s="263"/>
      <c r="E35" s="263"/>
      <c r="F35" s="302">
        <f>'数据-取费表'!B33</f>
        <v>0.03</v>
      </c>
      <c r="G35" s="262" t="s">
        <v>2397</v>
      </c>
    </row>
    <row r="36" spans="1:7" ht="24">
      <c r="A36" s="950" t="s">
        <v>797</v>
      </c>
      <c r="B36" s="258" t="s">
        <v>2398</v>
      </c>
      <c r="C36" s="263" t="e">
        <f ca="1">ROUND(IF(B1="",SUMIF('数据-取费表'!C:C,"住宅",IF(F34=100%,'数据-取费表'!M:M,'数据-取费表'!O:O))*F36,IF(INDIRECT("'数据-取费表'!c"&amp;$G$1)="住宅",IF(F34=100%,INDIRECT("'数据-取费表'!m"&amp;$G$1)*F36,INDIRECT("'数据-取费表'!o"&amp;$G$1)*F36),0)),0)</f>
        <v>#N/A</v>
      </c>
      <c r="D36" s="263"/>
      <c r="E36" s="263"/>
      <c r="F36" s="302">
        <f>'数据-取费表'!B34</f>
        <v>0.03</v>
      </c>
      <c r="G36" s="303" t="s">
        <v>2399</v>
      </c>
    </row>
    <row r="37" spans="1:7" s="301" customFormat="1" ht="13.5" customHeight="1">
      <c r="A37" s="950" t="s">
        <v>798</v>
      </c>
      <c r="B37" s="258" t="s">
        <v>2400</v>
      </c>
      <c r="C37" s="292" t="e">
        <f ca="1">ROUND(E37*D37*F34/10000,0)</f>
        <v>#N/A</v>
      </c>
      <c r="D37" s="260" t="e">
        <f ca="1">D19</f>
        <v>#N/A</v>
      </c>
      <c r="E37" s="292">
        <f>'数据-取费表'!B35</f>
        <v>200</v>
      </c>
      <c r="F37" s="302"/>
      <c r="G37" s="304" t="s">
        <v>2401</v>
      </c>
    </row>
    <row r="38" spans="1:7" ht="13.5" customHeight="1">
      <c r="A38" s="950" t="s">
        <v>799</v>
      </c>
      <c r="B38" s="258" t="s">
        <v>2402</v>
      </c>
      <c r="C38" s="263" t="e">
        <f ca="1">ROUND(C34*F38,0)</f>
        <v>#N/A</v>
      </c>
      <c r="D38" s="263"/>
      <c r="E38" s="263"/>
      <c r="F38" s="302">
        <f>'数据-取费表'!B36</f>
        <v>1.4999999999999999E-2</v>
      </c>
      <c r="G38" s="262" t="s">
        <v>2397</v>
      </c>
    </row>
    <row r="39" spans="1:7" s="257" customFormat="1" ht="13.5" customHeight="1">
      <c r="A39" s="298" t="s">
        <v>2403</v>
      </c>
      <c r="B39" s="253" t="s">
        <v>2404</v>
      </c>
      <c r="C39" s="275" t="e">
        <f ca="1">ROUND(C33*F20,0)</f>
        <v>#N/A</v>
      </c>
      <c r="D39" s="275"/>
      <c r="E39" s="275"/>
      <c r="F39" s="276"/>
      <c r="G39" s="277" t="s">
        <v>2405</v>
      </c>
    </row>
    <row r="40" spans="1:7" s="257" customFormat="1" ht="13.5" customHeight="1">
      <c r="A40" s="298" t="s">
        <v>2406</v>
      </c>
      <c r="B40" s="253" t="s">
        <v>2407</v>
      </c>
      <c r="C40" s="1727">
        <f>F21</f>
        <v>0.03</v>
      </c>
      <c r="D40" s="279" t="s">
        <v>2408</v>
      </c>
      <c r="E40" s="275"/>
      <c r="F40" s="276"/>
      <c r="G40" s="277" t="s">
        <v>2409</v>
      </c>
    </row>
    <row r="41" spans="1:7" s="257" customFormat="1" ht="13.5" customHeight="1">
      <c r="A41" s="298" t="s">
        <v>2410</v>
      </c>
      <c r="B41" s="253" t="s">
        <v>2411</v>
      </c>
      <c r="C41" s="275" t="e">
        <f ca="1">ROUND(SUM(C42:C43),0)</f>
        <v>#N/A</v>
      </c>
      <c r="D41" s="278">
        <f ca="1">C44</f>
        <v>1.4E-3</v>
      </c>
      <c r="E41" s="279" t="s">
        <v>2408</v>
      </c>
      <c r="F41" s="280"/>
      <c r="G41" s="277" t="str">
        <f>IF('数据-取费表'!B22&lt;=1,"单利计息","复利计息")</f>
        <v>复利计息</v>
      </c>
    </row>
    <row r="42" spans="1:7" ht="13.5" customHeight="1">
      <c r="A42" s="950" t="s">
        <v>791</v>
      </c>
      <c r="B42" s="258" t="s">
        <v>2412</v>
      </c>
      <c r="C42" s="281" t="e">
        <f ca="1">ROUND(IF('数据-取费表'!B22&lt;=1,C33*F22*'数据-取费表'!B21/2,C33*(POWER((1+F22),'数据-取费表'!B21/2)-1)),0)</f>
        <v>#N/A</v>
      </c>
      <c r="D42" s="281"/>
      <c r="E42" s="281"/>
      <c r="F42" s="282"/>
      <c r="G42" s="3209" t="s">
        <v>2413</v>
      </c>
    </row>
    <row r="43" spans="1:7" ht="13.5" customHeight="1">
      <c r="A43" s="950" t="s">
        <v>792</v>
      </c>
      <c r="B43" s="258" t="s">
        <v>2414</v>
      </c>
      <c r="C43" s="281" t="e">
        <f ca="1">ROUND(IF('数据-取费表'!B22&lt;=1,C39*F22*'数据-取费表'!B21/2,C39*(POWER((1+F22),'数据-取费表'!B21/2)-1)),0)</f>
        <v>#N/A</v>
      </c>
      <c r="D43" s="281"/>
      <c r="E43" s="281"/>
      <c r="F43" s="282"/>
      <c r="G43" s="3210"/>
    </row>
    <row r="44" spans="1:7" ht="13.5" customHeight="1">
      <c r="A44" s="950" t="s">
        <v>793</v>
      </c>
      <c r="B44" s="258" t="s">
        <v>2415</v>
      </c>
      <c r="C44" s="281">
        <f ca="1">ROUND(IF('数据-取费表'!B22&lt;=1,C40*F22*'数据-取费表'!B21/2,C40*(POWER((1+F22),'数据-取费表'!B21/2)-1)),4)</f>
        <v>1.4E-3</v>
      </c>
      <c r="D44" s="281"/>
      <c r="E44" s="281"/>
      <c r="F44" s="282"/>
      <c r="G44" s="3211"/>
    </row>
    <row r="45" spans="1:7" s="257" customFormat="1" ht="13.5" customHeight="1">
      <c r="A45" s="298" t="s">
        <v>2416</v>
      </c>
      <c r="B45" s="287" t="s">
        <v>2382</v>
      </c>
      <c r="C45" s="288" t="e">
        <f ca="1">C46</f>
        <v>#N/A</v>
      </c>
      <c r="D45" s="278" t="e">
        <f ca="1">C47</f>
        <v>#N/A</v>
      </c>
      <c r="E45" s="279" t="s">
        <v>2408</v>
      </c>
      <c r="F45" s="289"/>
      <c r="G45" s="290" t="s">
        <v>2417</v>
      </c>
    </row>
    <row r="46" spans="1:7" s="257" customFormat="1" ht="13.5" customHeight="1">
      <c r="A46" s="950" t="s">
        <v>791</v>
      </c>
      <c r="B46" s="291" t="s">
        <v>2418</v>
      </c>
      <c r="C46" s="292" t="e">
        <f ca="1">ROUND((C33+C39)*F27,0)</f>
        <v>#N/A</v>
      </c>
      <c r="D46" s="306"/>
      <c r="E46" s="279"/>
      <c r="F46" s="289"/>
      <c r="G46" s="290"/>
    </row>
    <row r="47" spans="1:7" s="257" customFormat="1" ht="13.5" customHeight="1">
      <c r="A47" s="950" t="s">
        <v>792</v>
      </c>
      <c r="B47" s="291" t="s">
        <v>2419</v>
      </c>
      <c r="C47" s="281" t="e">
        <f ca="1">ROUND(C40*F27,4)</f>
        <v>#N/A</v>
      </c>
      <c r="D47" s="306"/>
      <c r="E47" s="279"/>
      <c r="F47" s="289"/>
      <c r="G47" s="290"/>
    </row>
    <row r="48" spans="1:7" s="257" customFormat="1" ht="13.5" customHeight="1">
      <c r="A48" s="298" t="s">
        <v>2381</v>
      </c>
      <c r="B48" s="253" t="s">
        <v>2420</v>
      </c>
      <c r="C48" s="1727">
        <f>ROUND(F30/(1+'数据-取费表'!C42),4)</f>
        <v>5.2400000000000002E-2</v>
      </c>
      <c r="D48" s="279" t="s">
        <v>2408</v>
      </c>
      <c r="E48" s="275"/>
      <c r="F48" s="280"/>
      <c r="G48" s="277" t="s">
        <v>2421</v>
      </c>
    </row>
    <row r="49" spans="1:7" ht="16.5" customHeight="1">
      <c r="A49" s="298" t="s">
        <v>2387</v>
      </c>
      <c r="B49" s="253" t="s">
        <v>2422</v>
      </c>
      <c r="C49" s="275" t="e">
        <f ca="1">ROUND((C33+C39+C41+C45)/(1-C40-D41-D45-C48),0)</f>
        <v>#N/A</v>
      </c>
      <c r="D49" s="275"/>
      <c r="E49" s="275"/>
      <c r="F49" s="307"/>
      <c r="G49" s="277" t="s">
        <v>2423</v>
      </c>
    </row>
    <row r="50" spans="1:7" s="301" customFormat="1" ht="24">
      <c r="A50" s="298" t="s">
        <v>2424</v>
      </c>
      <c r="B50" s="253" t="s">
        <v>2425</v>
      </c>
      <c r="C50" s="275"/>
      <c r="D50" s="275"/>
      <c r="E50" s="275"/>
      <c r="F50" s="307">
        <f>IF('数据-取费表'!B24=0,'数据-取费表'!N16,1)</f>
        <v>1</v>
      </c>
      <c r="G50" s="290" t="s">
        <v>2426</v>
      </c>
    </row>
    <row r="51" spans="1:7" ht="16.5" customHeight="1">
      <c r="A51" s="298" t="s">
        <v>2427</v>
      </c>
      <c r="B51" s="253" t="s">
        <v>2428</v>
      </c>
      <c r="C51" s="275" t="e">
        <f ca="1">ROUND(C49*F50,0)</f>
        <v>#N/A</v>
      </c>
      <c r="D51" s="275"/>
      <c r="E51" s="275"/>
      <c r="F51" s="307"/>
      <c r="G51" s="277" t="s">
        <v>2429</v>
      </c>
    </row>
    <row r="52" spans="1:7" s="251" customFormat="1" ht="16.5" thickBot="1">
      <c r="A52" s="308" t="s">
        <v>2430</v>
      </c>
      <c r="B52" s="309"/>
      <c r="C52" s="310" t="e">
        <f ca="1">C31+C51</f>
        <v>#N/A</v>
      </c>
      <c r="D52" s="309"/>
      <c r="E52" s="309"/>
      <c r="F52" s="309"/>
      <c r="G52" s="311"/>
    </row>
    <row r="55" spans="1:7" ht="15">
      <c r="B55" s="313" t="s">
        <v>2431</v>
      </c>
      <c r="C55" s="314"/>
    </row>
    <row r="56" spans="1:7">
      <c r="B56" s="316" t="s">
        <v>1513</v>
      </c>
      <c r="C56" s="318" t="e">
        <f ca="1">1-C57</f>
        <v>#N/A</v>
      </c>
    </row>
    <row r="57" spans="1:7">
      <c r="B57" s="316" t="s">
        <v>1514</v>
      </c>
      <c r="C57" s="317"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90" zoomScaleNormal="90" zoomScaleSheetLayoutView="90" workbookViewId="0">
      <selection activeCell="E24" sqref="E24"/>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4"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1589</v>
      </c>
      <c r="B1" s="781"/>
      <c r="C1" s="1836" t="s">
        <v>3376</v>
      </c>
      <c r="D1" s="1819" t="s">
        <v>70</v>
      </c>
      <c r="E1" s="1820" t="s">
        <v>1387</v>
      </c>
      <c r="F1" s="1282" t="e">
        <f ca="1">J53</f>
        <v>#N/A</v>
      </c>
      <c r="G1" s="1835"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1515</v>
      </c>
      <c r="B2" s="1843" t="e">
        <f ca="1">C40+J29+L46</f>
        <v>#N/A</v>
      </c>
      <c r="C2" s="1844" t="s">
        <v>1516</v>
      </c>
      <c r="D2" s="1844"/>
      <c r="E2" s="1845"/>
      <c r="F2" s="1846"/>
      <c r="G2" s="1847"/>
      <c r="H2" s="1839"/>
      <c r="I2" s="1839"/>
      <c r="J2" s="1839"/>
      <c r="K2" s="1840"/>
      <c r="L2" s="1839"/>
      <c r="M2" s="1839"/>
    </row>
    <row r="3" spans="1:37" ht="18" customHeight="1" thickBot="1">
      <c r="A3" s="1848" t="s">
        <v>1517</v>
      </c>
      <c r="B3" s="1849">
        <f ca="1">IF(ISERROR(B2*10000/F43),0,ROUND(B2*10000/F43,0))</f>
        <v>0</v>
      </c>
      <c r="C3" s="1844" t="s">
        <v>1518</v>
      </c>
      <c r="D3" s="1844"/>
      <c r="E3" s="1845"/>
      <c r="F3" s="1846"/>
      <c r="G3" s="1847"/>
      <c r="H3" s="743" t="s">
        <v>1588</v>
      </c>
      <c r="I3" s="1839"/>
      <c r="J3" s="1839"/>
      <c r="K3" s="1840"/>
      <c r="L3" s="1839"/>
      <c r="M3" s="1839"/>
    </row>
    <row r="4" spans="1:37" ht="18" customHeight="1">
      <c r="A4" s="339" t="s">
        <v>1396</v>
      </c>
      <c r="B4" s="340" t="s">
        <v>1397</v>
      </c>
      <c r="C4" s="340" t="s">
        <v>1398</v>
      </c>
      <c r="D4" s="340" t="s">
        <v>1399</v>
      </c>
      <c r="E4" s="341" t="s">
        <v>1400</v>
      </c>
      <c r="F4" s="342"/>
      <c r="G4" s="1850"/>
      <c r="H4" s="339" t="s">
        <v>1396</v>
      </c>
      <c r="I4" s="340" t="s">
        <v>1397</v>
      </c>
      <c r="J4" s="340" t="s">
        <v>1398</v>
      </c>
      <c r="K4" s="340" t="s">
        <v>1399</v>
      </c>
      <c r="L4" s="341" t="s">
        <v>1400</v>
      </c>
      <c r="M4" s="342"/>
    </row>
    <row r="5" spans="1:37" ht="18" customHeight="1">
      <c r="A5" s="343">
        <v>1</v>
      </c>
      <c r="B5" s="344" t="s">
        <v>1401</v>
      </c>
      <c r="C5" s="1291" t="e">
        <f ca="1">C6+C10+C12</f>
        <v>#N/A</v>
      </c>
      <c r="D5" s="1821" t="s">
        <v>1402</v>
      </c>
      <c r="E5" s="1292"/>
      <c r="F5" s="1293"/>
      <c r="G5" s="1850"/>
      <c r="H5" s="343">
        <v>1</v>
      </c>
      <c r="I5" s="344" t="s">
        <v>1401</v>
      </c>
      <c r="J5" s="1291" t="e">
        <f ca="1">J6+J10+J12</f>
        <v>#N/A</v>
      </c>
      <c r="K5" s="1821" t="s">
        <v>1402</v>
      </c>
      <c r="L5" s="1292"/>
      <c r="M5" s="1293"/>
    </row>
    <row r="6" spans="1:37" ht="18" customHeight="1">
      <c r="A6" s="1290" t="s">
        <v>1035</v>
      </c>
      <c r="B6" s="3212" t="s">
        <v>1403</v>
      </c>
      <c r="C6" s="1295" t="e">
        <f ca="1">ROUND(F6*F8*F7*(1-F9)/10000,0)</f>
        <v>#N/A</v>
      </c>
      <c r="D6" s="163" t="s">
        <v>3036</v>
      </c>
      <c r="E6" s="346" t="s">
        <v>1405</v>
      </c>
      <c r="F6" s="347" t="e">
        <f ca="1">INDIRECT("'数据-取费表'!u"&amp;$G$1)</f>
        <v>#N/A</v>
      </c>
      <c r="G6" s="1850"/>
      <c r="H6" s="1290" t="s">
        <v>1035</v>
      </c>
      <c r="I6" s="3212" t="s">
        <v>1403</v>
      </c>
      <c r="J6" s="345" t="e">
        <f ca="1">ROUND(M6*M8*M7*(1-M9)/10000,0)</f>
        <v>#N/A</v>
      </c>
      <c r="K6" s="163" t="s">
        <v>3035</v>
      </c>
      <c r="L6" s="346" t="s">
        <v>1405</v>
      </c>
      <c r="M6" s="347" t="e">
        <f ca="1">INDIRECT("'数据-取费表'!z"&amp;$G$1)</f>
        <v>#N/A</v>
      </c>
    </row>
    <row r="7" spans="1:37" ht="18" customHeight="1">
      <c r="A7" s="1294"/>
      <c r="B7" s="3213"/>
      <c r="C7" s="1296"/>
      <c r="D7" s="351"/>
      <c r="E7" s="2963" t="s">
        <v>1406</v>
      </c>
      <c r="F7" s="347" t="e">
        <f ca="1">IF(INDIRECT("'数据-取费表'!ah"&amp;$G$1)="",INDIRECT("'数据-取费表'!k"&amp;$G$1),INDIRECT("'数据-取费表'!ah"&amp;$G$1))</f>
        <v>#N/A</v>
      </c>
      <c r="G7" s="1850"/>
      <c r="H7" s="348"/>
      <c r="I7" s="3213"/>
      <c r="J7" s="350"/>
      <c r="K7" s="351"/>
      <c r="L7" s="346" t="s">
        <v>1406</v>
      </c>
      <c r="M7" s="347" t="e">
        <f ca="1">F7</f>
        <v>#N/A</v>
      </c>
    </row>
    <row r="8" spans="1:37" ht="18" customHeight="1">
      <c r="A8" s="348"/>
      <c r="B8" s="3213"/>
      <c r="C8" s="350"/>
      <c r="D8" s="351"/>
      <c r="E8" s="346" t="s">
        <v>1407</v>
      </c>
      <c r="F8" s="347" t="e">
        <f ca="1">INDIRECT("'数据-取费表'!ai"&amp;$G$1)</f>
        <v>#N/A</v>
      </c>
      <c r="G8" s="1850"/>
      <c r="H8" s="348"/>
      <c r="I8" s="3213"/>
      <c r="J8" s="350"/>
      <c r="K8" s="351"/>
      <c r="L8" s="346" t="s">
        <v>1407</v>
      </c>
      <c r="M8" s="347" t="e">
        <f ca="1">INDIRECT("'数据-取费表'!ai"&amp;$G$1)</f>
        <v>#N/A</v>
      </c>
    </row>
    <row r="9" spans="1:37" ht="18" customHeight="1">
      <c r="A9" s="348"/>
      <c r="B9" s="3214"/>
      <c r="C9" s="350"/>
      <c r="D9" s="351"/>
      <c r="E9" s="346" t="s">
        <v>1408</v>
      </c>
      <c r="F9" s="356" t="e">
        <f ca="1">INDIRECT("'数据-取费表'!w"&amp;$G$1)</f>
        <v>#N/A</v>
      </c>
      <c r="G9" s="1850"/>
      <c r="H9" s="348"/>
      <c r="I9" s="3214"/>
      <c r="J9" s="350"/>
      <c r="K9" s="351"/>
      <c r="L9" s="357" t="s">
        <v>1408</v>
      </c>
      <c r="M9" s="358" t="e">
        <f ca="1">INDIRECT("'数据-取费表'!ab"&amp;$G$1)</f>
        <v>#N/A</v>
      </c>
    </row>
    <row r="10" spans="1:37" ht="18" customHeight="1">
      <c r="A10" s="1290" t="s">
        <v>1039</v>
      </c>
      <c r="B10" s="1822" t="s">
        <v>1409</v>
      </c>
      <c r="C10" s="360" t="e">
        <f ca="1">ROUND(IF(F10="押一",C6/12*F11,IF(F10="押二",C6/12*2*F11,IF(F10="押三",C6/12*3*F11,C11*F11))),0)</f>
        <v>#N/A</v>
      </c>
      <c r="D10" s="1823" t="s">
        <v>3044</v>
      </c>
      <c r="E10" s="357" t="s">
        <v>1410</v>
      </c>
      <c r="F10" s="1365" t="s">
        <v>3106</v>
      </c>
      <c r="G10" s="1850"/>
      <c r="H10" s="1290" t="s">
        <v>1039</v>
      </c>
      <c r="I10" s="1822" t="s">
        <v>1409</v>
      </c>
      <c r="J10" s="345" t="e">
        <f ca="1">ROUND(IF(M10="押一",J6/12*M11,IF(M10="押二",J6/12*2*M11,IF(M10="押三",J6/12*3*M11,J11*M11))),0)</f>
        <v>#N/A</v>
      </c>
      <c r="K10" s="1823" t="s">
        <v>3044</v>
      </c>
      <c r="L10" s="357" t="s">
        <v>1410</v>
      </c>
      <c r="M10" s="1365" t="s">
        <v>1411</v>
      </c>
    </row>
    <row r="11" spans="1:37" ht="18" customHeight="1">
      <c r="A11" s="352"/>
      <c r="B11" s="1824" t="s">
        <v>1388</v>
      </c>
      <c r="C11" s="1177"/>
      <c r="D11" s="1825"/>
      <c r="E11" s="357" t="s">
        <v>1412</v>
      </c>
      <c r="F11" s="358">
        <f ca="1">'数据-取费表'!B39</f>
        <v>1.4999999999999999E-2</v>
      </c>
      <c r="G11" s="1850"/>
      <c r="H11" s="1298"/>
      <c r="I11" s="1824" t="s">
        <v>1388</v>
      </c>
      <c r="J11" s="1177"/>
      <c r="K11" s="747"/>
      <c r="L11" s="357" t="s">
        <v>1412</v>
      </c>
      <c r="M11" s="1055">
        <f ca="1">'数据-取费表'!B39</f>
        <v>1.4999999999999999E-2</v>
      </c>
    </row>
    <row r="12" spans="1:37" ht="18" customHeight="1" thickBot="1">
      <c r="A12" s="1332" t="s">
        <v>1075</v>
      </c>
      <c r="B12" s="1826" t="s">
        <v>1413</v>
      </c>
      <c r="C12" s="1333"/>
      <c r="D12" s="1334"/>
      <c r="E12" s="1339"/>
      <c r="F12" s="1335"/>
      <c r="G12" s="1850"/>
      <c r="H12" s="1332" t="s">
        <v>1075</v>
      </c>
      <c r="I12" s="1826" t="s">
        <v>1413</v>
      </c>
      <c r="J12" s="1333"/>
      <c r="K12" s="1347"/>
      <c r="L12" s="1339"/>
      <c r="M12" s="1348"/>
    </row>
    <row r="13" spans="1:37" ht="18" customHeight="1" thickTop="1">
      <c r="A13" s="1328">
        <v>2</v>
      </c>
      <c r="B13" s="1329" t="s">
        <v>1414</v>
      </c>
      <c r="C13" s="354" t="e">
        <f ca="1">ROUND(C29*F13,0)</f>
        <v>#N/A</v>
      </c>
      <c r="D13" s="1330" t="s">
        <v>1415</v>
      </c>
      <c r="E13" s="1330" t="s">
        <v>1416</v>
      </c>
      <c r="F13" s="1331" t="e">
        <f ca="1">INDIRECT("'数据-取费表'!y"&amp;$G$1)</f>
        <v>#N/A</v>
      </c>
      <c r="G13" s="1850"/>
      <c r="H13" s="1328">
        <v>2</v>
      </c>
      <c r="I13" s="1329" t="s">
        <v>1414</v>
      </c>
      <c r="J13" s="1289" t="e">
        <f ca="1">ROUND(J14*J15,0)</f>
        <v>#N/A</v>
      </c>
      <c r="K13" s="1336" t="s">
        <v>1415</v>
      </c>
      <c r="L13" s="1851"/>
      <c r="M13" s="1852"/>
    </row>
    <row r="14" spans="1:37" ht="18" customHeight="1">
      <c r="A14" s="1200" t="s">
        <v>1034</v>
      </c>
      <c r="B14" s="346" t="s">
        <v>1417</v>
      </c>
      <c r="C14" s="362" t="e">
        <f ca="1">INDIRECT("'数据-取费表'!m"&amp;$G$1)+INDIRECT("'数据-取费表'!t"&amp;$G$1)</f>
        <v>#N/A</v>
      </c>
      <c r="D14" s="2950" t="s">
        <v>1418</v>
      </c>
      <c r="E14" s="2945"/>
      <c r="F14" s="363"/>
      <c r="G14" s="1850"/>
      <c r="H14" s="1200" t="s">
        <v>1035</v>
      </c>
      <c r="I14" s="346" t="s">
        <v>1419</v>
      </c>
      <c r="J14" s="24" t="e">
        <f ca="1">C29</f>
        <v>#N/A</v>
      </c>
      <c r="K14" s="2962"/>
      <c r="L14" s="978"/>
      <c r="M14" s="979"/>
    </row>
    <row r="15" spans="1:37" s="1857" customFormat="1" ht="18" customHeight="1" thickBot="1">
      <c r="A15" s="1200" t="s">
        <v>1036</v>
      </c>
      <c r="B15" s="346" t="s">
        <v>1420</v>
      </c>
      <c r="C15" s="24" t="e">
        <f ca="1">ROUND(C14*F15,0)</f>
        <v>#N/A</v>
      </c>
      <c r="D15" s="364" t="s">
        <v>1421</v>
      </c>
      <c r="E15" s="364" t="s">
        <v>1422</v>
      </c>
      <c r="F15" s="365">
        <f>'数据-取费表'!B33</f>
        <v>0.03</v>
      </c>
      <c r="G15" s="1853"/>
      <c r="H15" s="1338" t="s">
        <v>1039</v>
      </c>
      <c r="I15" s="1339" t="s">
        <v>1416</v>
      </c>
      <c r="J15" s="1348" t="e">
        <f ca="1">INDIRECT("'数据-取费表'!ad"&amp;$G$1)</f>
        <v>#N/A</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6" t="s">
        <v>1423</v>
      </c>
      <c r="C16" s="24" t="e">
        <f ca="1">ROUND(INDIRECT("'数据-取费表'!m"&amp;$G$1)*F16,0)</f>
        <v>#N/A</v>
      </c>
      <c r="D16" s="346" t="s">
        <v>1421</v>
      </c>
      <c r="E16" s="346" t="s">
        <v>1422</v>
      </c>
      <c r="F16" s="366" t="e">
        <f ca="1">IF(INDIRECT("'数据-取费表'!c"&amp;$G$1)="住宅",'数据-取费表'!B34,0)</f>
        <v>#N/A</v>
      </c>
      <c r="G16" s="1850"/>
      <c r="H16" s="1328" t="s">
        <v>1030</v>
      </c>
      <c r="I16" s="1329" t="s">
        <v>1424</v>
      </c>
      <c r="J16" s="354" t="e">
        <f ca="1">ROUND(J17+J22+J23+J24,0)</f>
        <v>#N/A</v>
      </c>
      <c r="K16" s="1336" t="s">
        <v>1425</v>
      </c>
      <c r="L16" s="2952"/>
      <c r="M16" s="1293"/>
    </row>
    <row r="17" spans="1:37" s="1857" customFormat="1" ht="18" customHeight="1">
      <c r="A17" s="1200" t="s">
        <v>1390</v>
      </c>
      <c r="B17" s="346" t="s">
        <v>1426</v>
      </c>
      <c r="C17" s="24" t="e">
        <f ca="1">ROUND(F17*(F43+INDIRECT("'数据-取费表'!S"&amp;$G$1))/10000,0)</f>
        <v>#N/A</v>
      </c>
      <c r="D17" s="346" t="s">
        <v>1427</v>
      </c>
      <c r="E17" s="346" t="s">
        <v>1428</v>
      </c>
      <c r="F17" s="26">
        <f>'数据-取费表'!B35</f>
        <v>200</v>
      </c>
      <c r="G17" s="1853"/>
      <c r="H17" s="1200" t="s">
        <v>1035</v>
      </c>
      <c r="I17" s="346" t="s">
        <v>1429</v>
      </c>
      <c r="J17" s="24" t="e">
        <f ca="1">ROUND(IF(项目基本情况!B11="自然人",J5*M17,J18+J19+J20),1)</f>
        <v>#N/A</v>
      </c>
      <c r="K17" s="2950" t="s">
        <v>1430</v>
      </c>
      <c r="L17" s="2948" t="s">
        <v>1431</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6" t="s">
        <v>1432</v>
      </c>
      <c r="C18" s="24" t="e">
        <f ca="1">ROUND(C14*F18,0)</f>
        <v>#N/A</v>
      </c>
      <c r="D18" s="346" t="s">
        <v>1421</v>
      </c>
      <c r="E18" s="346" t="s">
        <v>1422</v>
      </c>
      <c r="F18" s="366">
        <f>'数据-取费表'!B36</f>
        <v>1.4999999999999999E-2</v>
      </c>
      <c r="G18" s="1853"/>
      <c r="H18" s="1200" t="s">
        <v>1034</v>
      </c>
      <c r="I18" s="346" t="s">
        <v>1433</v>
      </c>
      <c r="J18" s="24" t="e">
        <f ca="1">ROUND(J5*M18/(1+'数据-取费表'!C42),2)</f>
        <v>#N/A</v>
      </c>
      <c r="K18" s="2948" t="s">
        <v>1434</v>
      </c>
      <c r="L18" s="346" t="s">
        <v>1422</v>
      </c>
      <c r="M18" s="366">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6" t="s">
        <v>1435</v>
      </c>
      <c r="C19" s="24" t="e">
        <f ca="1">SUM(C14:C18)</f>
        <v>#N/A</v>
      </c>
      <c r="D19" s="139" t="s">
        <v>1436</v>
      </c>
      <c r="E19" s="2960"/>
      <c r="F19" s="26"/>
      <c r="G19" s="1850"/>
      <c r="H19" s="1200" t="s">
        <v>1036</v>
      </c>
      <c r="I19" s="346" t="s">
        <v>1437</v>
      </c>
      <c r="J19" s="24" t="e">
        <f ca="1">IF(K19="按租金收入计税",ROUND(J5*M19,2),ROUND(C29*M19*0.7,2))</f>
        <v>#N/A</v>
      </c>
      <c r="K19" s="1827" t="s">
        <v>1438</v>
      </c>
      <c r="L19" s="346" t="s">
        <v>1422</v>
      </c>
      <c r="M19" s="366">
        <f>IF(K19="按租金收入计税",'数据-取费表'!B51,'数据-取费表'!B50)</f>
        <v>1.2E-2</v>
      </c>
    </row>
    <row r="20" spans="1:37" s="1857" customFormat="1" ht="18" customHeight="1">
      <c r="A20" s="1200" t="s">
        <v>1039</v>
      </c>
      <c r="B20" s="346" t="s">
        <v>1439</v>
      </c>
      <c r="C20" s="24" t="e">
        <f ca="1">ROUND(C19*F20,0)</f>
        <v>#N/A</v>
      </c>
      <c r="D20" s="368" t="s">
        <v>1440</v>
      </c>
      <c r="E20" s="346" t="s">
        <v>1422</v>
      </c>
      <c r="F20" s="366">
        <f>'数据-取费表'!B37</f>
        <v>0.03</v>
      </c>
      <c r="G20" s="1853"/>
      <c r="H20" s="1200" t="s">
        <v>1389</v>
      </c>
      <c r="I20" s="163" t="s">
        <v>1441</v>
      </c>
      <c r="J20" s="25" t="e">
        <f ca="1">ROUND(M20*M21/10000,2)</f>
        <v>#N/A</v>
      </c>
      <c r="K20" s="369" t="s">
        <v>1442</v>
      </c>
      <c r="L20" s="346" t="s">
        <v>1443</v>
      </c>
      <c r="M20" s="370">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6" t="s">
        <v>1444</v>
      </c>
      <c r="C21" s="24" t="s">
        <v>18</v>
      </c>
      <c r="D21" s="368" t="s">
        <v>1445</v>
      </c>
      <c r="E21" s="346" t="s">
        <v>1446</v>
      </c>
      <c r="F21" s="366">
        <f>'数据-取费表'!B38</f>
        <v>0.03</v>
      </c>
      <c r="G21" s="1853"/>
      <c r="H21" s="371"/>
      <c r="I21" s="355"/>
      <c r="J21" s="29"/>
      <c r="K21" s="372"/>
      <c r="L21" s="346" t="s">
        <v>1447</v>
      </c>
      <c r="M21" s="347" t="e">
        <f ca="1">INDIRECT("'数据-取费表'!r"&amp;$G$1)</f>
        <v>#N/A</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6" t="s">
        <v>1448</v>
      </c>
      <c r="C22" s="24"/>
      <c r="D22" s="139" t="str">
        <f>IF(F23&lt;=1,"单利计息。","复利计息。")&amp;"建造成本、管理费用、销售费用产生的利息。"</f>
        <v>复利计息。建造成本、管理费用、销售费用产生的利息。</v>
      </c>
      <c r="E22" s="2960"/>
      <c r="F22" s="26"/>
      <c r="G22" s="1850"/>
      <c r="H22" s="1200" t="s">
        <v>1039</v>
      </c>
      <c r="I22" s="346" t="s">
        <v>1449</v>
      </c>
      <c r="J22" s="24" t="e">
        <f ca="1">ROUND(J14*M22,1)</f>
        <v>#N/A</v>
      </c>
      <c r="K22" s="2948" t="s">
        <v>1450</v>
      </c>
      <c r="L22" s="346" t="s">
        <v>1422</v>
      </c>
      <c r="M22" s="373" t="e">
        <f ca="1">INDIRECT("'数据-取费表'!Ak"&amp;$G$1)</f>
        <v>#N/A</v>
      </c>
    </row>
    <row r="23" spans="1:37" s="1857" customFormat="1" ht="18" customHeight="1">
      <c r="A23" s="1200" t="s">
        <v>1034</v>
      </c>
      <c r="B23" s="346" t="s">
        <v>1451</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1452</v>
      </c>
      <c r="F23" s="370">
        <f>'数据-取费表'!B20</f>
        <v>2</v>
      </c>
      <c r="G23" s="1853"/>
      <c r="H23" s="1200" t="s">
        <v>1075</v>
      </c>
      <c r="I23" s="346" t="s">
        <v>1453</v>
      </c>
      <c r="J23" s="24" t="e">
        <f ca="1">ROUND(J13*M23,1)</f>
        <v>#N/A</v>
      </c>
      <c r="K23" s="2948" t="s">
        <v>1454</v>
      </c>
      <c r="L23" s="346" t="s">
        <v>1422</v>
      </c>
      <c r="M23" s="375" t="e">
        <f ca="1">INDIRECT("'数据-取费表'!Al"&amp;$G$1)</f>
        <v>#N/A</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1456</v>
      </c>
      <c r="B24" s="346" t="s">
        <v>1457</v>
      </c>
      <c r="C24" s="24">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3"/>
      <c r="H24" s="1338" t="s">
        <v>1392</v>
      </c>
      <c r="I24" s="1339" t="s">
        <v>1439</v>
      </c>
      <c r="J24" s="1340" t="e">
        <f ca="1">ROUND(J5*M24,1)</f>
        <v>#N/A</v>
      </c>
      <c r="K24" s="1341" t="s">
        <v>1459</v>
      </c>
      <c r="L24" s="1339" t="s">
        <v>1422</v>
      </c>
      <c r="M24" s="1335" t="e">
        <f ca="1">INDIRECT("'数据-取费表'!Am"&amp;$G$1)</f>
        <v>#N/A</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1460</v>
      </c>
      <c r="B25" s="346" t="s">
        <v>1461</v>
      </c>
      <c r="C25" s="24"/>
      <c r="D25" s="139" t="s">
        <v>1462</v>
      </c>
      <c r="E25" s="2960"/>
      <c r="F25" s="26"/>
      <c r="G25" s="1850"/>
      <c r="H25" s="1328" t="s">
        <v>1031</v>
      </c>
      <c r="I25" s="1343" t="s">
        <v>1463</v>
      </c>
      <c r="J25" s="354" t="e">
        <f ca="1">J5-J16</f>
        <v>#N/A</v>
      </c>
      <c r="K25" s="1344" t="s">
        <v>1464</v>
      </c>
      <c r="L25" s="1345"/>
      <c r="M25" s="1346"/>
    </row>
    <row r="26" spans="1:37">
      <c r="A26" s="1200" t="s">
        <v>1034</v>
      </c>
      <c r="B26" s="346" t="s">
        <v>1465</v>
      </c>
      <c r="C26" s="24" t="e">
        <f ca="1">ROUND((C19+C20)*F26,0)</f>
        <v>#N/A</v>
      </c>
      <c r="D26" s="368" t="s">
        <v>1466</v>
      </c>
      <c r="E26" s="357" t="s">
        <v>1467</v>
      </c>
      <c r="F26" s="356" t="e">
        <f ca="1">INDIRECT("'数据-取费表'!q"&amp;$G$1)</f>
        <v>#N/A</v>
      </c>
      <c r="G26" s="1850"/>
      <c r="H26" s="343" t="s">
        <v>1032</v>
      </c>
      <c r="I26" s="344" t="s">
        <v>1468</v>
      </c>
      <c r="J26" s="345" t="e">
        <f ca="1">IF(J5&lt;&gt;0,ROUND(J25*(1-((1+M28)/(1+M26))^M27)/(M26-M28),0),0)</f>
        <v>#N/A</v>
      </c>
      <c r="K26" s="369" t="s">
        <v>1469</v>
      </c>
      <c r="L26" s="346" t="s">
        <v>1470</v>
      </c>
      <c r="M26" s="356" t="e">
        <f ca="1">INDIRECT("'数据-取费表'!I"&amp;$G$1)</f>
        <v>#N/A</v>
      </c>
    </row>
    <row r="27" spans="1:37" ht="18" customHeight="1">
      <c r="A27" s="1200" t="s">
        <v>1036</v>
      </c>
      <c r="B27" s="346" t="s">
        <v>1471</v>
      </c>
      <c r="C27" s="24" t="e">
        <f ca="1">ROUND(F21*F26,4)</f>
        <v>#N/A</v>
      </c>
      <c r="D27" s="368" t="s">
        <v>1472</v>
      </c>
      <c r="E27" s="364"/>
      <c r="F27" s="365"/>
      <c r="G27" s="1850"/>
      <c r="H27" s="348"/>
      <c r="I27" s="349"/>
      <c r="J27" s="350"/>
      <c r="K27" s="377" t="s">
        <v>1473</v>
      </c>
      <c r="L27" s="346" t="s">
        <v>1474</v>
      </c>
      <c r="M27" s="378" t="e">
        <f ca="1">INDIRECT("'数据-取费表'!ag"&amp;$G$1)</f>
        <v>#N/A</v>
      </c>
    </row>
    <row r="28" spans="1:37" s="1857" customFormat="1" ht="18" customHeight="1">
      <c r="A28" s="1200" t="s">
        <v>1037</v>
      </c>
      <c r="B28" s="346" t="s">
        <v>1475</v>
      </c>
      <c r="C28" s="24">
        <f>ROUND(F28/(1+'数据-取费表'!C42),4)</f>
        <v>5.2400000000000002E-2</v>
      </c>
      <c r="D28" s="368" t="s">
        <v>1476</v>
      </c>
      <c r="E28" s="346" t="s">
        <v>1422</v>
      </c>
      <c r="F28" s="366">
        <f>'数据-取费表'!B41</f>
        <v>5.5000000000000007E-2</v>
      </c>
      <c r="G28" s="1853"/>
      <c r="H28" s="352"/>
      <c r="I28" s="353"/>
      <c r="J28" s="354"/>
      <c r="K28" s="372"/>
      <c r="L28" s="346" t="s">
        <v>1477</v>
      </c>
      <c r="M28" s="356" t="e">
        <f ca="1">INDIRECT("'数据-取费表'!aa"&amp;$G$1)</f>
        <v>#N/A</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1478</v>
      </c>
      <c r="C29" s="1340" t="e">
        <f ca="1">ROUND((C19+C20+C23+C26)/(1-F21-C24-C27-C28),0)</f>
        <v>#N/A</v>
      </c>
      <c r="D29" s="1341"/>
      <c r="E29" s="1339"/>
      <c r="F29" s="1342"/>
      <c r="G29" s="1853"/>
      <c r="H29" s="379" t="s">
        <v>1033</v>
      </c>
      <c r="I29" s="380" t="s">
        <v>1479</v>
      </c>
      <c r="J29" s="381" t="e">
        <f ca="1">ROUND(J26/(1+F40)^F41,0)</f>
        <v>#N/A</v>
      </c>
      <c r="K29" s="382" t="s">
        <v>1480</v>
      </c>
      <c r="L29" s="383"/>
      <c r="M29" s="384" t="e">
        <f ca="1">INDIRECT("'数据-取费表'!k"&amp;$G$1)</f>
        <v>#N/A</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1424</v>
      </c>
      <c r="C30" s="354" t="e">
        <f ca="1">ROUND(C31+C36+C37+C38,0)</f>
        <v>#N/A</v>
      </c>
      <c r="D30" s="1336" t="s">
        <v>1425</v>
      </c>
      <c r="E30" s="2952"/>
      <c r="F30" s="1293"/>
      <c r="G30" s="1850"/>
      <c r="H30" s="744"/>
      <c r="I30" s="745"/>
      <c r="J30" s="746"/>
      <c r="K30" s="747"/>
      <c r="L30" s="748"/>
      <c r="M30" s="749"/>
    </row>
    <row r="31" spans="1:37" ht="18" customHeight="1">
      <c r="A31" s="1200" t="s">
        <v>1035</v>
      </c>
      <c r="B31" s="346" t="s">
        <v>1429</v>
      </c>
      <c r="C31" s="24" t="e">
        <f ca="1">ROUND(IF(项目基本情况!B11="自然人",C5*F31,C32+C33+C34),1)</f>
        <v>#N/A</v>
      </c>
      <c r="D31" s="2950" t="s">
        <v>1430</v>
      </c>
      <c r="E31" s="2948" t="s">
        <v>1481</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1034</v>
      </c>
      <c r="B32" s="346" t="s">
        <v>1433</v>
      </c>
      <c r="C32" s="24" t="e">
        <f ca="1">IF(项目基本情况!B11="自然人","——",ROUND(C5*F32/(1+'数据-取费表'!C42),2))</f>
        <v>#N/A</v>
      </c>
      <c r="D32" s="2948" t="s">
        <v>1434</v>
      </c>
      <c r="E32" s="346" t="s">
        <v>1422</v>
      </c>
      <c r="F32" s="376">
        <f>'数据-取费表'!B41</f>
        <v>5.5000000000000007E-2</v>
      </c>
      <c r="G32" s="1850"/>
      <c r="H32" s="744"/>
      <c r="I32" s="745"/>
      <c r="J32" s="746"/>
      <c r="K32" s="747"/>
      <c r="L32" s="748"/>
      <c r="M32" s="749"/>
    </row>
    <row r="33" spans="1:18" ht="18" customHeight="1">
      <c r="A33" s="1200" t="s">
        <v>1036</v>
      </c>
      <c r="B33" s="346" t="s">
        <v>1437</v>
      </c>
      <c r="C33" s="24" t="e">
        <f ca="1">IF(项目基本情况!B11="自然人","——",IF(D33="按租金收入计税",ROUND(C5*F33,2),IF(D33="按房产原值计税",ROUND(C29*F33*0.7,2),INDIRECT("'数据-取费表'!Aj"&amp;$G$1))))</f>
        <v>#N/A</v>
      </c>
      <c r="D33" s="1827" t="s">
        <v>3109</v>
      </c>
      <c r="E33" s="346" t="s">
        <v>1422</v>
      </c>
      <c r="F33" s="366">
        <f>IF(D33="按票据","——",IF(D33="按租金收入计税",'数据-取费表'!B51,'数据-取费表'!B50))</f>
        <v>0.12</v>
      </c>
      <c r="G33" s="1850"/>
      <c r="H33" s="1858"/>
      <c r="I33" s="1859"/>
      <c r="J33" s="1860"/>
      <c r="K33" s="1861"/>
      <c r="L33" s="1858"/>
      <c r="M33" s="1858"/>
    </row>
    <row r="34" spans="1:18" ht="18" customHeight="1">
      <c r="A34" s="1290" t="s">
        <v>1389</v>
      </c>
      <c r="B34" s="163" t="s">
        <v>1441</v>
      </c>
      <c r="C34" s="25" t="e">
        <f ca="1">IF(项目基本情况!B11="自然人","——",ROUND(F34*F35/10000,2))</f>
        <v>#N/A</v>
      </c>
      <c r="D34" s="369" t="s">
        <v>1442</v>
      </c>
      <c r="E34" s="346" t="s">
        <v>1443</v>
      </c>
      <c r="F34" s="370">
        <f>'数据-取费表'!B52</f>
        <v>1.5</v>
      </c>
      <c r="G34" s="1850"/>
      <c r="H34" s="744"/>
      <c r="I34" s="1859"/>
      <c r="J34" s="1860"/>
      <c r="K34" s="1862"/>
      <c r="L34" s="1863"/>
      <c r="M34" s="1863"/>
    </row>
    <row r="35" spans="1:18" ht="18" customHeight="1">
      <c r="A35" s="1352"/>
      <c r="B35" s="1350"/>
      <c r="C35" s="29"/>
      <c r="D35" s="372"/>
      <c r="E35" s="346" t="s">
        <v>1447</v>
      </c>
      <c r="F35" s="347" t="e">
        <f ca="1">INDIRECT("'数据-取费表'!r"&amp;$G$1)</f>
        <v>#N/A</v>
      </c>
      <c r="G35" s="1850"/>
      <c r="H35" s="744"/>
      <c r="I35" s="1859"/>
      <c r="J35" s="1860"/>
      <c r="K35" s="1861"/>
      <c r="L35" s="1858"/>
      <c r="M35" s="1858"/>
    </row>
    <row r="36" spans="1:18" ht="18" customHeight="1">
      <c r="A36" s="1351" t="s">
        <v>1039</v>
      </c>
      <c r="B36" s="346" t="s">
        <v>1449</v>
      </c>
      <c r="C36" s="24" t="e">
        <f ca="1">ROUND(C29*F36,1)</f>
        <v>#N/A</v>
      </c>
      <c r="D36" s="2948" t="s">
        <v>1482</v>
      </c>
      <c r="E36" s="346" t="s">
        <v>1422</v>
      </c>
      <c r="F36" s="373" t="e">
        <f ca="1">INDIRECT("'数据-取费表'!Ak"&amp;$G$1)</f>
        <v>#N/A</v>
      </c>
      <c r="G36" s="1850"/>
      <c r="H36" s="1858"/>
      <c r="I36" s="1859"/>
      <c r="J36" s="1860"/>
      <c r="K36" s="750"/>
      <c r="L36" s="1858"/>
      <c r="M36" s="1858"/>
    </row>
    <row r="37" spans="1:18" ht="18" customHeight="1">
      <c r="A37" s="1200" t="s">
        <v>1075</v>
      </c>
      <c r="B37" s="346" t="s">
        <v>1453</v>
      </c>
      <c r="C37" s="24" t="e">
        <f ca="1">ROUND(C13*F37,1)</f>
        <v>#N/A</v>
      </c>
      <c r="D37" s="2948" t="s">
        <v>1454</v>
      </c>
      <c r="E37" s="346" t="s">
        <v>1422</v>
      </c>
      <c r="F37" s="375" t="e">
        <f ca="1">INDIRECT("'数据-取费表'!Al"&amp;$G$1)</f>
        <v>#N/A</v>
      </c>
      <c r="G37" s="1850"/>
      <c r="H37" s="1858"/>
      <c r="I37" s="1859"/>
      <c r="J37" s="1860"/>
      <c r="K37" s="750"/>
      <c r="L37" s="1858"/>
      <c r="M37" s="1858"/>
    </row>
    <row r="38" spans="1:18" ht="18" customHeight="1" thickBot="1">
      <c r="A38" s="1338" t="s">
        <v>1392</v>
      </c>
      <c r="B38" s="1339" t="s">
        <v>1439</v>
      </c>
      <c r="C38" s="1340" t="e">
        <f ca="1">ROUND(C5*F38,1)</f>
        <v>#N/A</v>
      </c>
      <c r="D38" s="1341" t="s">
        <v>1459</v>
      </c>
      <c r="E38" s="1339" t="s">
        <v>1422</v>
      </c>
      <c r="F38" s="1335" t="e">
        <f ca="1">INDIRECT("'数据-取费表'!Am"&amp;$G$1)</f>
        <v>#N/A</v>
      </c>
      <c r="G38" s="1850"/>
      <c r="H38" s="1858"/>
      <c r="I38" s="1859"/>
      <c r="J38" s="1860"/>
      <c r="K38" s="1864"/>
      <c r="L38" s="1858"/>
      <c r="M38" s="1858"/>
    </row>
    <row r="39" spans="1:18" ht="24.6" customHeight="1" thickTop="1">
      <c r="A39" s="1328" t="s">
        <v>1031</v>
      </c>
      <c r="B39" s="1343" t="s">
        <v>1463</v>
      </c>
      <c r="C39" s="354" t="e">
        <f ca="1">C5-C30</f>
        <v>#N/A</v>
      </c>
      <c r="D39" s="1344" t="s">
        <v>1464</v>
      </c>
      <c r="E39" s="1345"/>
      <c r="F39" s="1346"/>
      <c r="G39" s="1850"/>
      <c r="H39" s="1858"/>
      <c r="I39" s="1859"/>
      <c r="J39" s="1860"/>
      <c r="K39" s="1864"/>
      <c r="L39" s="1858"/>
      <c r="M39" s="1858"/>
    </row>
    <row r="40" spans="1:18" ht="18" customHeight="1">
      <c r="A40" s="343" t="s">
        <v>1032</v>
      </c>
      <c r="B40" s="344" t="s">
        <v>1485</v>
      </c>
      <c r="C40" s="345" t="e">
        <f ca="1">ROUND(C39*(1-((1+F42)/(1+F40))^F41)/(F40-F42),0)</f>
        <v>#N/A</v>
      </c>
      <c r="D40" s="369" t="s">
        <v>1469</v>
      </c>
      <c r="E40" s="346" t="s">
        <v>1470</v>
      </c>
      <c r="F40" s="356" t="e">
        <f ca="1">INDIRECT("'数据-取费表'!I"&amp;$G$1)</f>
        <v>#N/A</v>
      </c>
      <c r="G40" s="1850"/>
      <c r="H40" s="1838"/>
      <c r="I40" s="1859"/>
      <c r="J40" s="1860"/>
      <c r="K40" s="1864"/>
      <c r="L40" s="1838"/>
      <c r="M40" s="1838"/>
    </row>
    <row r="41" spans="1:18" ht="18" customHeight="1">
      <c r="A41" s="348"/>
      <c r="B41" s="349"/>
      <c r="C41" s="350"/>
      <c r="D41" s="377" t="s">
        <v>1486</v>
      </c>
      <c r="E41" s="346" t="s">
        <v>1474</v>
      </c>
      <c r="F41" s="378" t="e">
        <f ca="1">IF(INDIRECT("'数据-取费表'!af"&amp;$G$1)=0,INDIRECT("'数据-取费表'!ae"&amp;$G$1),INDIRECT("'数据-取费表'!af"&amp;$G$1))</f>
        <v>#N/A</v>
      </c>
      <c r="G41" s="1850"/>
      <c r="H41" s="731"/>
      <c r="I41" s="1859"/>
      <c r="J41" s="1860"/>
      <c r="K41" s="750"/>
      <c r="L41" s="731"/>
      <c r="M41" s="731"/>
    </row>
    <row r="42" spans="1:18" ht="18" customHeight="1">
      <c r="A42" s="352"/>
      <c r="B42" s="353"/>
      <c r="C42" s="354"/>
      <c r="D42" s="372"/>
      <c r="E42" s="346" t="s">
        <v>1477</v>
      </c>
      <c r="F42" s="356" t="e">
        <f ca="1">INDIRECT("'数据-取费表'!v"&amp;$G$1)</f>
        <v>#N/A</v>
      </c>
      <c r="G42" s="1850"/>
      <c r="H42" s="731"/>
      <c r="I42" s="1859"/>
      <c r="J42" s="1860"/>
      <c r="K42" s="750"/>
      <c r="L42" s="731"/>
      <c r="M42" s="731"/>
    </row>
    <row r="43" spans="1:18" ht="18" customHeight="1" thickBot="1">
      <c r="A43" s="379" t="s">
        <v>1033</v>
      </c>
      <c r="B43" s="380" t="s">
        <v>1487</v>
      </c>
      <c r="C43" s="381" t="e">
        <f ca="1">ROUND(C40*10000/F43,0)</f>
        <v>#N/A</v>
      </c>
      <c r="D43" s="382" t="s">
        <v>1488</v>
      </c>
      <c r="E43" s="383" t="s">
        <v>1489</v>
      </c>
      <c r="F43" s="384" t="e">
        <f ca="1">INDIRECT("'数据-取费表'!k"&amp;$G$1)</f>
        <v>#N/A</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1519</v>
      </c>
      <c r="P45" s="1838"/>
      <c r="Q45" s="1838"/>
      <c r="R45" s="1838"/>
    </row>
    <row r="46" spans="1:18" s="1841" customFormat="1" ht="13.5" thickBot="1">
      <c r="A46" s="1869" t="s">
        <v>1520</v>
      </c>
      <c r="C46" s="1870" t="e">
        <f ca="1">C68-C40</f>
        <v>#N/A</v>
      </c>
      <c r="D46" s="1871" t="str">
        <f>C2</f>
        <v>万元</v>
      </c>
      <c r="E46" s="1865"/>
      <c r="F46" s="1865"/>
      <c r="I46" s="1872" t="s">
        <v>1521</v>
      </c>
      <c r="J46" s="1873"/>
      <c r="K46" s="1874"/>
      <c r="L46" s="1875" t="e">
        <f ca="1">IF(M47="住宅",0,IF(L48&gt;J51,L60,J60))</f>
        <v>#N/A</v>
      </c>
      <c r="O46" s="1876" t="s">
        <v>1522</v>
      </c>
      <c r="P46" s="1877" t="s">
        <v>1523</v>
      </c>
      <c r="Q46" s="1878" t="s">
        <v>1524</v>
      </c>
      <c r="R46" s="1878" t="s">
        <v>1525</v>
      </c>
    </row>
    <row r="47" spans="1:18" s="1841" customFormat="1" ht="13.5" thickBot="1">
      <c r="A47" s="1164" t="s">
        <v>1396</v>
      </c>
      <c r="B47" s="1196" t="s">
        <v>1397</v>
      </c>
      <c r="C47" s="1366" t="s">
        <v>1398</v>
      </c>
      <c r="D47" s="1196" t="s">
        <v>1399</v>
      </c>
      <c r="E47" s="1278" t="s">
        <v>1400</v>
      </c>
      <c r="F47" s="1279"/>
      <c r="G47" s="791"/>
      <c r="I47" s="1879" t="s">
        <v>1526</v>
      </c>
      <c r="J47" s="1880" t="s">
        <v>3107</v>
      </c>
      <c r="K47" s="1881" t="s">
        <v>1527</v>
      </c>
      <c r="L47" s="1882" t="e">
        <f ca="1">INDIRECT("'数据-取费表'!d"&amp;$G$1)</f>
        <v>#N/A</v>
      </c>
      <c r="M47" s="1837" t="str">
        <f>IF(ISNUMBER(FIND("住宅",C1)),"住宅","非住宅")</f>
        <v>非住宅</v>
      </c>
      <c r="O47" s="1883" t="s">
        <v>1040</v>
      </c>
      <c r="P47" s="1884" t="s">
        <v>1528</v>
      </c>
      <c r="Q47" s="1885" t="e">
        <f ca="1">C40+J29</f>
        <v>#N/A</v>
      </c>
      <c r="R47" s="1885" t="s">
        <v>1529</v>
      </c>
    </row>
    <row r="48" spans="1:18" s="1841" customFormat="1" ht="28.5" thickBot="1">
      <c r="A48" s="1359" t="s">
        <v>1135</v>
      </c>
      <c r="B48" s="344" t="s">
        <v>1401</v>
      </c>
      <c r="C48" s="2959" t="e">
        <f ca="1">C49+C53+C55</f>
        <v>#N/A</v>
      </c>
      <c r="D48" s="1361"/>
      <c r="E48" s="1362"/>
      <c r="F48" s="1180"/>
      <c r="G48" s="791"/>
      <c r="H48" s="792"/>
      <c r="I48" s="1886" t="s">
        <v>1530</v>
      </c>
      <c r="J48" s="1887" t="s">
        <v>3108</v>
      </c>
      <c r="K48" s="1888" t="s">
        <v>1531</v>
      </c>
      <c r="L48" s="1889" t="e">
        <f ca="1">INDIRECT("'数据-取费表'!f"&amp;$G$1)</f>
        <v>#N/A</v>
      </c>
      <c r="O48" s="1883" t="s">
        <v>1041</v>
      </c>
      <c r="P48" s="1884" t="s">
        <v>1532</v>
      </c>
      <c r="Q48" s="1885" t="e">
        <f ca="1">J60</f>
        <v>#N/A</v>
      </c>
      <c r="R48" s="1885" t="s">
        <v>1533</v>
      </c>
    </row>
    <row r="49" spans="1:18" s="1841" customFormat="1" ht="13.5" thickBot="1">
      <c r="A49" s="1193" t="s">
        <v>1136</v>
      </c>
      <c r="B49" s="1828" t="s">
        <v>1490</v>
      </c>
      <c r="C49" s="1363" t="e">
        <f ca="1">ROUND(F49*F51*F50*(1-F52)/10000,0)</f>
        <v>#N/A</v>
      </c>
      <c r="D49" s="1275" t="s">
        <v>3035</v>
      </c>
      <c r="E49" s="1829" t="s">
        <v>1491</v>
      </c>
      <c r="F49" s="1280"/>
      <c r="G49" s="1890"/>
      <c r="H49" s="792"/>
      <c r="I49" s="1886" t="s">
        <v>1534</v>
      </c>
      <c r="J49" s="1891">
        <v>2018</v>
      </c>
      <c r="K49" s="1888" t="s">
        <v>1535</v>
      </c>
      <c r="L49" s="1892"/>
      <c r="O49" s="1893" t="s">
        <v>1042</v>
      </c>
      <c r="P49" s="1884" t="s">
        <v>1536</v>
      </c>
      <c r="Q49" s="1885" t="e">
        <f ca="1">C29</f>
        <v>#N/A</v>
      </c>
      <c r="R49" s="1885" t="s">
        <v>1529</v>
      </c>
    </row>
    <row r="50" spans="1:18" s="1841" customFormat="1" ht="13.5" thickBot="1">
      <c r="A50" s="1194"/>
      <c r="B50" s="1197"/>
      <c r="C50" s="1367"/>
      <c r="D50" s="1171"/>
      <c r="E50" s="1276" t="s">
        <v>1406</v>
      </c>
      <c r="F50" s="1277" t="e">
        <f ca="1">F7</f>
        <v>#N/A</v>
      </c>
      <c r="H50" s="792"/>
      <c r="I50" s="1886" t="s">
        <v>1537</v>
      </c>
      <c r="J50" s="1894">
        <f>SUMPRODUCT((I63:I65=J47)*(J62:L62=J48)*(J63:L65))</f>
        <v>60</v>
      </c>
      <c r="K50" s="1888" t="s">
        <v>1538</v>
      </c>
      <c r="L50" s="1892"/>
      <c r="M50" s="1895"/>
      <c r="O50" s="1893" t="s">
        <v>1043</v>
      </c>
      <c r="P50" s="1884" t="s">
        <v>1539</v>
      </c>
      <c r="Q50" s="1896" t="e">
        <f ca="1">J58</f>
        <v>#N/A</v>
      </c>
      <c r="R50" s="1885"/>
    </row>
    <row r="51" spans="1:18" s="1841" customFormat="1" ht="13.5" thickBot="1">
      <c r="A51" s="1195"/>
      <c r="B51" s="1197"/>
      <c r="C51" s="1198"/>
      <c r="D51" s="1171"/>
      <c r="E51" s="1199" t="s">
        <v>1407</v>
      </c>
      <c r="F51" s="347" t="e">
        <f ca="1">F8</f>
        <v>#N/A</v>
      </c>
      <c r="I51" s="1897" t="s">
        <v>1540</v>
      </c>
      <c r="J51" s="1898">
        <f>IF(J49="",J50,J49+J50-YEAR('数据-取费表'!B2))</f>
        <v>60</v>
      </c>
      <c r="K51" s="1899" t="s">
        <v>1541</v>
      </c>
      <c r="L51" s="1900" t="e">
        <f ca="1">ROUND(-PV(INDIRECT("'数据-取费表'!h"&amp;$G$1),L48,(C39-C13*C76),0),0)</f>
        <v>#N/A</v>
      </c>
      <c r="M51" s="1901"/>
      <c r="O51" s="1893" t="s">
        <v>1044</v>
      </c>
      <c r="P51" s="1884" t="s">
        <v>1542</v>
      </c>
      <c r="Q51" s="1896">
        <f>J52</f>
        <v>0.09</v>
      </c>
      <c r="R51" s="1885"/>
    </row>
    <row r="52" spans="1:18" s="1841" customFormat="1" ht="13.5" thickBot="1">
      <c r="A52" s="1195"/>
      <c r="B52" s="1197"/>
      <c r="C52" s="1198"/>
      <c r="D52" s="1171"/>
      <c r="E52" s="1199" t="s">
        <v>1408</v>
      </c>
      <c r="F52" s="1274"/>
      <c r="I52" s="1902" t="s">
        <v>1543</v>
      </c>
      <c r="J52" s="1903">
        <v>0.09</v>
      </c>
      <c r="K52" s="1902" t="s">
        <v>1544</v>
      </c>
      <c r="L52" s="1903"/>
      <c r="O52" s="1893" t="s">
        <v>1045</v>
      </c>
      <c r="P52" s="1884" t="s">
        <v>1545</v>
      </c>
      <c r="Q52" s="1885" t="e">
        <f ca="1">J53</f>
        <v>#N/A</v>
      </c>
      <c r="R52" s="1885" t="s">
        <v>1546</v>
      </c>
    </row>
    <row r="53" spans="1:18" s="1841" customFormat="1" ht="24.75" thickBot="1">
      <c r="A53" s="1404" t="s">
        <v>1137</v>
      </c>
      <c r="B53" s="1830" t="s">
        <v>1409</v>
      </c>
      <c r="C53" s="360">
        <f ca="1">ROUND(IF(F53="押一",C49/12*F11,IF(F53="押二",C49/12*2*F11,IF(F53="押三",C49/12*3*F11,C54*F11))),0)</f>
        <v>0</v>
      </c>
      <c r="D53" s="1823" t="s">
        <v>3044</v>
      </c>
      <c r="E53" s="357" t="s">
        <v>1410</v>
      </c>
      <c r="F53" s="1365"/>
      <c r="I53" s="1904" t="s">
        <v>1547</v>
      </c>
      <c r="J53" s="1905" t="e">
        <f ca="1">IF(M47="住宅",J51,IF(D1="——",MIN(J51,L48),IF(D1="在建（套用方法）",MIN(J51,L48-'数据-取费表'!B24),IF(D1="土地（套用方法）",MIN(J51,L48-'数据-取费表'!B20)))))</f>
        <v>#N/A</v>
      </c>
      <c r="K53" s="3215" t="s">
        <v>1548</v>
      </c>
      <c r="L53" s="3216"/>
      <c r="O53" s="1883" t="s">
        <v>1046</v>
      </c>
      <c r="P53" s="1884" t="s">
        <v>1549</v>
      </c>
      <c r="Q53" s="1885" t="e">
        <f ca="1">Q47+Q48</f>
        <v>#N/A</v>
      </c>
      <c r="R53" s="1885" t="s">
        <v>1047</v>
      </c>
    </row>
    <row r="54" spans="1:18" s="1841" customFormat="1" ht="13.5" thickBot="1">
      <c r="A54" s="1405"/>
      <c r="B54" s="1824" t="s">
        <v>1388</v>
      </c>
      <c r="C54" s="1177"/>
      <c r="D54" s="1823"/>
      <c r="E54" s="2955"/>
      <c r="F54" s="1906"/>
      <c r="I54" s="19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8"/>
      <c r="K54" s="1908"/>
      <c r="L54" s="1908"/>
      <c r="M54" s="1890"/>
      <c r="O54" s="1868" t="s">
        <v>1550</v>
      </c>
      <c r="P54" s="1838"/>
      <c r="Q54" s="1838"/>
      <c r="R54" s="1838"/>
    </row>
    <row r="55" spans="1:18" s="1841" customFormat="1" ht="13.5" thickBot="1">
      <c r="A55" s="1332" t="s">
        <v>1075</v>
      </c>
      <c r="B55" s="1826" t="s">
        <v>1413</v>
      </c>
      <c r="C55" s="1333"/>
      <c r="D55" s="1823"/>
      <c r="E55" s="2955"/>
      <c r="F55" s="1906"/>
      <c r="I55" s="1909" t="s">
        <v>1551</v>
      </c>
      <c r="J55" s="1910" t="e">
        <f ca="1">ROUND(IF(J47="钢混",J57/J50,1-(1-2%)*(J50-J57)/J50),3)</f>
        <v>#N/A</v>
      </c>
      <c r="K55" s="1911" t="s">
        <v>1552</v>
      </c>
      <c r="L55" s="1912" t="s">
        <v>1553</v>
      </c>
      <c r="O55" s="1876" t="s">
        <v>1522</v>
      </c>
      <c r="P55" s="1877" t="s">
        <v>1523</v>
      </c>
      <c r="Q55" s="1878" t="s">
        <v>1524</v>
      </c>
      <c r="R55" s="1878" t="s">
        <v>1525</v>
      </c>
    </row>
    <row r="56" spans="1:18" s="1841" customFormat="1" ht="25.5" thickTop="1" thickBot="1">
      <c r="A56" s="1175">
        <v>2</v>
      </c>
      <c r="B56" s="1176" t="s">
        <v>1414</v>
      </c>
      <c r="C56" s="275" t="e">
        <f ca="1">C13</f>
        <v>#N/A</v>
      </c>
      <c r="D56" s="1913"/>
      <c r="E56" s="1914"/>
      <c r="F56" s="1906"/>
      <c r="I56" s="1915" t="s">
        <v>1554</v>
      </c>
      <c r="J56" s="3001" t="s">
        <v>3543</v>
      </c>
      <c r="K56" s="1886" t="s">
        <v>1555</v>
      </c>
      <c r="L56" s="1889" t="e">
        <f ca="1">IF(L48&lt;J51,"——",L48-J53)</f>
        <v>#N/A</v>
      </c>
      <c r="O56" s="1883" t="s">
        <v>1040</v>
      </c>
      <c r="P56" s="1884" t="s">
        <v>1528</v>
      </c>
      <c r="Q56" s="1885" t="e">
        <f ca="1">C40+J29</f>
        <v>#N/A</v>
      </c>
      <c r="R56" s="1885" t="s">
        <v>1529</v>
      </c>
    </row>
    <row r="57" spans="1:18" s="1841" customFormat="1" ht="24.75" thickBot="1">
      <c r="A57" s="1917"/>
      <c r="B57" s="1168" t="s">
        <v>1478</v>
      </c>
      <c r="C57" s="281" t="e">
        <f ca="1">C29</f>
        <v>#N/A</v>
      </c>
      <c r="D57" s="1918"/>
      <c r="E57" s="1919"/>
      <c r="F57" s="1920"/>
      <c r="I57" s="1921" t="s">
        <v>1556</v>
      </c>
      <c r="J57" s="1922" t="e">
        <f ca="1">IF(OR(M47="住宅",J51&lt;L48,J56="是"),"——",J51-L48)</f>
        <v>#N/A</v>
      </c>
      <c r="K57" s="1886" t="s">
        <v>1557</v>
      </c>
      <c r="L57" s="1889" t="e">
        <f ca="1">IF(L48&lt;J51,"——",IF(L55="比较法",L49,IF(L55="基准地价",L50,L51)))</f>
        <v>#N/A</v>
      </c>
      <c r="O57" s="1883" t="s">
        <v>1041</v>
      </c>
      <c r="P57" s="1884" t="s">
        <v>1558</v>
      </c>
      <c r="Q57" s="1885" t="e">
        <f ca="1">L60</f>
        <v>#N/A</v>
      </c>
      <c r="R57" s="1885" t="s">
        <v>1559</v>
      </c>
    </row>
    <row r="58" spans="1:18" s="1841" customFormat="1" ht="24.75" thickBot="1">
      <c r="A58" s="359" t="s">
        <v>1030</v>
      </c>
      <c r="B58" s="1176" t="s">
        <v>1424</v>
      </c>
      <c r="C58" s="360" t="e">
        <f ca="1">ROUND(C59+C64+C65+C66,0)</f>
        <v>#N/A</v>
      </c>
      <c r="D58" s="1178" t="s">
        <v>1425</v>
      </c>
      <c r="E58" s="1179"/>
      <c r="F58" s="1180"/>
      <c r="I58" s="1921" t="s">
        <v>1560</v>
      </c>
      <c r="J58" s="1923" t="e">
        <f ca="1">IF(J55&lt;0.4,0.4,J55)</f>
        <v>#N/A</v>
      </c>
      <c r="K58" s="1899" t="s">
        <v>1561</v>
      </c>
      <c r="L58" s="1889" t="e">
        <f ca="1">ROUND(POWER(1+L52,L47-L48)*(POWER(1+L52,L48)-1)/(POWER(1+L52,L47)-1),4)</f>
        <v>#N/A</v>
      </c>
      <c r="O58" s="1893" t="s">
        <v>1042</v>
      </c>
      <c r="P58" s="1884" t="s">
        <v>1562</v>
      </c>
      <c r="Q58" s="1885">
        <f>IF(L55="比较法",L49,IF(L55="基准地价",L50,0))</f>
        <v>0</v>
      </c>
      <c r="R58" s="1885" t="s">
        <v>1529</v>
      </c>
    </row>
    <row r="59" spans="1:18" s="1841" customFormat="1" ht="24.75" thickBot="1">
      <c r="A59" s="1200" t="s">
        <v>1035</v>
      </c>
      <c r="B59" s="1168" t="s">
        <v>1429</v>
      </c>
      <c r="C59" s="24" t="e">
        <f ca="1">ROUND(IF(项目基本情况!B11="自然人",C48*F59,C60+C61+C62),1)</f>
        <v>#N/A</v>
      </c>
      <c r="D59" s="1181" t="s">
        <v>1430</v>
      </c>
      <c r="E59" s="1182" t="s">
        <v>1431</v>
      </c>
      <c r="F59" s="367" t="str">
        <f ca="1">IF(项目基本情况!B11="企业","",IF(INDIRECT("'数据-取费表'!c"&amp;$G$1)="住宅",5%,IF(F49*F50*F51/12/(1+'数据-取费表'!C42)&gt;20000,12%,7%)))</f>
        <v/>
      </c>
      <c r="I59" s="1921" t="s">
        <v>1563</v>
      </c>
      <c r="J59" s="1922" t="e">
        <f ca="1">IF(OR(M47="住宅",J51&lt;L48,J56="是"),"——",ROUND(C29*J58,0))</f>
        <v>#N/A</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#N/A</v>
      </c>
      <c r="M59" s="1837" t="e">
        <f ca="1">ROUND(POWER(1+L52,L47-(J51+'数据-取费表'!B24))*(POWER(1+L52,(J51+'数据-取费表'!B24))-1)/(POWER(1+L52,L47)-1),4)</f>
        <v>#N/A</v>
      </c>
      <c r="N59" s="1837" t="e">
        <f ca="1">ROUND(POWER(1+L52,L47-(J51+'数据-取费表'!B20))*(POWER(1+L52,(J51+'数据-取费表'!B20))-1)/(POWER(1+L52,L47)-1),4)</f>
        <v>#N/A</v>
      </c>
      <c r="O59" s="1893" t="s">
        <v>1043</v>
      </c>
      <c r="P59" s="1884" t="s">
        <v>1564</v>
      </c>
      <c r="Q59" s="1896">
        <f>L52</f>
        <v>0</v>
      </c>
      <c r="R59" s="1885"/>
    </row>
    <row r="60" spans="1:18" s="1841" customFormat="1" ht="16.5" thickBot="1">
      <c r="A60" s="1200" t="s">
        <v>1034</v>
      </c>
      <c r="B60" s="1168" t="s">
        <v>1433</v>
      </c>
      <c r="C60" s="24" t="e">
        <f ca="1">IF(项目基本情况!B11="自然人","——",ROUND(C48*F60/(1+'数据-取费表'!C42),2))</f>
        <v>#N/A</v>
      </c>
      <c r="D60" s="1182" t="s">
        <v>1434</v>
      </c>
      <c r="E60" s="1168" t="s">
        <v>1422</v>
      </c>
      <c r="F60" s="376">
        <f t="shared" ref="F60:F66" si="0">F32</f>
        <v>5.5000000000000007E-2</v>
      </c>
      <c r="I60" s="1924" t="s">
        <v>1565</v>
      </c>
      <c r="J60" s="1925" t="e">
        <f ca="1">IF(OR(M47="住宅",J51&lt;L48,J56="是"),"0",ROUND(J59/(1+J52)^J53,0))</f>
        <v>#N/A</v>
      </c>
      <c r="K60" s="1926" t="s">
        <v>1566</v>
      </c>
      <c r="L60" s="1925" t="e">
        <f ca="1">IF(OR(M47="住宅",L48&lt;J51),0,ROUND(L57*(L58/L59-1),0))</f>
        <v>#N/A</v>
      </c>
      <c r="O60" s="1893" t="s">
        <v>1044</v>
      </c>
      <c r="P60" s="1884" t="s">
        <v>1567</v>
      </c>
      <c r="Q60" s="1885" t="e">
        <f ca="1">L58</f>
        <v>#N/A</v>
      </c>
      <c r="R60" s="1885" t="s">
        <v>1568</v>
      </c>
    </row>
    <row r="61" spans="1:18" s="1841" customFormat="1" ht="13.5" thickBot="1">
      <c r="A61" s="1200" t="s">
        <v>1492</v>
      </c>
      <c r="B61" s="1168" t="s">
        <v>1437</v>
      </c>
      <c r="C61" s="24" t="e">
        <f ca="1">IF(项目基本情况!B11="自然人","——",IF(D61="按租金收入计税",ROUND(C48*F61,2),IF(D61="按房产原值计税",ROUND(C57*F61*0.7,2),INDIRECT("'数据-取费表'!Aj"&amp;$G$1))))</f>
        <v>#N/A</v>
      </c>
      <c r="D61" s="1827" t="s">
        <v>1438</v>
      </c>
      <c r="E61" s="1168" t="s">
        <v>1422</v>
      </c>
      <c r="F61" s="366">
        <f t="shared" si="0"/>
        <v>0.12</v>
      </c>
      <c r="I61" s="1927"/>
      <c r="J61" s="1927"/>
      <c r="K61" s="1927"/>
      <c r="L61" s="1927"/>
      <c r="O61" s="1893" t="s">
        <v>1045</v>
      </c>
      <c r="P61" s="1884" t="str">
        <f>K59</f>
        <v>建筑物剩余耐用年限下的土地年期修正系数Kn</v>
      </c>
      <c r="Q61" s="1885" t="e">
        <f ca="1">L59</f>
        <v>#N/A</v>
      </c>
      <c r="R61" s="1885" t="s">
        <v>1569</v>
      </c>
    </row>
    <row r="62" spans="1:18" s="1841" customFormat="1" ht="13.5" thickBot="1">
      <c r="A62" s="1200" t="s">
        <v>1495</v>
      </c>
      <c r="B62" s="1167" t="s">
        <v>1441</v>
      </c>
      <c r="C62" s="25" t="e">
        <f ca="1">IF(项目基本情况!B11="自然人","——",ROUND(F62*F63/10000,2))</f>
        <v>#N/A</v>
      </c>
      <c r="D62" s="1183" t="s">
        <v>1442</v>
      </c>
      <c r="E62" s="1168" t="s">
        <v>1443</v>
      </c>
      <c r="F62" s="370">
        <f t="shared" si="0"/>
        <v>1.5</v>
      </c>
      <c r="I62" s="1928" t="s">
        <v>1570</v>
      </c>
      <c r="J62" s="1929" t="s">
        <v>1571</v>
      </c>
      <c r="K62" s="1929" t="s">
        <v>1572</v>
      </c>
      <c r="L62" s="1929" t="s">
        <v>1573</v>
      </c>
      <c r="M62" s="1930" t="s">
        <v>1574</v>
      </c>
      <c r="O62" s="1883" t="s">
        <v>1046</v>
      </c>
      <c r="P62" s="1884" t="s">
        <v>1549</v>
      </c>
      <c r="Q62" s="1885" t="e">
        <f ca="1">Q56+Q57</f>
        <v>#N/A</v>
      </c>
      <c r="R62" s="1885" t="s">
        <v>1047</v>
      </c>
    </row>
    <row r="63" spans="1:18" s="1841" customFormat="1" ht="13.5" thickBot="1">
      <c r="A63" s="371"/>
      <c r="B63" s="1174"/>
      <c r="C63" s="29"/>
      <c r="D63" s="1184"/>
      <c r="E63" s="1168" t="s">
        <v>1447</v>
      </c>
      <c r="F63" s="347" t="e">
        <f t="shared" ca="1" si="0"/>
        <v>#N/A</v>
      </c>
      <c r="I63" s="1928" t="s">
        <v>1576</v>
      </c>
      <c r="J63" s="1929">
        <v>70</v>
      </c>
      <c r="K63" s="1929">
        <v>50</v>
      </c>
      <c r="L63" s="1929">
        <v>80</v>
      </c>
      <c r="M63" s="1931">
        <v>0.02</v>
      </c>
      <c r="O63" s="1868" t="s">
        <v>1577</v>
      </c>
      <c r="P63" s="1838"/>
      <c r="Q63" s="1838"/>
      <c r="R63" s="1838"/>
    </row>
    <row r="64" spans="1:18" s="1841" customFormat="1" ht="13.5" thickBot="1">
      <c r="A64" s="1200" t="s">
        <v>1500</v>
      </c>
      <c r="B64" s="1168" t="s">
        <v>1449</v>
      </c>
      <c r="C64" s="24" t="e">
        <f ca="1">ROUND(C57*F64,1)</f>
        <v>#N/A</v>
      </c>
      <c r="D64" s="1182" t="s">
        <v>1482</v>
      </c>
      <c r="E64" s="1168" t="s">
        <v>1422</v>
      </c>
      <c r="F64" s="373" t="e">
        <f t="shared" ca="1" si="0"/>
        <v>#N/A</v>
      </c>
      <c r="I64" s="1928" t="s">
        <v>1578</v>
      </c>
      <c r="J64" s="1929">
        <v>50</v>
      </c>
      <c r="K64" s="1929">
        <v>35</v>
      </c>
      <c r="L64" s="1929">
        <v>60</v>
      </c>
      <c r="M64" s="1930">
        <v>0</v>
      </c>
      <c r="O64" s="1876" t="s">
        <v>1522</v>
      </c>
      <c r="P64" s="1877" t="s">
        <v>1523</v>
      </c>
      <c r="Q64" s="1878" t="s">
        <v>1524</v>
      </c>
      <c r="R64" s="1878" t="s">
        <v>1525</v>
      </c>
    </row>
    <row r="65" spans="1:18" s="1841" customFormat="1" ht="13.5" thickBot="1">
      <c r="A65" s="1200" t="s">
        <v>1503</v>
      </c>
      <c r="B65" s="1168" t="s">
        <v>1453</v>
      </c>
      <c r="C65" s="24" t="e">
        <f ca="1">ROUND(C56*F65,1)</f>
        <v>#N/A</v>
      </c>
      <c r="D65" s="1182" t="s">
        <v>1454</v>
      </c>
      <c r="E65" s="1168" t="s">
        <v>1422</v>
      </c>
      <c r="F65" s="375" t="e">
        <f t="shared" ca="1" si="0"/>
        <v>#N/A</v>
      </c>
      <c r="I65" s="1928" t="s">
        <v>1579</v>
      </c>
      <c r="J65" s="1929">
        <v>40</v>
      </c>
      <c r="K65" s="1929">
        <v>30</v>
      </c>
      <c r="L65" s="1929">
        <v>50</v>
      </c>
      <c r="M65" s="1931">
        <v>0.02</v>
      </c>
      <c r="O65" s="1883" t="s">
        <v>1040</v>
      </c>
      <c r="P65" s="1884" t="s">
        <v>1528</v>
      </c>
      <c r="Q65" s="1885" t="e">
        <f ca="1">C40+J29</f>
        <v>#N/A</v>
      </c>
      <c r="R65" s="1885" t="s">
        <v>1529</v>
      </c>
    </row>
    <row r="66" spans="1:18" s="1841" customFormat="1" ht="16.5" thickBot="1">
      <c r="A66" s="1200" t="s">
        <v>1504</v>
      </c>
      <c r="B66" s="1168" t="s">
        <v>1439</v>
      </c>
      <c r="C66" s="24" t="e">
        <f ca="1">ROUND(C48*F66,1)</f>
        <v>#N/A</v>
      </c>
      <c r="D66" s="1182" t="s">
        <v>1459</v>
      </c>
      <c r="E66" s="1168" t="s">
        <v>1422</v>
      </c>
      <c r="F66" s="356" t="e">
        <f t="shared" ca="1" si="0"/>
        <v>#N/A</v>
      </c>
      <c r="O66" s="1883" t="s">
        <v>1041</v>
      </c>
      <c r="P66" s="1884" t="s">
        <v>1558</v>
      </c>
      <c r="Q66" s="1885" t="e">
        <f ca="1">L60</f>
        <v>#N/A</v>
      </c>
      <c r="R66" s="1885" t="s">
        <v>1581</v>
      </c>
    </row>
    <row r="67" spans="1:18" s="1841" customFormat="1" ht="16.5" thickBot="1">
      <c r="A67" s="1175" t="s">
        <v>1031</v>
      </c>
      <c r="B67" s="1185" t="s">
        <v>1463</v>
      </c>
      <c r="C67" s="360" t="e">
        <f ca="1">C48-C58</f>
        <v>#N/A</v>
      </c>
      <c r="D67" s="1181" t="s">
        <v>1464</v>
      </c>
      <c r="E67" s="1186"/>
      <c r="F67" s="1187"/>
      <c r="O67" s="1893" t="s">
        <v>1042</v>
      </c>
      <c r="P67" s="1884" t="s">
        <v>1562</v>
      </c>
      <c r="Q67" s="1932" t="e">
        <f ca="1">L51</f>
        <v>#N/A</v>
      </c>
      <c r="R67" s="1885" t="s">
        <v>1582</v>
      </c>
    </row>
    <row r="68" spans="1:18" s="1841" customFormat="1" ht="16.5" thickBot="1">
      <c r="A68" s="1165" t="s">
        <v>1032</v>
      </c>
      <c r="B68" s="1166" t="s">
        <v>1485</v>
      </c>
      <c r="C68" s="345" t="e">
        <f ca="1">ROUND(C67*(1-((1+F70)/(1+F68))^F69)/(F68-F70),0)</f>
        <v>#N/A</v>
      </c>
      <c r="D68" s="1183" t="s">
        <v>1469</v>
      </c>
      <c r="E68" s="1168" t="s">
        <v>1470</v>
      </c>
      <c r="F68" s="356" t="e">
        <f ca="1">F40</f>
        <v>#N/A</v>
      </c>
      <c r="O68" s="1893" t="s">
        <v>1043</v>
      </c>
      <c r="P68" s="1933" t="s">
        <v>1583</v>
      </c>
      <c r="Q68" s="1885" t="e">
        <f ca="1">ROUND(Q69-Q70*Q71,0)</f>
        <v>#N/A</v>
      </c>
      <c r="R68" s="1885" t="s">
        <v>1051</v>
      </c>
    </row>
    <row r="69" spans="1:18" s="1841" customFormat="1" ht="13.5" thickBot="1">
      <c r="A69" s="1169"/>
      <c r="B69" s="1170"/>
      <c r="C69" s="350"/>
      <c r="D69" s="1188" t="s">
        <v>1473</v>
      </c>
      <c r="E69" s="1168" t="s">
        <v>1474</v>
      </c>
      <c r="F69" s="378" t="e">
        <f ca="1">F41</f>
        <v>#N/A</v>
      </c>
      <c r="O69" s="1893" t="s">
        <v>1048</v>
      </c>
      <c r="P69" s="1933" t="s">
        <v>1584</v>
      </c>
      <c r="Q69" s="1885" t="e">
        <f ca="1">C39</f>
        <v>#N/A</v>
      </c>
      <c r="R69" s="1885" t="s">
        <v>1529</v>
      </c>
    </row>
    <row r="70" spans="1:18" s="1841" customFormat="1" ht="13.5" thickBot="1">
      <c r="A70" s="1172"/>
      <c r="B70" s="1173"/>
      <c r="C70" s="354"/>
      <c r="D70" s="1184"/>
      <c r="E70" s="1168" t="s">
        <v>1477</v>
      </c>
      <c r="F70" s="1274"/>
      <c r="O70" s="1893" t="s">
        <v>1049</v>
      </c>
      <c r="P70" s="1933" t="s">
        <v>1585</v>
      </c>
      <c r="Q70" s="1885" t="e">
        <f ca="1">C13</f>
        <v>#N/A</v>
      </c>
      <c r="R70" s="1885" t="s">
        <v>1529</v>
      </c>
    </row>
    <row r="71" spans="1:18" s="1841" customFormat="1" ht="13.5" thickBot="1">
      <c r="A71" s="1189" t="s">
        <v>1033</v>
      </c>
      <c r="B71" s="1190" t="s">
        <v>1487</v>
      </c>
      <c r="C71" s="381" t="e">
        <f ca="1">ROUND(C68*10000/F71,0)</f>
        <v>#N/A</v>
      </c>
      <c r="D71" s="1191" t="s">
        <v>1488</v>
      </c>
      <c r="E71" s="1192" t="s">
        <v>1489</v>
      </c>
      <c r="F71" s="384" t="e">
        <f ca="1">F43</f>
        <v>#N/A</v>
      </c>
      <c r="O71" s="1893" t="s">
        <v>1050</v>
      </c>
      <c r="P71" s="1933" t="s">
        <v>1586</v>
      </c>
      <c r="Q71" s="1896" t="e">
        <f ca="1">C76</f>
        <v>#N/A</v>
      </c>
      <c r="R71" s="1885"/>
    </row>
    <row r="72" spans="1:18" s="1841" customFormat="1" ht="13.5" thickBot="1">
      <c r="B72" s="795"/>
      <c r="C72" s="795"/>
      <c r="O72" s="1893" t="s">
        <v>1044</v>
      </c>
      <c r="P72" s="1884" t="s">
        <v>1564</v>
      </c>
      <c r="Q72" s="1896">
        <f>L52</f>
        <v>0</v>
      </c>
      <c r="R72" s="1885"/>
    </row>
    <row r="73" spans="1:18" ht="16.5" thickBot="1">
      <c r="A73" s="1841"/>
      <c r="B73" s="795"/>
      <c r="C73" s="795"/>
      <c r="D73" s="1841"/>
      <c r="E73" s="1841"/>
      <c r="F73" s="1841"/>
      <c r="O73" s="1893" t="s">
        <v>1045</v>
      </c>
      <c r="P73" s="1884" t="s">
        <v>1567</v>
      </c>
      <c r="Q73" s="1885" t="e">
        <f ca="1">L58</f>
        <v>#N/A</v>
      </c>
      <c r="R73" s="1885" t="s">
        <v>1568</v>
      </c>
    </row>
    <row r="74" spans="1:18" ht="13.5" thickBot="1">
      <c r="A74" s="1841"/>
      <c r="B74" s="316" t="s">
        <v>1587</v>
      </c>
      <c r="C74" s="1935"/>
      <c r="D74" s="1841"/>
      <c r="E74" s="1841"/>
      <c r="F74" s="1841"/>
      <c r="O74" s="1893" t="s">
        <v>1052</v>
      </c>
      <c r="P74" s="1884" t="str">
        <f>K59</f>
        <v>建筑物剩余耐用年限下的土地年期修正系数Kn</v>
      </c>
      <c r="Q74" s="1885" t="e">
        <f ca="1">L59</f>
        <v>#N/A</v>
      </c>
      <c r="R74" s="1885" t="s">
        <v>1569</v>
      </c>
    </row>
    <row r="75" spans="1:18" ht="13.5" thickBot="1">
      <c r="A75" s="1841"/>
      <c r="B75" s="385" t="s">
        <v>1506</v>
      </c>
      <c r="C75" s="386" t="e">
        <f ca="1">ROUND(C13*C76,0)</f>
        <v>#N/A</v>
      </c>
      <c r="D75" s="1841"/>
      <c r="E75" s="1841"/>
      <c r="F75" s="1841"/>
      <c r="K75" s="1867"/>
      <c r="L75" s="1841"/>
      <c r="O75" s="1883" t="s">
        <v>1046</v>
      </c>
      <c r="P75" s="1884" t="s">
        <v>1549</v>
      </c>
      <c r="Q75" s="1885" t="e">
        <f ca="1">Q65+Q66</f>
        <v>#N/A</v>
      </c>
      <c r="R75" s="1885" t="s">
        <v>1047</v>
      </c>
    </row>
    <row r="76" spans="1:18">
      <c r="B76" s="387" t="s">
        <v>1507</v>
      </c>
      <c r="C76" s="388" t="e">
        <f ca="1">INDIRECT("'数据-取费表'!j"&amp;$G$1)</f>
        <v>#N/A</v>
      </c>
      <c r="I76" s="1841"/>
      <c r="J76" s="1841"/>
      <c r="K76" s="1867"/>
      <c r="L76" s="1841"/>
    </row>
    <row r="77" spans="1:18">
      <c r="B77" s="389" t="s">
        <v>1508</v>
      </c>
      <c r="C77" s="390"/>
      <c r="I77" s="1841"/>
      <c r="J77" s="1841"/>
      <c r="K77" s="1867"/>
      <c r="L77" s="1841"/>
    </row>
    <row r="78" spans="1:18">
      <c r="B78" s="313" t="s">
        <v>1509</v>
      </c>
      <c r="C78" s="391"/>
    </row>
    <row r="79" spans="1:18">
      <c r="B79" s="385" t="s">
        <v>1510</v>
      </c>
      <c r="C79" s="317" t="e">
        <f ca="1">1-C80</f>
        <v>#N/A</v>
      </c>
    </row>
    <row r="80" spans="1:18">
      <c r="B80" s="385" t="s">
        <v>1511</v>
      </c>
      <c r="C80" s="317" t="e">
        <f ca="1">ROUND(C75/C39,3)</f>
        <v>#N/A</v>
      </c>
    </row>
    <row r="81" spans="2:3">
      <c r="B81" s="313" t="s">
        <v>1512</v>
      </c>
      <c r="C81" s="281"/>
    </row>
    <row r="82" spans="2:3">
      <c r="B82" s="316" t="s">
        <v>1513</v>
      </c>
      <c r="C82" s="318" t="e">
        <f ca="1">1-C83</f>
        <v>#N/A</v>
      </c>
    </row>
    <row r="83" spans="2:3">
      <c r="B83" s="316" t="s">
        <v>1514</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1" priority="4">
      <formula>$L$48&gt;$J$51</formula>
    </cfRule>
  </conditionalFormatting>
  <conditionalFormatting sqref="I55 I60">
    <cfRule type="expression" dxfId="50" priority="5">
      <formula>$J$51&gt;$L$48</formula>
    </cfRule>
  </conditionalFormatting>
  <conditionalFormatting sqref="C11">
    <cfRule type="expression" dxfId="49" priority="3">
      <formula>$F$10="自定义"</formula>
    </cfRule>
  </conditionalFormatting>
  <conditionalFormatting sqref="J11">
    <cfRule type="expression" dxfId="48" priority="2">
      <formula>$M$10="自定义"</formula>
    </cfRule>
  </conditionalFormatting>
  <conditionalFormatting sqref="C54">
    <cfRule type="expression" dxfId="4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2711</v>
      </c>
      <c r="B1" s="1618"/>
      <c r="C1" s="1619" t="s">
        <v>2534</v>
      </c>
      <c r="D1" s="1620"/>
      <c r="E1" s="1629"/>
      <c r="F1" s="2584"/>
      <c r="G1" s="1630" t="s">
        <v>2647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2331</v>
      </c>
      <c r="B2" s="1417" t="e">
        <f ca="1">IF(C2="——",ROUND(C37*D3/10000,0),ROUND(C37*D3/10000,0)-D2)</f>
        <v>#DIV/0!</v>
      </c>
      <c r="C2" s="2586"/>
      <c r="D2" s="1123" t="e">
        <f ca="1">SUMIF(INDIRECT("'"&amp;F2&amp;"'"&amp;"!A:A"),"承租人权益价值",INDIRECT("'"&amp;F2&amp;"'"&amp;"!c:c"))</f>
        <v>#REF!</v>
      </c>
      <c r="E2" s="2587" t="s">
        <v>2332</v>
      </c>
      <c r="F2" s="2588"/>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2333</v>
      </c>
      <c r="B3" s="608" t="e">
        <f ca="1">IF(C2="——",C37,ROUND(B2*10000/D3,0))</f>
        <v>#DIV/0!</v>
      </c>
      <c r="C3" s="399" t="s">
        <v>2648</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2649</v>
      </c>
      <c r="B4" s="401"/>
      <c r="C4" s="3235" t="s">
        <v>2650</v>
      </c>
      <c r="D4" s="3236"/>
      <c r="E4" s="3237" t="s">
        <v>2651</v>
      </c>
      <c r="F4" s="3238"/>
      <c r="G4" s="3235" t="s">
        <v>2652</v>
      </c>
      <c r="H4" s="3236"/>
      <c r="I4" s="3235" t="s">
        <v>2653</v>
      </c>
      <c r="J4" s="3236"/>
      <c r="K4" s="609" t="s">
        <v>2654</v>
      </c>
      <c r="L4" s="1129"/>
      <c r="M4" s="1130"/>
      <c r="N4" s="1130"/>
      <c r="O4" s="1130"/>
      <c r="P4" s="3294" t="s">
        <v>2655</v>
      </c>
      <c r="Q4" s="3295"/>
      <c r="R4" s="3298" t="s">
        <v>2651</v>
      </c>
      <c r="S4" s="3299"/>
      <c r="T4" s="3298" t="s">
        <v>2652</v>
      </c>
      <c r="U4" s="3299"/>
      <c r="V4" s="3252" t="s">
        <v>2653</v>
      </c>
      <c r="W4" s="3252"/>
      <c r="X4" s="1812"/>
      <c r="Y4" s="3298" t="s">
        <v>2655</v>
      </c>
      <c r="Z4" s="3299"/>
      <c r="AA4" s="3293" t="s">
        <v>2651</v>
      </c>
      <c r="AB4" s="3265" t="s">
        <v>2652</v>
      </c>
      <c r="AC4" s="3293" t="s">
        <v>2653</v>
      </c>
    </row>
    <row r="5" spans="1:29" ht="15">
      <c r="A5" s="403"/>
      <c r="B5" s="404"/>
      <c r="C5" s="3261" t="s">
        <v>2546</v>
      </c>
      <c r="D5" s="3256"/>
      <c r="E5" s="3300" t="s">
        <v>2547</v>
      </c>
      <c r="F5" s="3268"/>
      <c r="G5" s="3261" t="s">
        <v>2548</v>
      </c>
      <c r="H5" s="3256"/>
      <c r="I5" s="3261" t="s">
        <v>2549</v>
      </c>
      <c r="J5" s="3256"/>
      <c r="K5" s="609"/>
      <c r="L5" s="1129"/>
      <c r="M5" s="1130"/>
      <c r="N5" s="1130"/>
      <c r="O5" s="1130"/>
      <c r="P5" s="3296"/>
      <c r="Q5" s="3242"/>
      <c r="R5" s="3247"/>
      <c r="S5" s="3248"/>
      <c r="T5" s="3247"/>
      <c r="U5" s="3248"/>
      <c r="V5" s="3252"/>
      <c r="W5" s="3252"/>
      <c r="X5" s="1812"/>
      <c r="Y5" s="3247"/>
      <c r="Z5" s="3248"/>
      <c r="AA5" s="3265"/>
      <c r="AB5" s="3265"/>
      <c r="AC5" s="3265"/>
    </row>
    <row r="6" spans="1:29" ht="15.75" thickBot="1">
      <c r="A6" s="405"/>
      <c r="B6" s="406"/>
      <c r="C6" s="3253" t="s">
        <v>2550</v>
      </c>
      <c r="D6" s="3254"/>
      <c r="E6" s="3262" t="s">
        <v>2550</v>
      </c>
      <c r="F6" s="3263"/>
      <c r="G6" s="3253" t="s">
        <v>2550</v>
      </c>
      <c r="H6" s="3254"/>
      <c r="I6" s="3253" t="s">
        <v>2550</v>
      </c>
      <c r="J6" s="3254"/>
      <c r="K6" s="609" t="s">
        <v>2551</v>
      </c>
      <c r="L6" s="1129"/>
      <c r="M6" s="1130"/>
      <c r="N6" s="1130"/>
      <c r="O6" s="1130"/>
      <c r="P6" s="3297"/>
      <c r="Q6" s="3244"/>
      <c r="R6" s="3247"/>
      <c r="S6" s="3248"/>
      <c r="T6" s="3249"/>
      <c r="U6" s="3250"/>
      <c r="V6" s="3252"/>
      <c r="W6" s="3252"/>
      <c r="X6" s="1812"/>
      <c r="Y6" s="3249"/>
      <c r="Z6" s="3250"/>
      <c r="AA6" s="3266"/>
      <c r="AB6" s="3266"/>
      <c r="AC6" s="3266"/>
    </row>
    <row r="7" spans="1:29" s="116" customFormat="1" ht="15.75" thickBot="1">
      <c r="A7" s="407" t="s">
        <v>2552</v>
      </c>
      <c r="B7" s="408"/>
      <c r="C7" s="409">
        <f>'数据-取费表'!B2</f>
        <v>43252</v>
      </c>
      <c r="D7" s="410">
        <v>100</v>
      </c>
      <c r="E7" s="411"/>
      <c r="F7" s="412">
        <f>SUMIF(46:46,YEAR(E7)&amp;"-"&amp;MONTH(E7),47:47)</f>
        <v>0</v>
      </c>
      <c r="G7" s="2696"/>
      <c r="H7" s="410">
        <f>SUMIF(46:46,YEAR(G7)&amp;"-"&amp;MONTH(G7),47:47)</f>
        <v>0</v>
      </c>
      <c r="I7" s="411"/>
      <c r="J7" s="410">
        <f>SUMIF(46:46,YEAR(I7)&amp;"-"&amp;MONTH(I7),47:47)</f>
        <v>0</v>
      </c>
      <c r="K7" s="610"/>
      <c r="L7" s="1131"/>
      <c r="M7" s="1132"/>
      <c r="N7" s="1132"/>
      <c r="O7" s="1132"/>
      <c r="P7" s="3259" t="s">
        <v>2553</v>
      </c>
      <c r="Q7" s="3260"/>
      <c r="R7" s="769" t="s">
        <v>17</v>
      </c>
      <c r="S7" s="770">
        <f t="shared" ref="S7:S14" si="0">F7</f>
        <v>0</v>
      </c>
      <c r="T7" s="769" t="s">
        <v>17</v>
      </c>
      <c r="U7" s="770">
        <f t="shared" ref="U7:U14" si="1">H7</f>
        <v>0</v>
      </c>
      <c r="V7" s="769" t="s">
        <v>17</v>
      </c>
      <c r="W7" s="770">
        <f t="shared" ref="W7:W14" si="2">J7</f>
        <v>0</v>
      </c>
      <c r="X7" s="771"/>
      <c r="Y7" s="3259" t="s">
        <v>2553</v>
      </c>
      <c r="Z7" s="3258"/>
      <c r="AA7" s="772" t="e">
        <f>D7/F7</f>
        <v>#DIV/0!</v>
      </c>
      <c r="AB7" s="772" t="e">
        <f>D7/H7</f>
        <v>#DIV/0!</v>
      </c>
      <c r="AC7" s="772" t="e">
        <f>D7/J7</f>
        <v>#DIV/0!</v>
      </c>
    </row>
    <row r="8" spans="1:29" s="116" customFormat="1" ht="15.75" thickBot="1">
      <c r="A8" s="407" t="s">
        <v>2554</v>
      </c>
      <c r="B8" s="408"/>
      <c r="C8" s="413" t="s">
        <v>2656</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59" t="s">
        <v>2556</v>
      </c>
      <c r="Q8" s="3258"/>
      <c r="R8" s="769" t="s">
        <v>17</v>
      </c>
      <c r="S8" s="770">
        <f t="shared" si="0"/>
        <v>0</v>
      </c>
      <c r="T8" s="769" t="s">
        <v>17</v>
      </c>
      <c r="U8" s="770">
        <f t="shared" si="1"/>
        <v>0</v>
      </c>
      <c r="V8" s="769" t="s">
        <v>17</v>
      </c>
      <c r="W8" s="770">
        <f t="shared" si="2"/>
        <v>0</v>
      </c>
      <c r="X8" s="771"/>
      <c r="Y8" s="3259" t="s">
        <v>2556</v>
      </c>
      <c r="Z8" s="3258"/>
      <c r="AA8" s="772" t="e">
        <f t="shared" ref="AA8:AA34" si="3">D8/F8</f>
        <v>#DIV/0!</v>
      </c>
      <c r="AB8" s="772" t="e">
        <f t="shared" ref="AB8:AB34" si="4">D8/H8</f>
        <v>#DIV/0!</v>
      </c>
      <c r="AC8" s="772" t="e">
        <f t="shared" ref="AC8:AC34" si="5">D8/J8</f>
        <v>#DIV/0!</v>
      </c>
    </row>
    <row r="9" spans="1:29" s="116" customFormat="1">
      <c r="A9" s="414" t="s">
        <v>2557</v>
      </c>
      <c r="B9" s="71" t="s">
        <v>2558</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218" t="s">
        <v>2559</v>
      </c>
      <c r="Q9" s="1794" t="str">
        <f t="shared" ref="Q9:Q14" si="6">B9</f>
        <v>用途</v>
      </c>
      <c r="R9" s="769" t="s">
        <v>17</v>
      </c>
      <c r="S9" s="770">
        <f t="shared" si="0"/>
        <v>100</v>
      </c>
      <c r="T9" s="769" t="s">
        <v>17</v>
      </c>
      <c r="U9" s="770">
        <f t="shared" si="1"/>
        <v>100</v>
      </c>
      <c r="V9" s="769" t="s">
        <v>17</v>
      </c>
      <c r="W9" s="770">
        <f t="shared" si="2"/>
        <v>100</v>
      </c>
      <c r="X9" s="771"/>
      <c r="Y9" s="3052" t="s">
        <v>2560</v>
      </c>
      <c r="Z9" s="55" t="str">
        <f t="shared" ref="Z9:Z14" si="7">Q9</f>
        <v>用途</v>
      </c>
      <c r="AA9" s="772">
        <f t="shared" si="3"/>
        <v>1</v>
      </c>
      <c r="AB9" s="772">
        <f t="shared" si="4"/>
        <v>1</v>
      </c>
      <c r="AC9" s="772">
        <f t="shared" si="5"/>
        <v>1</v>
      </c>
    </row>
    <row r="10" spans="1:29" s="426" customFormat="1" ht="27">
      <c r="A10" s="420"/>
      <c r="B10" s="421" t="s">
        <v>2561</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218"/>
      <c r="Q10" s="1794" t="str">
        <f t="shared" si="6"/>
        <v>土地使用年限（年）</v>
      </c>
      <c r="R10" s="769" t="s">
        <v>17</v>
      </c>
      <c r="S10" s="770">
        <f t="shared" si="0"/>
        <v>100</v>
      </c>
      <c r="T10" s="769" t="s">
        <v>17</v>
      </c>
      <c r="U10" s="770">
        <f t="shared" si="1"/>
        <v>100</v>
      </c>
      <c r="V10" s="769" t="s">
        <v>17</v>
      </c>
      <c r="W10" s="770">
        <f t="shared" si="2"/>
        <v>100</v>
      </c>
      <c r="X10" s="771"/>
      <c r="Y10" s="3052"/>
      <c r="Z10" s="55" t="str">
        <f t="shared" si="7"/>
        <v>土地使用年限（年）</v>
      </c>
      <c r="AA10" s="772">
        <f t="shared" si="3"/>
        <v>1</v>
      </c>
      <c r="AB10" s="772">
        <f t="shared" si="4"/>
        <v>1</v>
      </c>
      <c r="AC10" s="772">
        <f t="shared" si="5"/>
        <v>1</v>
      </c>
    </row>
    <row r="11" spans="1:29" ht="15">
      <c r="A11" s="427"/>
      <c r="B11" s="2600">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218"/>
      <c r="Q11" s="1794">
        <f t="shared" si="6"/>
        <v>111</v>
      </c>
      <c r="R11" s="769" t="s">
        <v>17</v>
      </c>
      <c r="S11" s="770">
        <f t="shared" si="0"/>
        <v>100</v>
      </c>
      <c r="T11" s="769" t="s">
        <v>17</v>
      </c>
      <c r="U11" s="770">
        <f t="shared" si="1"/>
        <v>100</v>
      </c>
      <c r="V11" s="769" t="s">
        <v>17</v>
      </c>
      <c r="W11" s="770">
        <f t="shared" si="2"/>
        <v>100</v>
      </c>
      <c r="X11" s="771"/>
      <c r="Y11" s="3052"/>
      <c r="Z11" s="55">
        <f t="shared" si="7"/>
        <v>111</v>
      </c>
      <c r="AA11" s="772">
        <f t="shared" si="3"/>
        <v>1</v>
      </c>
      <c r="AB11" s="772">
        <f t="shared" si="4"/>
        <v>1</v>
      </c>
      <c r="AC11" s="772">
        <f t="shared" si="5"/>
        <v>1</v>
      </c>
    </row>
    <row r="12" spans="1:29" s="116" customFormat="1" ht="15">
      <c r="A12" s="430"/>
      <c r="B12" s="2600">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218"/>
      <c r="Q12" s="1794">
        <f t="shared" si="6"/>
        <v>111</v>
      </c>
      <c r="R12" s="769" t="s">
        <v>17</v>
      </c>
      <c r="S12" s="770">
        <f t="shared" si="0"/>
        <v>100</v>
      </c>
      <c r="T12" s="769" t="s">
        <v>17</v>
      </c>
      <c r="U12" s="770">
        <f t="shared" si="1"/>
        <v>100</v>
      </c>
      <c r="V12" s="769" t="s">
        <v>17</v>
      </c>
      <c r="W12" s="770">
        <f t="shared" si="2"/>
        <v>100</v>
      </c>
      <c r="X12" s="771"/>
      <c r="Y12" s="3052"/>
      <c r="Z12" s="55">
        <f t="shared" si="7"/>
        <v>111</v>
      </c>
      <c r="AA12" s="772">
        <f>D12/F12</f>
        <v>1</v>
      </c>
      <c r="AB12" s="772">
        <f>D12/H12</f>
        <v>1</v>
      </c>
      <c r="AC12" s="772">
        <f>D12/J12</f>
        <v>1</v>
      </c>
    </row>
    <row r="13" spans="1:29" ht="15.75" thickBot="1">
      <c r="A13" s="427"/>
      <c r="B13" s="2600">
        <v>111</v>
      </c>
      <c r="C13" s="433"/>
      <c r="D13" s="434">
        <v>100</v>
      </c>
      <c r="E13" s="468"/>
      <c r="F13" s="424">
        <f>SUMIF(59:59,E13,60:60)-SUMIF(59:59,C13,60:60)+100</f>
        <v>100</v>
      </c>
      <c r="G13" s="2697"/>
      <c r="H13" s="437">
        <f>SUMIF(59:59,G13,60:60)-SUMIF(59:59,C13,60:60)+100</f>
        <v>100</v>
      </c>
      <c r="I13" s="468"/>
      <c r="J13" s="434">
        <f>SUMIF(59:59,I13,60:60)-SUMIF(59:59,C13,60:60)+100</f>
        <v>100</v>
      </c>
      <c r="K13" s="612"/>
      <c r="L13" s="1139"/>
      <c r="M13" s="1130"/>
      <c r="N13" s="1130"/>
      <c r="O13" s="1138"/>
      <c r="P13" s="3218"/>
      <c r="Q13" s="1794">
        <f t="shared" si="6"/>
        <v>111</v>
      </c>
      <c r="R13" s="769" t="s">
        <v>17</v>
      </c>
      <c r="S13" s="770">
        <f t="shared" si="0"/>
        <v>100</v>
      </c>
      <c r="T13" s="769" t="s">
        <v>17</v>
      </c>
      <c r="U13" s="770">
        <f t="shared" si="1"/>
        <v>100</v>
      </c>
      <c r="V13" s="769" t="s">
        <v>17</v>
      </c>
      <c r="W13" s="770">
        <f t="shared" si="2"/>
        <v>100</v>
      </c>
      <c r="X13" s="771"/>
      <c r="Y13" s="3052"/>
      <c r="Z13" s="55">
        <f t="shared" si="7"/>
        <v>111</v>
      </c>
      <c r="AA13" s="772">
        <f t="shared" si="3"/>
        <v>1</v>
      </c>
      <c r="AB13" s="772">
        <f t="shared" si="4"/>
        <v>1</v>
      </c>
      <c r="AC13" s="772">
        <f t="shared" si="5"/>
        <v>1</v>
      </c>
    </row>
    <row r="14" spans="1:29" ht="85.5">
      <c r="A14" s="439" t="s">
        <v>2563</v>
      </c>
      <c r="B14" s="69" t="s">
        <v>2713</v>
      </c>
      <c r="C14" s="2693"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25" t="s">
        <v>2564</v>
      </c>
      <c r="Q14" s="1809" t="str">
        <f t="shared" si="6"/>
        <v>交通便捷度</v>
      </c>
      <c r="R14" s="773" t="s">
        <v>17</v>
      </c>
      <c r="S14" s="774">
        <f t="shared" si="0"/>
        <v>100</v>
      </c>
      <c r="T14" s="773" t="s">
        <v>17</v>
      </c>
      <c r="U14" s="774">
        <f t="shared" si="1"/>
        <v>100</v>
      </c>
      <c r="V14" s="773" t="s">
        <v>17</v>
      </c>
      <c r="W14" s="774">
        <f t="shared" si="2"/>
        <v>100</v>
      </c>
      <c r="X14" s="1812"/>
      <c r="Y14" s="3225" t="s">
        <v>2564</v>
      </c>
      <c r="Z14" s="1813" t="str">
        <f t="shared" si="7"/>
        <v>交通便捷度</v>
      </c>
      <c r="AA14" s="1810">
        <f t="shared" si="3"/>
        <v>1</v>
      </c>
      <c r="AB14" s="1810">
        <f t="shared" si="4"/>
        <v>1</v>
      </c>
      <c r="AC14" s="1810">
        <f t="shared" si="5"/>
        <v>1</v>
      </c>
    </row>
    <row r="15" spans="1:29" ht="15">
      <c r="A15" s="427"/>
      <c r="B15" s="445"/>
      <c r="C15" s="446"/>
      <c r="D15" s="447"/>
      <c r="E15" s="446"/>
      <c r="F15" s="448"/>
      <c r="G15" s="446"/>
      <c r="H15" s="449"/>
      <c r="I15" s="446"/>
      <c r="J15" s="447"/>
      <c r="K15" s="614"/>
      <c r="L15" s="1139"/>
      <c r="M15" s="1130"/>
      <c r="N15" s="1130"/>
      <c r="O15" s="1138"/>
      <c r="P15" s="3226"/>
      <c r="Q15" s="1809"/>
      <c r="R15" s="773"/>
      <c r="S15" s="774"/>
      <c r="T15" s="773"/>
      <c r="U15" s="774"/>
      <c r="V15" s="773"/>
      <c r="W15" s="774"/>
      <c r="X15" s="1812"/>
      <c r="Y15" s="3226"/>
      <c r="Z15" s="1813"/>
      <c r="AA15" s="1810">
        <v>1</v>
      </c>
      <c r="AB15" s="1810">
        <v>1</v>
      </c>
      <c r="AC15" s="1810">
        <v>1</v>
      </c>
    </row>
    <row r="16" spans="1:29" ht="42.75">
      <c r="A16" s="427"/>
      <c r="B16" s="450" t="s">
        <v>2692</v>
      </c>
      <c r="C16" s="2607"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26"/>
      <c r="Q16" s="1809" t="str">
        <f>B16</f>
        <v>公共配套设施</v>
      </c>
      <c r="R16" s="773" t="s">
        <v>17</v>
      </c>
      <c r="S16" s="774">
        <f>F16</f>
        <v>100</v>
      </c>
      <c r="T16" s="773" t="s">
        <v>17</v>
      </c>
      <c r="U16" s="774">
        <f>H16</f>
        <v>100</v>
      </c>
      <c r="V16" s="773" t="s">
        <v>17</v>
      </c>
      <c r="W16" s="774">
        <f>J16</f>
        <v>100</v>
      </c>
      <c r="X16" s="1812"/>
      <c r="Y16" s="3226"/>
      <c r="Z16" s="1813" t="str">
        <f>Q16</f>
        <v>公共配套设施</v>
      </c>
      <c r="AA16" s="1810">
        <f t="shared" si="3"/>
        <v>1</v>
      </c>
      <c r="AB16" s="1810">
        <f t="shared" si="4"/>
        <v>1</v>
      </c>
      <c r="AC16" s="1810">
        <f t="shared" si="5"/>
        <v>1</v>
      </c>
    </row>
    <row r="17" spans="1:29" ht="15">
      <c r="A17" s="427"/>
      <c r="B17" s="455"/>
      <c r="C17" s="2608"/>
      <c r="D17" s="447"/>
      <c r="E17" s="446"/>
      <c r="F17" s="448"/>
      <c r="G17" s="446"/>
      <c r="H17" s="447"/>
      <c r="I17" s="446"/>
      <c r="J17" s="447"/>
      <c r="K17" s="614"/>
      <c r="L17" s="1139"/>
      <c r="M17" s="1130"/>
      <c r="N17" s="1130"/>
      <c r="O17" s="1138"/>
      <c r="P17" s="3226"/>
      <c r="Q17" s="1809"/>
      <c r="R17" s="773"/>
      <c r="S17" s="774"/>
      <c r="T17" s="773"/>
      <c r="U17" s="774"/>
      <c r="V17" s="773"/>
      <c r="W17" s="774"/>
      <c r="X17" s="1812"/>
      <c r="Y17" s="3226"/>
      <c r="Z17" s="1813"/>
      <c r="AA17" s="1810">
        <v>1</v>
      </c>
      <c r="AB17" s="1810">
        <v>1</v>
      </c>
      <c r="AC17" s="1810">
        <v>1</v>
      </c>
    </row>
    <row r="18" spans="1:29" ht="28.5">
      <c r="A18" s="427"/>
      <c r="B18" s="1383" t="s">
        <v>2693</v>
      </c>
      <c r="C18" s="2607"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26"/>
      <c r="Q18" s="1809" t="str">
        <f>B18</f>
        <v>基础设施水平</v>
      </c>
      <c r="R18" s="773" t="s">
        <v>17</v>
      </c>
      <c r="S18" s="774">
        <f>F18</f>
        <v>100</v>
      </c>
      <c r="T18" s="773" t="s">
        <v>17</v>
      </c>
      <c r="U18" s="774">
        <f>H18</f>
        <v>100</v>
      </c>
      <c r="V18" s="773" t="s">
        <v>17</v>
      </c>
      <c r="W18" s="774">
        <f>J18</f>
        <v>100</v>
      </c>
      <c r="X18" s="1812"/>
      <c r="Y18" s="3226"/>
      <c r="Z18" s="1813" t="str">
        <f>Q18</f>
        <v>基础设施水平</v>
      </c>
      <c r="AA18" s="1810">
        <f t="shared" ref="AA18" si="8">D18/F18</f>
        <v>1</v>
      </c>
      <c r="AB18" s="1810">
        <f t="shared" ref="AB18" si="9">D18/H18</f>
        <v>1</v>
      </c>
      <c r="AC18" s="1810">
        <f t="shared" ref="AC18" si="10">D18/J18</f>
        <v>1</v>
      </c>
    </row>
    <row r="19" spans="1:29" ht="15">
      <c r="A19" s="427"/>
      <c r="B19" s="1383"/>
      <c r="C19" s="2608"/>
      <c r="D19" s="449"/>
      <c r="E19" s="2608"/>
      <c r="F19" s="452"/>
      <c r="G19" s="2608"/>
      <c r="H19" s="447"/>
      <c r="I19" s="446"/>
      <c r="J19" s="447"/>
      <c r="K19" s="1382"/>
      <c r="L19" s="1139"/>
      <c r="M19" s="1130"/>
      <c r="N19" s="1130"/>
      <c r="O19" s="1138"/>
      <c r="P19" s="3226"/>
      <c r="Q19" s="1809"/>
      <c r="R19" s="773"/>
      <c r="S19" s="774"/>
      <c r="T19" s="773"/>
      <c r="U19" s="774"/>
      <c r="V19" s="773"/>
      <c r="W19" s="774"/>
      <c r="X19" s="1812"/>
      <c r="Y19" s="3226"/>
      <c r="Z19" s="1813"/>
      <c r="AA19" s="1810">
        <v>1</v>
      </c>
      <c r="AB19" s="1810">
        <v>1</v>
      </c>
      <c r="AC19" s="1810">
        <v>1</v>
      </c>
    </row>
    <row r="20" spans="1:29" ht="57">
      <c r="A20" s="427"/>
      <c r="B20" s="450" t="s">
        <v>2714</v>
      </c>
      <c r="C20" s="2607"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26"/>
      <c r="Q20" s="1809" t="str">
        <f>B20</f>
        <v>自然及人文环境</v>
      </c>
      <c r="R20" s="773" t="s">
        <v>17</v>
      </c>
      <c r="S20" s="774">
        <f>F20</f>
        <v>100</v>
      </c>
      <c r="T20" s="773" t="s">
        <v>17</v>
      </c>
      <c r="U20" s="774">
        <f>H20</f>
        <v>100</v>
      </c>
      <c r="V20" s="773" t="s">
        <v>17</v>
      </c>
      <c r="W20" s="774">
        <f>J20</f>
        <v>100</v>
      </c>
      <c r="X20" s="1812"/>
      <c r="Y20" s="3226"/>
      <c r="Z20" s="1813" t="str">
        <f>Q20</f>
        <v>自然及人文环境</v>
      </c>
      <c r="AA20" s="1810">
        <f t="shared" si="3"/>
        <v>1</v>
      </c>
      <c r="AB20" s="1810">
        <f t="shared" si="4"/>
        <v>1</v>
      </c>
      <c r="AC20" s="1810">
        <f t="shared" si="5"/>
        <v>1</v>
      </c>
    </row>
    <row r="21" spans="1:29" ht="15">
      <c r="A21" s="427"/>
      <c r="B21" s="455"/>
      <c r="C21" s="446"/>
      <c r="D21" s="447"/>
      <c r="E21" s="446"/>
      <c r="F21" s="448"/>
      <c r="G21" s="446"/>
      <c r="H21" s="447"/>
      <c r="I21" s="446"/>
      <c r="J21" s="447"/>
      <c r="K21" s="614"/>
      <c r="L21" s="1139"/>
      <c r="M21" s="1130"/>
      <c r="N21" s="1130"/>
      <c r="O21" s="1138"/>
      <c r="P21" s="3226"/>
      <c r="Q21" s="1809"/>
      <c r="R21" s="773"/>
      <c r="S21" s="774"/>
      <c r="T21" s="773"/>
      <c r="U21" s="774"/>
      <c r="V21" s="773"/>
      <c r="W21" s="774"/>
      <c r="X21" s="1812"/>
      <c r="Y21" s="3226"/>
      <c r="Z21" s="1813"/>
      <c r="AA21" s="1810">
        <v>1</v>
      </c>
      <c r="AB21" s="1810">
        <v>1</v>
      </c>
      <c r="AC21" s="1810">
        <v>1</v>
      </c>
    </row>
    <row r="22" spans="1:29" ht="15">
      <c r="A22" s="427"/>
      <c r="B22" s="450" t="s">
        <v>2715</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26"/>
      <c r="Q22" s="1809" t="str">
        <f>B22</f>
        <v>楼层</v>
      </c>
      <c r="R22" s="773" t="s">
        <v>17</v>
      </c>
      <c r="S22" s="774">
        <f>F22</f>
        <v>100</v>
      </c>
      <c r="T22" s="773" t="s">
        <v>17</v>
      </c>
      <c r="U22" s="774">
        <f>H22</f>
        <v>100</v>
      </c>
      <c r="V22" s="773" t="s">
        <v>17</v>
      </c>
      <c r="W22" s="774">
        <f>J22</f>
        <v>100</v>
      </c>
      <c r="X22" s="1812"/>
      <c r="Y22" s="3226"/>
      <c r="Z22" s="1813" t="str">
        <f>Q22</f>
        <v>楼层</v>
      </c>
      <c r="AA22" s="1810">
        <f t="shared" si="3"/>
        <v>1</v>
      </c>
      <c r="AB22" s="1810">
        <f t="shared" si="4"/>
        <v>1</v>
      </c>
      <c r="AC22" s="1810">
        <f t="shared" si="5"/>
        <v>1</v>
      </c>
    </row>
    <row r="23" spans="1:29" ht="15">
      <c r="A23" s="403"/>
      <c r="B23" s="2600">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26"/>
      <c r="Q23" s="1809">
        <f>B23</f>
        <v>111</v>
      </c>
      <c r="R23" s="773" t="s">
        <v>17</v>
      </c>
      <c r="S23" s="774">
        <f>F23</f>
        <v>100</v>
      </c>
      <c r="T23" s="773" t="s">
        <v>17</v>
      </c>
      <c r="U23" s="774">
        <f>H23</f>
        <v>100</v>
      </c>
      <c r="V23" s="773" t="s">
        <v>17</v>
      </c>
      <c r="W23" s="774">
        <f>J23</f>
        <v>100</v>
      </c>
      <c r="X23" s="1812"/>
      <c r="Y23" s="3226"/>
      <c r="Z23" s="1813">
        <f>Q23</f>
        <v>111</v>
      </c>
      <c r="AA23" s="1810">
        <f t="shared" si="3"/>
        <v>1</v>
      </c>
      <c r="AB23" s="1810">
        <f t="shared" si="4"/>
        <v>1</v>
      </c>
      <c r="AC23" s="1810">
        <f t="shared" si="5"/>
        <v>1</v>
      </c>
    </row>
    <row r="24" spans="1:29" ht="15">
      <c r="A24" s="427"/>
      <c r="B24" s="2600">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26"/>
      <c r="Q24" s="1809">
        <f t="shared" ref="Q24:Q34" si="11">B24</f>
        <v>111</v>
      </c>
      <c r="R24" s="773" t="s">
        <v>17</v>
      </c>
      <c r="S24" s="774">
        <f>F24</f>
        <v>100</v>
      </c>
      <c r="T24" s="773" t="s">
        <v>17</v>
      </c>
      <c r="U24" s="774">
        <f>H24</f>
        <v>100</v>
      </c>
      <c r="V24" s="773" t="s">
        <v>17</v>
      </c>
      <c r="W24" s="774">
        <f>J24</f>
        <v>100</v>
      </c>
      <c r="X24" s="1812"/>
      <c r="Y24" s="3226"/>
      <c r="Z24" s="1813">
        <f>Q24</f>
        <v>111</v>
      </c>
      <c r="AA24" s="1810">
        <f t="shared" si="3"/>
        <v>1</v>
      </c>
      <c r="AB24" s="1810">
        <f t="shared" si="4"/>
        <v>1</v>
      </c>
      <c r="AC24" s="1810">
        <f t="shared" si="5"/>
        <v>1</v>
      </c>
    </row>
    <row r="25" spans="1:29" s="116" customFormat="1" ht="15.75" thickBot="1">
      <c r="A25" s="430"/>
      <c r="B25" s="2600">
        <v>111</v>
      </c>
      <c r="C25" s="2698"/>
      <c r="D25" s="664">
        <v>100</v>
      </c>
      <c r="E25" s="2698"/>
      <c r="F25" s="665">
        <f>SUMIF(75:75,E25,76:76)-SUMIF(75:75,C25,76:76)+100</f>
        <v>100</v>
      </c>
      <c r="G25" s="2698"/>
      <c r="H25" s="664">
        <f>SUMIF(75:75,G25,76:76)-SUMIF(75:75,C25,76:76)+100</f>
        <v>100</v>
      </c>
      <c r="I25" s="2698"/>
      <c r="J25" s="664">
        <f>SUMIF(75:75,I25,76:76)-SUMIF(75:75,C25,76:76)+100</f>
        <v>100</v>
      </c>
      <c r="K25" s="612"/>
      <c r="L25" s="1131"/>
      <c r="M25" s="1132"/>
      <c r="N25" s="1132"/>
      <c r="O25" s="1133"/>
      <c r="P25" s="3226"/>
      <c r="Q25" s="1794">
        <f t="shared" si="11"/>
        <v>111</v>
      </c>
      <c r="R25" s="769" t="s">
        <v>17</v>
      </c>
      <c r="S25" s="770">
        <f>F25</f>
        <v>100</v>
      </c>
      <c r="T25" s="769" t="s">
        <v>17</v>
      </c>
      <c r="U25" s="770">
        <f>H25</f>
        <v>100</v>
      </c>
      <c r="V25" s="769" t="s">
        <v>17</v>
      </c>
      <c r="W25" s="770">
        <f>J25</f>
        <v>100</v>
      </c>
      <c r="X25" s="771"/>
      <c r="Y25" s="3226"/>
      <c r="Z25" s="55">
        <f>Q25</f>
        <v>111</v>
      </c>
      <c r="AA25" s="1810">
        <f>D25/F25</f>
        <v>1</v>
      </c>
      <c r="AB25" s="1810">
        <f>D25/H25</f>
        <v>1</v>
      </c>
      <c r="AC25" s="1810">
        <f>D25/J25</f>
        <v>1</v>
      </c>
    </row>
    <row r="26" spans="1:29" ht="15">
      <c r="A26" s="465" t="s">
        <v>2567</v>
      </c>
      <c r="B26" s="71" t="s">
        <v>2718</v>
      </c>
      <c r="C26" s="2679"/>
      <c r="D26" s="466">
        <v>100</v>
      </c>
      <c r="E26" s="2679"/>
      <c r="F26" s="666">
        <f>SUMIF(77:77,E26,78:78)-SUMIF(77:77,C26,78:78)+100</f>
        <v>100</v>
      </c>
      <c r="G26" s="2679"/>
      <c r="H26" s="466">
        <f>SUMIF(77:77,G26,78:78)-SUMIF(77:77,C26,78:78)+100</f>
        <v>100</v>
      </c>
      <c r="I26" s="2679"/>
      <c r="J26" s="466">
        <f>SUMIF(77:77,I26,78:78)-SUMIF(77:77,C26,78:78)+100</f>
        <v>100</v>
      </c>
      <c r="K26" s="611"/>
      <c r="L26" s="1139"/>
      <c r="M26" s="1130"/>
      <c r="N26" s="1130"/>
      <c r="O26" s="1138"/>
      <c r="P26" s="3307" t="s">
        <v>2569</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230" t="s">
        <v>2569</v>
      </c>
      <c r="Z26" s="1813" t="str">
        <f t="shared" ref="Z26:Z34" si="15">Q26</f>
        <v>公共部分装修</v>
      </c>
      <c r="AA26" s="1810">
        <f t="shared" si="3"/>
        <v>1</v>
      </c>
      <c r="AB26" s="1810">
        <f t="shared" si="4"/>
        <v>1</v>
      </c>
      <c r="AC26" s="1810">
        <f t="shared" si="5"/>
        <v>1</v>
      </c>
    </row>
    <row r="27" spans="1:29" s="470" customFormat="1" ht="15">
      <c r="A27" s="467"/>
      <c r="B27" s="421" t="s">
        <v>2719</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30"/>
      <c r="Q27" s="775" t="str">
        <f t="shared" si="11"/>
        <v>成新率</v>
      </c>
      <c r="R27" s="776" t="s">
        <v>17</v>
      </c>
      <c r="S27" s="777" t="e">
        <f t="shared" si="12"/>
        <v>#N/A</v>
      </c>
      <c r="T27" s="776" t="s">
        <v>17</v>
      </c>
      <c r="U27" s="777" t="e">
        <f t="shared" si="13"/>
        <v>#N/A</v>
      </c>
      <c r="V27" s="776" t="s">
        <v>17</v>
      </c>
      <c r="W27" s="777" t="e">
        <f t="shared" si="14"/>
        <v>#N/A</v>
      </c>
      <c r="X27" s="778"/>
      <c r="Y27" s="3230"/>
      <c r="Z27" s="779" t="str">
        <f t="shared" si="15"/>
        <v>成新率</v>
      </c>
      <c r="AA27" s="1810" t="e">
        <f t="shared" si="3"/>
        <v>#N/A</v>
      </c>
      <c r="AB27" s="1810" t="e">
        <f t="shared" si="4"/>
        <v>#N/A</v>
      </c>
      <c r="AC27" s="1810" t="e">
        <f t="shared" si="5"/>
        <v>#N/A</v>
      </c>
    </row>
    <row r="28" spans="1:29" ht="15">
      <c r="A28" s="471"/>
      <c r="B28" s="421" t="s">
        <v>2720</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30"/>
      <c r="Q28" s="1809" t="str">
        <f t="shared" si="11"/>
        <v>物业等级</v>
      </c>
      <c r="R28" s="773" t="s">
        <v>17</v>
      </c>
      <c r="S28" s="774">
        <f t="shared" si="12"/>
        <v>100</v>
      </c>
      <c r="T28" s="773" t="s">
        <v>17</v>
      </c>
      <c r="U28" s="774">
        <f t="shared" si="13"/>
        <v>100</v>
      </c>
      <c r="V28" s="773" t="s">
        <v>17</v>
      </c>
      <c r="W28" s="774">
        <f t="shared" si="14"/>
        <v>100</v>
      </c>
      <c r="X28" s="1812"/>
      <c r="Y28" s="3230"/>
      <c r="Z28" s="1813" t="str">
        <f t="shared" si="15"/>
        <v>物业等级</v>
      </c>
      <c r="AA28" s="1810">
        <f t="shared" si="3"/>
        <v>1</v>
      </c>
      <c r="AB28" s="1810">
        <f t="shared" si="4"/>
        <v>1</v>
      </c>
      <c r="AC28" s="1810">
        <f t="shared" si="5"/>
        <v>1</v>
      </c>
    </row>
    <row r="29" spans="1:29" ht="15">
      <c r="A29" s="471"/>
      <c r="B29" s="421" t="s">
        <v>2741</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230"/>
      <c r="Q29" s="1809" t="str">
        <f t="shared" si="11"/>
        <v>有无电梯</v>
      </c>
      <c r="R29" s="773" t="s">
        <v>17</v>
      </c>
      <c r="S29" s="774">
        <f t="shared" si="12"/>
        <v>100</v>
      </c>
      <c r="T29" s="773" t="s">
        <v>17</v>
      </c>
      <c r="U29" s="774">
        <f t="shared" si="13"/>
        <v>100</v>
      </c>
      <c r="V29" s="773" t="s">
        <v>17</v>
      </c>
      <c r="W29" s="774">
        <f t="shared" si="14"/>
        <v>100</v>
      </c>
      <c r="X29" s="1812"/>
      <c r="Y29" s="3230"/>
      <c r="Z29" s="1813" t="str">
        <f t="shared" si="15"/>
        <v>有无电梯</v>
      </c>
      <c r="AA29" s="1810">
        <f t="shared" si="3"/>
        <v>1</v>
      </c>
      <c r="AB29" s="1810">
        <f t="shared" si="4"/>
        <v>1</v>
      </c>
      <c r="AC29" s="1810">
        <f t="shared" si="5"/>
        <v>1</v>
      </c>
    </row>
    <row r="30" spans="1:29" ht="15">
      <c r="A30" s="471"/>
      <c r="B30" s="421" t="s">
        <v>2742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30"/>
      <c r="Q30" s="1809" t="str">
        <f t="shared" si="11"/>
        <v>建筑面积</v>
      </c>
      <c r="R30" s="773" t="s">
        <v>17</v>
      </c>
      <c r="S30" s="774" t="e">
        <f t="shared" si="12"/>
        <v>#N/A</v>
      </c>
      <c r="T30" s="773" t="s">
        <v>17</v>
      </c>
      <c r="U30" s="774" t="e">
        <f t="shared" si="13"/>
        <v>#N/A</v>
      </c>
      <c r="V30" s="773" t="s">
        <v>17</v>
      </c>
      <c r="W30" s="774" t="e">
        <f t="shared" si="14"/>
        <v>#N/A</v>
      </c>
      <c r="X30" s="1812"/>
      <c r="Y30" s="3230"/>
      <c r="Z30" s="1813" t="str">
        <f t="shared" si="15"/>
        <v>建筑面积</v>
      </c>
      <c r="AA30" s="1810" t="e">
        <f t="shared" si="3"/>
        <v>#N/A</v>
      </c>
      <c r="AB30" s="1810" t="e">
        <f t="shared" si="4"/>
        <v>#N/A</v>
      </c>
      <c r="AC30" s="1810" t="e">
        <f t="shared" si="5"/>
        <v>#N/A</v>
      </c>
    </row>
    <row r="31" spans="1:29" s="116" customFormat="1" ht="15">
      <c r="A31" s="472"/>
      <c r="B31" s="421" t="s">
        <v>2743</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230"/>
      <c r="Q31" s="1794" t="str">
        <f t="shared" si="11"/>
        <v>是否封闭</v>
      </c>
      <c r="R31" s="769" t="s">
        <v>17</v>
      </c>
      <c r="S31" s="770">
        <f t="shared" si="12"/>
        <v>100</v>
      </c>
      <c r="T31" s="769" t="s">
        <v>17</v>
      </c>
      <c r="U31" s="770">
        <f t="shared" si="13"/>
        <v>100</v>
      </c>
      <c r="V31" s="769" t="s">
        <v>17</v>
      </c>
      <c r="W31" s="770">
        <f t="shared" si="14"/>
        <v>100</v>
      </c>
      <c r="X31" s="771"/>
      <c r="Y31" s="3230"/>
      <c r="Z31" s="55" t="str">
        <f t="shared" si="15"/>
        <v>是否封闭</v>
      </c>
      <c r="AA31" s="772">
        <f t="shared" si="3"/>
        <v>1</v>
      </c>
      <c r="AB31" s="772">
        <f t="shared" si="4"/>
        <v>1</v>
      </c>
      <c r="AC31" s="772">
        <f t="shared" si="5"/>
        <v>1</v>
      </c>
    </row>
    <row r="32" spans="1:29" ht="15">
      <c r="A32" s="471"/>
      <c r="B32" s="2600">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30" t="s">
        <v>2569</v>
      </c>
      <c r="Q32" s="1809">
        <f t="shared" si="11"/>
        <v>111</v>
      </c>
      <c r="R32" s="773" t="s">
        <v>17</v>
      </c>
      <c r="S32" s="774">
        <f t="shared" si="12"/>
        <v>100</v>
      </c>
      <c r="T32" s="773" t="s">
        <v>17</v>
      </c>
      <c r="U32" s="774">
        <f t="shared" si="13"/>
        <v>100</v>
      </c>
      <c r="V32" s="773" t="s">
        <v>17</v>
      </c>
      <c r="W32" s="774">
        <f t="shared" si="14"/>
        <v>100</v>
      </c>
      <c r="X32" s="1812"/>
      <c r="Y32" s="3230" t="s">
        <v>2569</v>
      </c>
      <c r="Z32" s="1813">
        <f t="shared" si="15"/>
        <v>111</v>
      </c>
      <c r="AA32" s="1810">
        <f t="shared" si="3"/>
        <v>1</v>
      </c>
      <c r="AB32" s="1810">
        <f t="shared" si="4"/>
        <v>1</v>
      </c>
      <c r="AC32" s="1810">
        <f t="shared" si="5"/>
        <v>1</v>
      </c>
    </row>
    <row r="33" spans="1:29" ht="15">
      <c r="A33" s="471"/>
      <c r="B33" s="2600">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30"/>
      <c r="Q33" s="1809">
        <f t="shared" si="11"/>
        <v>111</v>
      </c>
      <c r="R33" s="773" t="s">
        <v>17</v>
      </c>
      <c r="S33" s="774">
        <f t="shared" si="12"/>
        <v>100</v>
      </c>
      <c r="T33" s="773" t="s">
        <v>17</v>
      </c>
      <c r="U33" s="774">
        <f t="shared" si="13"/>
        <v>100</v>
      </c>
      <c r="V33" s="773" t="s">
        <v>17</v>
      </c>
      <c r="W33" s="774">
        <f t="shared" si="14"/>
        <v>100</v>
      </c>
      <c r="X33" s="1812"/>
      <c r="Y33" s="3230"/>
      <c r="Z33" s="1813">
        <f t="shared" si="15"/>
        <v>111</v>
      </c>
      <c r="AA33" s="1810">
        <f t="shared" si="3"/>
        <v>1</v>
      </c>
      <c r="AB33" s="1810">
        <f t="shared" si="4"/>
        <v>1</v>
      </c>
      <c r="AC33" s="1810">
        <f t="shared" si="5"/>
        <v>1</v>
      </c>
    </row>
    <row r="34" spans="1:29" ht="15.75" thickBot="1">
      <c r="A34" s="477"/>
      <c r="B34" s="2602">
        <v>111</v>
      </c>
      <c r="C34" s="436"/>
      <c r="D34" s="437">
        <v>100</v>
      </c>
      <c r="E34" s="2697"/>
      <c r="F34" s="438">
        <f>SUMIF(95:95,E34,96:96)-SUMIF(95:95,C34,96:96)+100</f>
        <v>100</v>
      </c>
      <c r="G34" s="2697"/>
      <c r="H34" s="437">
        <f>SUMIF(95:95,G34,96:96)-SUMIF(95:95,C34,96:96)+100</f>
        <v>100</v>
      </c>
      <c r="I34" s="2697"/>
      <c r="J34" s="437">
        <f>SUMIF(95:95,I34,96:96)-SUMIF(95:95,C34,96:96)+100</f>
        <v>100</v>
      </c>
      <c r="K34" s="612"/>
      <c r="L34" s="1139"/>
      <c r="M34" s="1130"/>
      <c r="N34" s="1130"/>
      <c r="O34" s="1138"/>
      <c r="P34" s="3230"/>
      <c r="Q34" s="1809">
        <f t="shared" si="11"/>
        <v>111</v>
      </c>
      <c r="R34" s="773" t="s">
        <v>17</v>
      </c>
      <c r="S34" s="774">
        <f t="shared" si="12"/>
        <v>100</v>
      </c>
      <c r="T34" s="773" t="s">
        <v>17</v>
      </c>
      <c r="U34" s="774">
        <f t="shared" si="13"/>
        <v>100</v>
      </c>
      <c r="V34" s="773" t="s">
        <v>17</v>
      </c>
      <c r="W34" s="774">
        <f t="shared" si="14"/>
        <v>100</v>
      </c>
      <c r="X34" s="1812"/>
      <c r="Y34" s="3230"/>
      <c r="Z34" s="1813">
        <f t="shared" si="15"/>
        <v>111</v>
      </c>
      <c r="AA34" s="1810">
        <f t="shared" si="3"/>
        <v>1</v>
      </c>
      <c r="AB34" s="1810">
        <f t="shared" si="4"/>
        <v>1</v>
      </c>
      <c r="AC34" s="1810">
        <f t="shared" si="5"/>
        <v>1</v>
      </c>
    </row>
    <row r="35" spans="1:29" ht="15">
      <c r="A35" s="478" t="s">
        <v>2581</v>
      </c>
      <c r="B35" s="479"/>
      <c r="C35" s="1406" t="s">
        <v>1</v>
      </c>
      <c r="D35" s="1407"/>
      <c r="E35" s="1408"/>
      <c r="F35" s="1409"/>
      <c r="G35" s="1410"/>
      <c r="H35" s="1411"/>
      <c r="I35" s="1408"/>
      <c r="J35" s="1411"/>
      <c r="K35" s="782"/>
      <c r="L35" s="1142"/>
      <c r="M35" s="1143"/>
      <c r="N35" s="1130"/>
      <c r="O35" s="1143"/>
      <c r="P35" s="3218" t="str">
        <f>A35</f>
        <v>成交单价（元/平方米）</v>
      </c>
      <c r="Q35" s="3218"/>
      <c r="R35" s="3219">
        <f>E35</f>
        <v>0</v>
      </c>
      <c r="S35" s="3219"/>
      <c r="T35" s="3219">
        <f>G35</f>
        <v>0</v>
      </c>
      <c r="U35" s="3219"/>
      <c r="V35" s="3219">
        <f>I35</f>
        <v>0</v>
      </c>
      <c r="W35" s="3219"/>
      <c r="X35" s="758"/>
      <c r="Y35" s="780"/>
      <c r="Z35" s="758"/>
      <c r="AA35" s="758"/>
      <c r="AB35" s="758"/>
      <c r="AC35" s="758"/>
    </row>
    <row r="36" spans="1:29" ht="15.75" thickBot="1">
      <c r="A36" s="485" t="s">
        <v>2673</v>
      </c>
      <c r="B36" s="486"/>
      <c r="C36" s="1412" t="e">
        <f>R37</f>
        <v>#DIV/0!</v>
      </c>
      <c r="D36" s="1413"/>
      <c r="E36" s="1414" t="e">
        <f>R36</f>
        <v>#DIV/0!</v>
      </c>
      <c r="F36" s="1414"/>
      <c r="G36" s="1412" t="e">
        <f>T36</f>
        <v>#DIV/0!</v>
      </c>
      <c r="H36" s="1413"/>
      <c r="I36" s="1414" t="e">
        <f>V36</f>
        <v>#DIV/0!</v>
      </c>
      <c r="J36" s="1413"/>
      <c r="K36" s="783"/>
      <c r="L36" s="1142"/>
      <c r="M36" s="1143"/>
      <c r="N36" s="1130"/>
      <c r="O36" s="1143"/>
      <c r="P36" s="3218" t="str">
        <f>A36</f>
        <v>比较价值（元/平方米）</v>
      </c>
      <c r="Q36" s="3218"/>
      <c r="R36" s="3219" t="e">
        <f>IF(F1="售价",ROUND(PRODUCT(R35,AA7:AA34),0),ROUND(PRODUCT(R35,AA7:AA34),1))</f>
        <v>#DIV/0!</v>
      </c>
      <c r="S36" s="3219"/>
      <c r="T36" s="3219" t="e">
        <f>IF(F1="售价",ROUND(PRODUCT(T35,AB7:AB34),0),ROUND(PRODUCT(T35,AB7:AB34),1))</f>
        <v>#DIV/0!</v>
      </c>
      <c r="U36" s="3219"/>
      <c r="V36" s="3219" t="e">
        <f>IF(F1="售价",ROUND(PRODUCT(V35,AC7:AC34),0),ROUND(PRODUCT(V35,AC7:AC34),1))</f>
        <v>#DIV/0!</v>
      </c>
      <c r="W36" s="3219"/>
      <c r="X36" s="758"/>
      <c r="Y36" s="758"/>
      <c r="Z36" s="758"/>
      <c r="AA36" s="758"/>
      <c r="AB36" s="758"/>
      <c r="AC36" s="758"/>
    </row>
    <row r="37" spans="1:29" ht="15.75" thickBot="1">
      <c r="A37" s="491" t="s">
        <v>2674</v>
      </c>
      <c r="B37" s="492"/>
      <c r="C37" s="1416" t="e">
        <f>R37</f>
        <v>#DIV/0!</v>
      </c>
      <c r="D37" s="1416"/>
      <c r="E37" s="1416"/>
      <c r="F37" s="1416"/>
      <c r="G37" s="1416"/>
      <c r="H37" s="1416"/>
      <c r="I37" s="1416"/>
      <c r="J37" s="1416"/>
      <c r="K37" s="784"/>
      <c r="L37" s="1142"/>
      <c r="M37" s="1143"/>
      <c r="N37" s="1143"/>
      <c r="O37" s="1143"/>
      <c r="P37" s="3290" t="str">
        <f>A37</f>
        <v>估价对象XX用房的比较价值（楼面单价，元/平方米）</v>
      </c>
      <c r="Q37" s="3291"/>
      <c r="R37" s="3292" t="e">
        <f>IF(F1="售价",ROUND(AVERAGE(R36:V36),0),ROUND(AVERAGE(R36:V36),1))</f>
        <v>#DIV/0!</v>
      </c>
      <c r="S37" s="3292"/>
      <c r="T37" s="3292"/>
      <c r="U37" s="3292"/>
      <c r="V37" s="3292"/>
      <c r="W37" s="3292"/>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2675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2676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2677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2678</v>
      </c>
      <c r="B45" s="758"/>
      <c r="C45" s="763"/>
      <c r="D45" s="763"/>
      <c r="E45" s="763"/>
      <c r="F45" s="764"/>
      <c r="G45" s="764"/>
      <c r="H45" s="763"/>
      <c r="I45" s="763"/>
      <c r="J45" s="763"/>
      <c r="K45" s="765"/>
      <c r="L45" s="766"/>
      <c r="M45" s="763"/>
      <c r="N45" s="763"/>
      <c r="O45" s="763"/>
      <c r="P45" s="502"/>
      <c r="Q45" s="503"/>
    </row>
    <row r="46" spans="1:29" s="507" customFormat="1" ht="15">
      <c r="A46" s="504" t="s">
        <v>2552</v>
      </c>
      <c r="B46" s="505"/>
      <c r="C46" s="1573" t="str">
        <f>YEAR(C7)&amp;"-"&amp;MONTH(C7)</f>
        <v>2018-6</v>
      </c>
      <c r="D46" s="1574">
        <f>EDATE(C46,-1)</f>
        <v>43221</v>
      </c>
      <c r="E46" s="1574">
        <f t="shared" ref="E46:O46" si="16">EDATE(D46,-1)</f>
        <v>43191</v>
      </c>
      <c r="F46" s="1574">
        <f t="shared" si="16"/>
        <v>43160</v>
      </c>
      <c r="G46" s="1574">
        <f t="shared" si="16"/>
        <v>43132</v>
      </c>
      <c r="H46" s="1574">
        <f t="shared" si="16"/>
        <v>43101</v>
      </c>
      <c r="I46" s="1574">
        <f t="shared" si="16"/>
        <v>43070</v>
      </c>
      <c r="J46" s="1574">
        <f t="shared" si="16"/>
        <v>43040</v>
      </c>
      <c r="K46" s="1574">
        <f t="shared" si="16"/>
        <v>43009</v>
      </c>
      <c r="L46" s="1574">
        <f t="shared" si="16"/>
        <v>42979</v>
      </c>
      <c r="M46" s="1574">
        <f t="shared" si="16"/>
        <v>42948</v>
      </c>
      <c r="N46" s="1574">
        <f t="shared" si="16"/>
        <v>42917</v>
      </c>
      <c r="O46" s="1574">
        <f t="shared" si="16"/>
        <v>42887</v>
      </c>
      <c r="P46" s="506"/>
    </row>
    <row r="47" spans="1:29" s="116" customFormat="1" ht="15">
      <c r="A47" s="508"/>
      <c r="B47" s="509"/>
      <c r="C47" s="1572">
        <v>100</v>
      </c>
      <c r="D47" s="511"/>
      <c r="E47" s="511"/>
      <c r="F47" s="511"/>
      <c r="G47" s="511"/>
      <c r="H47" s="511"/>
      <c r="I47" s="511"/>
      <c r="J47" s="511"/>
      <c r="K47" s="511"/>
      <c r="L47" s="511"/>
      <c r="M47" s="512"/>
      <c r="N47" s="511"/>
      <c r="O47" s="513"/>
      <c r="P47" s="503"/>
    </row>
    <row r="48" spans="1:29" s="116" customFormat="1" ht="15.75" thickBot="1">
      <c r="A48" s="514" t="s">
        <v>2589</v>
      </c>
      <c r="B48" s="515"/>
      <c r="C48" s="516"/>
      <c r="D48" s="517"/>
      <c r="E48" s="517"/>
      <c r="F48" s="517"/>
      <c r="G48" s="517"/>
      <c r="H48" s="517"/>
      <c r="I48" s="517"/>
      <c r="J48" s="517"/>
      <c r="K48" s="517"/>
      <c r="L48" s="517"/>
      <c r="M48" s="518"/>
      <c r="N48" s="517"/>
      <c r="O48" s="519"/>
      <c r="P48" s="503"/>
      <c r="Q48" s="503"/>
    </row>
    <row r="49" spans="1:17" s="116" customFormat="1" ht="15">
      <c r="A49" s="520" t="s">
        <v>2554</v>
      </c>
      <c r="B49" s="509"/>
      <c r="C49" s="521" t="s">
        <v>2656</v>
      </c>
      <c r="D49" s="522"/>
      <c r="E49" s="522"/>
      <c r="F49" s="522"/>
      <c r="G49" s="522"/>
      <c r="H49" s="522"/>
      <c r="I49" s="522"/>
      <c r="J49" s="522"/>
      <c r="K49" s="522"/>
      <c r="L49" s="523"/>
      <c r="M49" s="524"/>
      <c r="N49" s="1150"/>
      <c r="O49" s="1150"/>
      <c r="P49" s="525"/>
      <c r="Q49" s="503"/>
    </row>
    <row r="50" spans="1:17" s="116"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2592</v>
      </c>
      <c r="B51" s="527" t="s">
        <v>2558</v>
      </c>
      <c r="C51" s="528">
        <f>C9</f>
        <v>0</v>
      </c>
      <c r="D51" s="529"/>
      <c r="E51" s="529"/>
      <c r="F51" s="529"/>
      <c r="G51" s="529"/>
      <c r="H51" s="529"/>
      <c r="I51" s="529"/>
      <c r="J51" s="529"/>
      <c r="K51" s="530"/>
      <c r="L51" s="531"/>
      <c r="M51" s="532"/>
      <c r="N51" s="1151"/>
      <c r="O51" s="1151"/>
      <c r="P51" s="45"/>
      <c r="Q51" s="503"/>
    </row>
    <row r="52" spans="1:17" ht="15.75" thickBot="1">
      <c r="A52" s="533"/>
      <c r="B52" s="534"/>
      <c r="C52" s="535">
        <v>100</v>
      </c>
      <c r="D52" s="535"/>
      <c r="E52" s="535"/>
      <c r="F52" s="535"/>
      <c r="G52" s="535"/>
      <c r="H52" s="535"/>
      <c r="I52" s="535"/>
      <c r="J52" s="535"/>
      <c r="K52" s="535"/>
      <c r="L52" s="535"/>
      <c r="M52" s="536"/>
      <c r="N52" s="1152"/>
      <c r="O52" s="1152"/>
      <c r="P52" s="45"/>
      <c r="Q52" s="503"/>
    </row>
    <row r="53" spans="1:17" ht="27.75" thickTop="1">
      <c r="A53" s="533"/>
      <c r="B53" s="537" t="s">
        <v>2561</v>
      </c>
      <c r="C53" s="538" t="s">
        <v>2593</v>
      </c>
      <c r="D53" s="538" t="s">
        <v>2594</v>
      </c>
      <c r="E53" s="538" t="s">
        <v>2595</v>
      </c>
      <c r="F53" s="538" t="s">
        <v>2596</v>
      </c>
      <c r="G53" s="538" t="s">
        <v>2597</v>
      </c>
      <c r="H53" s="538" t="s">
        <v>2598</v>
      </c>
      <c r="I53" s="538" t="s">
        <v>2599</v>
      </c>
      <c r="J53" s="538"/>
      <c r="K53" s="539"/>
      <c r="L53" s="540"/>
      <c r="M53" s="541"/>
      <c r="N53" s="1151"/>
      <c r="O53" s="1151"/>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5.75" thickTop="1">
      <c r="A55" s="533"/>
      <c r="B55" s="659">
        <f>B11</f>
        <v>111</v>
      </c>
      <c r="C55" s="548"/>
      <c r="D55" s="548"/>
      <c r="E55" s="548"/>
      <c r="F55" s="548"/>
      <c r="G55" s="548"/>
      <c r="H55" s="548"/>
      <c r="I55" s="548"/>
      <c r="J55" s="548"/>
      <c r="K55" s="549"/>
      <c r="L55" s="550"/>
      <c r="M55" s="551"/>
      <c r="N55" s="1151"/>
      <c r="O55" s="1151"/>
      <c r="P55" s="45"/>
      <c r="Q55" s="503"/>
    </row>
    <row r="56" spans="1:17" ht="15.75" thickBot="1">
      <c r="A56" s="533"/>
      <c r="B56" s="534"/>
      <c r="C56" s="559"/>
      <c r="D56" s="535"/>
      <c r="E56" s="535"/>
      <c r="F56" s="535"/>
      <c r="G56" s="535"/>
      <c r="H56" s="535"/>
      <c r="I56" s="535"/>
      <c r="J56" s="535"/>
      <c r="K56" s="535"/>
      <c r="L56" s="535"/>
      <c r="M56" s="536"/>
      <c r="N56" s="1152"/>
      <c r="O56" s="1152"/>
      <c r="P56" s="45"/>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2563</v>
      </c>
      <c r="B61" s="527" t="s">
        <v>2606</v>
      </c>
      <c r="C61" s="572" t="s">
        <v>2601</v>
      </c>
      <c r="D61" s="572" t="s">
        <v>2602</v>
      </c>
      <c r="E61" s="572" t="s">
        <v>2603</v>
      </c>
      <c r="F61" s="572" t="s">
        <v>2604</v>
      </c>
      <c r="G61" s="572" t="s">
        <v>2605</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7.75" thickTop="1">
      <c r="A63" s="533"/>
      <c r="B63" s="537" t="s">
        <v>2744</v>
      </c>
      <c r="C63" s="577" t="s">
        <v>2601</v>
      </c>
      <c r="D63" s="577" t="s">
        <v>2602</v>
      </c>
      <c r="E63" s="577" t="s">
        <v>2603</v>
      </c>
      <c r="F63" s="577" t="s">
        <v>2604</v>
      </c>
      <c r="G63" s="577" t="s">
        <v>2605</v>
      </c>
      <c r="H63" s="538"/>
      <c r="I63" s="538"/>
      <c r="J63" s="538"/>
      <c r="K63" s="539"/>
      <c r="L63" s="540"/>
      <c r="M63" s="541"/>
      <c r="N63" s="1151"/>
      <c r="O63" s="1151"/>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75" thickTop="1">
      <c r="A65" s="533"/>
      <c r="B65" s="545" t="s">
        <v>2693</v>
      </c>
      <c r="C65" s="659" t="s">
        <v>2679</v>
      </c>
      <c r="D65" s="659" t="s">
        <v>2680</v>
      </c>
      <c r="E65" s="659" t="s">
        <v>2681</v>
      </c>
      <c r="F65" s="659" t="s">
        <v>2682</v>
      </c>
      <c r="G65" s="659" t="s">
        <v>2683</v>
      </c>
      <c r="H65" s="538"/>
      <c r="I65" s="538"/>
      <c r="J65" s="538"/>
      <c r="K65" s="538"/>
      <c r="L65" s="538"/>
      <c r="M65" s="1381"/>
      <c r="N65" s="1152"/>
      <c r="O65" s="1152"/>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5"/>
      <c r="Q66" s="503"/>
    </row>
    <row r="67" spans="1:17" ht="15.75" thickTop="1">
      <c r="A67" s="533"/>
      <c r="B67" s="537" t="s">
        <v>2613</v>
      </c>
      <c r="C67" s="577" t="s">
        <v>2601</v>
      </c>
      <c r="D67" s="577" t="s">
        <v>2602</v>
      </c>
      <c r="E67" s="577" t="s">
        <v>2603</v>
      </c>
      <c r="F67" s="577" t="s">
        <v>2604</v>
      </c>
      <c r="G67" s="577" t="s">
        <v>2605</v>
      </c>
      <c r="H67" s="538"/>
      <c r="I67" s="538"/>
      <c r="J67" s="538"/>
      <c r="K67" s="539"/>
      <c r="L67" s="540"/>
      <c r="M67" s="541"/>
      <c r="N67" s="1151"/>
      <c r="O67" s="1151"/>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75" thickTop="1">
      <c r="A69" s="533"/>
      <c r="B69" s="537" t="s">
        <v>2733</v>
      </c>
      <c r="C69" s="553"/>
      <c r="D69" s="553"/>
      <c r="E69" s="553"/>
      <c r="F69" s="553"/>
      <c r="G69" s="553"/>
      <c r="H69" s="582"/>
      <c r="I69" s="582"/>
      <c r="J69" s="582"/>
      <c r="K69" s="583"/>
      <c r="L69" s="584"/>
      <c r="M69" s="585"/>
      <c r="N69" s="1151"/>
      <c r="O69" s="1151"/>
      <c r="P69" s="45"/>
      <c r="Q69" s="503"/>
    </row>
    <row r="70" spans="1:17" ht="15.75" thickBot="1">
      <c r="A70" s="533"/>
      <c r="B70" s="542"/>
      <c r="C70" s="543">
        <v>100</v>
      </c>
      <c r="D70" s="543">
        <f>C70-$K22</f>
        <v>100</v>
      </c>
      <c r="E70" s="543"/>
      <c r="F70" s="543"/>
      <c r="G70" s="543"/>
      <c r="H70" s="543"/>
      <c r="I70" s="543"/>
      <c r="J70" s="543"/>
      <c r="K70" s="543"/>
      <c r="L70" s="543"/>
      <c r="M70" s="544"/>
      <c r="N70" s="1152"/>
      <c r="O70" s="1152"/>
      <c r="P70" s="45"/>
      <c r="Q70" s="503"/>
    </row>
    <row r="71" spans="1:17" s="116" customFormat="1" ht="15.75" thickTop="1">
      <c r="A71" s="578"/>
      <c r="B71" s="537">
        <f>B23</f>
        <v>111</v>
      </c>
      <c r="C71" s="548"/>
      <c r="D71" s="548"/>
      <c r="E71" s="548"/>
      <c r="F71" s="548"/>
      <c r="G71" s="553"/>
      <c r="H71" s="553"/>
      <c r="I71" s="553"/>
      <c r="J71" s="553"/>
      <c r="K71" s="553"/>
      <c r="L71" s="579"/>
      <c r="M71" s="580"/>
      <c r="N71" s="1150"/>
      <c r="O71" s="1150"/>
      <c r="P71" s="45"/>
      <c r="Q71" s="503"/>
    </row>
    <row r="72" spans="1:17" s="116" customFormat="1" ht="15.75" thickBot="1">
      <c r="A72" s="578"/>
      <c r="B72" s="542"/>
      <c r="C72" s="559"/>
      <c r="D72" s="535"/>
      <c r="E72" s="535"/>
      <c r="F72" s="535"/>
      <c r="G72" s="535"/>
      <c r="H72" s="535"/>
      <c r="I72" s="535"/>
      <c r="J72" s="535"/>
      <c r="K72" s="535"/>
      <c r="L72" s="535"/>
      <c r="M72" s="536"/>
      <c r="N72" s="1152"/>
      <c r="O72" s="1152"/>
      <c r="P72" s="45"/>
      <c r="Q72" s="503"/>
    </row>
    <row r="73" spans="1:17" s="116" customFormat="1" ht="15.75" thickTop="1">
      <c r="A73" s="578"/>
      <c r="B73" s="537">
        <f>B24</f>
        <v>111</v>
      </c>
      <c r="C73" s="548"/>
      <c r="D73" s="548"/>
      <c r="E73" s="548"/>
      <c r="F73" s="548"/>
      <c r="G73" s="553"/>
      <c r="H73" s="553"/>
      <c r="I73" s="553"/>
      <c r="J73" s="553"/>
      <c r="K73" s="553"/>
      <c r="L73" s="553"/>
      <c r="M73" s="580"/>
      <c r="N73" s="1150"/>
      <c r="O73" s="1150"/>
      <c r="P73" s="45"/>
      <c r="Q73" s="503"/>
    </row>
    <row r="74" spans="1:17" s="116" customFormat="1" ht="15.75" thickBot="1">
      <c r="A74" s="578"/>
      <c r="B74" s="542"/>
      <c r="C74" s="559"/>
      <c r="D74" s="535"/>
      <c r="E74" s="535"/>
      <c r="F74" s="535"/>
      <c r="G74" s="535"/>
      <c r="H74" s="535"/>
      <c r="I74" s="535"/>
      <c r="J74" s="535"/>
      <c r="K74" s="535"/>
      <c r="L74" s="535"/>
      <c r="M74" s="536"/>
      <c r="N74" s="1152"/>
      <c r="O74" s="1152"/>
      <c r="P74" s="45"/>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2567</v>
      </c>
      <c r="B77" s="527" t="s">
        <v>2620</v>
      </c>
      <c r="C77" s="553"/>
      <c r="D77" s="553"/>
      <c r="E77" s="529"/>
      <c r="F77" s="529"/>
      <c r="G77" s="529"/>
      <c r="H77" s="529"/>
      <c r="I77" s="529"/>
      <c r="J77" s="529"/>
      <c r="K77" s="530"/>
      <c r="L77" s="531"/>
      <c r="M77" s="532"/>
      <c r="N77" s="1151"/>
      <c r="O77" s="1151"/>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5.75" thickTop="1">
      <c r="A79" s="533"/>
      <c r="B79" s="537" t="s">
        <v>2736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ht="15">
      <c r="A80" s="533"/>
      <c r="B80" s="545"/>
      <c r="C80" s="602">
        <v>0.5</v>
      </c>
      <c r="D80" s="602">
        <v>0.6</v>
      </c>
      <c r="E80" s="602">
        <v>0.7</v>
      </c>
      <c r="F80" s="602">
        <v>0.8</v>
      </c>
      <c r="G80" s="602">
        <v>0.9</v>
      </c>
      <c r="H80" s="602">
        <v>1.0001</v>
      </c>
      <c r="I80" s="659"/>
      <c r="J80" s="659"/>
      <c r="K80" s="667"/>
      <c r="L80" s="668"/>
      <c r="M80" s="669"/>
      <c r="N80" s="1150"/>
      <c r="O80" s="1150"/>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2737</v>
      </c>
      <c r="C82" s="553"/>
      <c r="D82" s="553"/>
      <c r="E82" s="582"/>
      <c r="F82" s="582"/>
      <c r="G82" s="582"/>
      <c r="H82" s="582"/>
      <c r="I82" s="582"/>
      <c r="J82" s="582"/>
      <c r="K82" s="583"/>
      <c r="L82" s="584"/>
      <c r="M82" s="585"/>
      <c r="N82" s="1151"/>
      <c r="O82" s="1151"/>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5" thickTop="1">
      <c r="A84" s="598"/>
      <c r="B84" s="537" t="s">
        <v>2745</v>
      </c>
      <c r="C84" s="553"/>
      <c r="D84" s="553"/>
      <c r="E84" s="553"/>
      <c r="F84" s="553"/>
      <c r="G84" s="553"/>
      <c r="H84" s="553"/>
      <c r="I84" s="582"/>
      <c r="J84" s="582"/>
      <c r="K84" s="583"/>
      <c r="L84" s="584"/>
      <c r="M84" s="585"/>
      <c r="N84" s="1151"/>
      <c r="O84" s="1151"/>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5" thickTop="1">
      <c r="A86" s="598"/>
      <c r="B86" s="545" t="s">
        <v>2746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5.75"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2747</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5"/>
      <c r="Q91" s="503"/>
    </row>
    <row r="92" spans="1:17" ht="15.75" thickBot="1">
      <c r="A92" s="533"/>
      <c r="B92" s="542"/>
      <c r="C92" s="559"/>
      <c r="D92" s="535"/>
      <c r="E92" s="535"/>
      <c r="F92" s="535"/>
      <c r="G92" s="559"/>
      <c r="H92" s="561"/>
      <c r="I92" s="561"/>
      <c r="J92" s="561"/>
      <c r="K92" s="561"/>
      <c r="L92" s="561"/>
      <c r="M92" s="562"/>
      <c r="N92" s="1152"/>
      <c r="O92" s="1152"/>
      <c r="P92" s="45"/>
      <c r="Q92" s="503"/>
    </row>
    <row r="93" spans="1:17" ht="15" thickTop="1">
      <c r="A93" s="598"/>
      <c r="B93" s="537">
        <f>B33</f>
        <v>111</v>
      </c>
      <c r="C93" s="548"/>
      <c r="D93" s="548"/>
      <c r="E93" s="548"/>
      <c r="F93" s="548"/>
      <c r="G93" s="553"/>
      <c r="H93" s="554"/>
      <c r="I93" s="554"/>
      <c r="J93" s="554"/>
      <c r="K93" s="554"/>
      <c r="L93" s="555"/>
      <c r="M93" s="556"/>
      <c r="N93" s="1151"/>
      <c r="O93" s="1151"/>
      <c r="P93" s="45"/>
      <c r="Q93" s="503"/>
    </row>
    <row r="94" spans="1:17" ht="15.75" thickBot="1">
      <c r="A94" s="533"/>
      <c r="B94" s="542"/>
      <c r="C94" s="559"/>
      <c r="D94" s="535"/>
      <c r="E94" s="535"/>
      <c r="F94" s="535"/>
      <c r="G94" s="559"/>
      <c r="H94" s="561"/>
      <c r="I94" s="561"/>
      <c r="J94" s="561"/>
      <c r="K94" s="561"/>
      <c r="L94" s="561"/>
      <c r="M94" s="562"/>
      <c r="N94" s="1152"/>
      <c r="O94" s="1152"/>
      <c r="P94" s="45"/>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5"/>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1621</v>
      </c>
      <c r="B1" s="1958"/>
      <c r="C1" s="1958"/>
      <c r="D1" s="1958"/>
      <c r="E1" s="1958"/>
    </row>
    <row r="2" spans="1:5" ht="78" customHeight="1">
      <c r="A2" s="301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3"/>
      <c r="C2" s="3013"/>
      <c r="D2" s="3013"/>
      <c r="E2" s="3013"/>
    </row>
    <row r="3" spans="1:5" ht="18">
      <c r="A3" s="3014" t="str">
        <f>IF(项目基本情况!B9="房地产市场价值","估价结果一览表（市场价值不需“结果表-1”）","估价结果一览表")</f>
        <v>估价结果一览表</v>
      </c>
      <c r="B3" s="3014"/>
      <c r="C3" s="3014"/>
      <c r="D3" s="3014"/>
      <c r="E3" s="3014"/>
    </row>
    <row r="4" spans="1:5" ht="19.5" thickBot="1">
      <c r="A4" s="1960"/>
      <c r="B4" s="3012" t="s">
        <v>1630</v>
      </c>
      <c r="C4" s="3012"/>
      <c r="D4" s="3012"/>
      <c r="E4" s="1960"/>
    </row>
    <row r="5" spans="1:5" ht="16.5" thickTop="1">
      <c r="A5" s="1958"/>
      <c r="B5" s="3010" t="s">
        <v>1622</v>
      </c>
      <c r="C5" s="1961" t="s">
        <v>1623</v>
      </c>
      <c r="D5" s="1039">
        <f ca="1">结果表办公!H101</f>
        <v>57111</v>
      </c>
      <c r="E5" s="1958"/>
    </row>
    <row r="6" spans="1:5" ht="15.75">
      <c r="A6" s="1958"/>
      <c r="B6" s="3010"/>
      <c r="C6" s="1961" t="s">
        <v>1624</v>
      </c>
      <c r="D6" s="1039" t="str">
        <f ca="1">NUMBERSTRING(INT(D5*10000),2)&amp;"元整"</f>
        <v>伍亿柒仟壹佰壹拾壹万元整</v>
      </c>
      <c r="E6" s="1958"/>
    </row>
    <row r="7" spans="1:5" ht="15.75">
      <c r="A7" s="1958"/>
      <c r="B7" s="3015"/>
      <c r="C7" s="1962" t="s">
        <v>1625</v>
      </c>
      <c r="D7" s="1040">
        <f ca="1">结果表办公!H102</f>
        <v>38139</v>
      </c>
      <c r="E7" s="1958"/>
    </row>
    <row r="8" spans="1:5" ht="15.75">
      <c r="A8" s="1958"/>
      <c r="B8" s="3016" t="str">
        <f>结果表办公!E103</f>
        <v>2.估价师知悉的法定优先受偿款</v>
      </c>
      <c r="C8" s="1963" t="s">
        <v>1626</v>
      </c>
      <c r="D8" s="1040">
        <f>结果表办公!H103</f>
        <v>0</v>
      </c>
      <c r="E8" s="1958"/>
    </row>
    <row r="9" spans="1:5" ht="15.75">
      <c r="A9" s="1958"/>
      <c r="B9" s="3018"/>
      <c r="C9" s="1961" t="s">
        <v>1624</v>
      </c>
      <c r="D9" s="1039" t="str">
        <f>NUMBERSTRING(INT(D8*10000),2)&amp;"元整"</f>
        <v>零元整</v>
      </c>
      <c r="E9" s="1958"/>
    </row>
    <row r="10" spans="1:5" ht="15">
      <c r="A10" s="1958"/>
      <c r="B10" s="1964" t="s">
        <v>1629</v>
      </c>
      <c r="C10" s="1965" t="s">
        <v>1627</v>
      </c>
      <c r="D10" s="1041">
        <f>结果表办公!H104</f>
        <v>0</v>
      </c>
      <c r="E10" s="1958"/>
    </row>
    <row r="11" spans="1:5" ht="15">
      <c r="A11" s="1958"/>
      <c r="B11" s="1964" t="s">
        <v>1631</v>
      </c>
      <c r="C11" s="1965" t="s">
        <v>1632</v>
      </c>
      <c r="D11" s="1041">
        <f>结果表办公!H105</f>
        <v>0</v>
      </c>
      <c r="E11" s="1958"/>
    </row>
    <row r="12" spans="1:5" ht="15">
      <c r="A12" s="1958"/>
      <c r="B12" s="1964" t="s">
        <v>1633</v>
      </c>
      <c r="C12" s="1965" t="s">
        <v>1632</v>
      </c>
      <c r="D12" s="1041">
        <f>结果表办公!H106</f>
        <v>0</v>
      </c>
      <c r="E12" s="1958"/>
    </row>
    <row r="13" spans="1:5" ht="15.75">
      <c r="A13" s="1958"/>
      <c r="B13" s="3009" t="str">
        <f>结果表办公!E107</f>
        <v>3.房地产抵押价值</v>
      </c>
      <c r="C13" s="1966" t="s">
        <v>1623</v>
      </c>
      <c r="D13" s="1042">
        <f ca="1">结果表办公!H107</f>
        <v>57111</v>
      </c>
      <c r="E13" s="1958"/>
    </row>
    <row r="14" spans="1:5" ht="15.75">
      <c r="A14" s="1958"/>
      <c r="B14" s="3010"/>
      <c r="C14" s="1961" t="s">
        <v>1624</v>
      </c>
      <c r="D14" s="1039" t="str">
        <f ca="1">NUMBERSTRING(INT(D13*10000),2)&amp;"元整"</f>
        <v>伍亿柒仟壹佰壹拾壹万元整</v>
      </c>
      <c r="E14" s="1958"/>
    </row>
    <row r="15" spans="1:5" ht="15">
      <c r="A15" s="1958"/>
      <c r="B15" s="3015"/>
      <c r="C15" s="1962" t="s">
        <v>1634</v>
      </c>
      <c r="D15" s="1051">
        <f ca="1">结果表办公!H108</f>
        <v>38139</v>
      </c>
      <c r="E15" s="1958"/>
    </row>
    <row r="16" spans="1:5" ht="15">
      <c r="A16" s="1958"/>
      <c r="B16" s="3016" t="str">
        <f>结果表办公!E109</f>
        <v>——</v>
      </c>
      <c r="C16" s="1966" t="s">
        <v>1635</v>
      </c>
      <c r="D16" s="1967" t="str">
        <f>结果表办公!H109</f>
        <v>——</v>
      </c>
      <c r="E16" s="1958"/>
    </row>
    <row r="17" spans="1:5" ht="15.75">
      <c r="A17" s="1958"/>
      <c r="B17" s="3017"/>
      <c r="C17" s="1961" t="s">
        <v>1636</v>
      </c>
      <c r="D17" s="1039" t="e">
        <f>NUMBERSTRING(INT(D16*10000),2)&amp;"元整"</f>
        <v>#VALUE!</v>
      </c>
      <c r="E17" s="1958"/>
    </row>
    <row r="18" spans="1:5" ht="15">
      <c r="A18" s="1958"/>
      <c r="B18" s="3018"/>
      <c r="C18" s="1962" t="s">
        <v>1625</v>
      </c>
      <c r="D18" s="1051" t="str">
        <f>结果表办公!H110</f>
        <v>——</v>
      </c>
      <c r="E18" s="1958"/>
    </row>
    <row r="19" spans="1:5" ht="15.75">
      <c r="A19" s="1958"/>
      <c r="B19" s="3009" t="str">
        <f>结果表办公!E111</f>
        <v>——</v>
      </c>
      <c r="C19" s="1966" t="s">
        <v>1623</v>
      </c>
      <c r="D19" s="1040" t="str">
        <f>结果表办公!H111</f>
        <v>——</v>
      </c>
      <c r="E19" s="1958"/>
    </row>
    <row r="20" spans="1:5" ht="15.75">
      <c r="A20" s="1958"/>
      <c r="B20" s="3010"/>
      <c r="C20" s="1961" t="s">
        <v>1636</v>
      </c>
      <c r="D20" s="1039" t="e">
        <f>NUMBERSTRING(INT(D19*10000),2)&amp;"元整"</f>
        <v>#VALUE!</v>
      </c>
      <c r="E20" s="1958"/>
    </row>
    <row r="21" spans="1:5" ht="15.75" thickBot="1">
      <c r="A21" s="1958"/>
      <c r="B21" s="3011"/>
      <c r="C21" s="1968" t="s">
        <v>1634</v>
      </c>
      <c r="D21" s="1052" t="str">
        <f>结果表办公!H112</f>
        <v>——</v>
      </c>
      <c r="E21" s="1958"/>
    </row>
    <row r="22" spans="1:5" ht="15" thickTop="1">
      <c r="A22" s="1958"/>
      <c r="B22" s="1969" t="s">
        <v>1637</v>
      </c>
      <c r="C22" s="1958"/>
      <c r="D22" s="1958"/>
      <c r="E22" s="1958"/>
    </row>
    <row r="23" spans="1:5">
      <c r="A23" s="1958"/>
      <c r="B23" s="1958"/>
      <c r="C23" s="1958"/>
      <c r="D23" s="1958"/>
      <c r="E23" s="1958"/>
    </row>
    <row r="24" spans="1:5" ht="18.75">
      <c r="A24" s="1970"/>
      <c r="B24" s="1971" t="s">
        <v>1628</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2748</v>
      </c>
      <c r="B1" s="394"/>
      <c r="C1" s="395" t="s">
        <v>2749</v>
      </c>
      <c r="D1" s="754"/>
      <c r="E1" s="754"/>
      <c r="F1" s="753" t="s">
        <v>2647</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2331</v>
      </c>
      <c r="B2" s="670"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2333</v>
      </c>
      <c r="B3" s="608" t="e">
        <f>ROUND(IF(D3="",B2*10000/'数据-汇总表'!E3,B2*10000/D3),0)</f>
        <v>#DIV/0!</v>
      </c>
      <c r="C3" s="246" t="s">
        <v>2750</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0" t="s">
        <v>2649</v>
      </c>
      <c r="B4" s="401"/>
      <c r="C4" s="3235" t="s">
        <v>2650</v>
      </c>
      <c r="D4" s="3236"/>
      <c r="E4" s="3237" t="s">
        <v>2651</v>
      </c>
      <c r="F4" s="3238"/>
      <c r="G4" s="3235" t="s">
        <v>2652</v>
      </c>
      <c r="H4" s="3236"/>
      <c r="I4" s="3235" t="s">
        <v>2653</v>
      </c>
      <c r="J4" s="3236"/>
      <c r="K4" s="609" t="s">
        <v>2654</v>
      </c>
      <c r="L4" s="1129"/>
      <c r="M4" s="1130"/>
      <c r="N4" s="1130"/>
      <c r="O4" s="1130"/>
      <c r="P4" s="3294" t="s">
        <v>2655</v>
      </c>
      <c r="Q4" s="3295"/>
      <c r="R4" s="3298" t="s">
        <v>2651</v>
      </c>
      <c r="S4" s="3299"/>
      <c r="T4" s="3298" t="s">
        <v>2652</v>
      </c>
      <c r="U4" s="3299"/>
      <c r="V4" s="3252" t="s">
        <v>2653</v>
      </c>
      <c r="W4" s="3252"/>
      <c r="X4" s="1812"/>
      <c r="Y4" s="3298" t="s">
        <v>2655</v>
      </c>
      <c r="Z4" s="3299"/>
      <c r="AA4" s="3293" t="s">
        <v>2651</v>
      </c>
      <c r="AB4" s="3265" t="s">
        <v>2652</v>
      </c>
      <c r="AC4" s="3293" t="s">
        <v>2653</v>
      </c>
    </row>
    <row r="5" spans="1:30" ht="15">
      <c r="A5" s="403"/>
      <c r="B5" s="404"/>
      <c r="C5" s="3261" t="s">
        <v>2546</v>
      </c>
      <c r="D5" s="3256"/>
      <c r="E5" s="3300" t="s">
        <v>2547</v>
      </c>
      <c r="F5" s="3268"/>
      <c r="G5" s="3261" t="s">
        <v>2548</v>
      </c>
      <c r="H5" s="3256"/>
      <c r="I5" s="3261" t="s">
        <v>2549</v>
      </c>
      <c r="J5" s="3256"/>
      <c r="K5" s="609"/>
      <c r="L5" s="1129"/>
      <c r="M5" s="1130"/>
      <c r="N5" s="1130"/>
      <c r="O5" s="1130"/>
      <c r="P5" s="3296"/>
      <c r="Q5" s="3242"/>
      <c r="R5" s="3247"/>
      <c r="S5" s="3248"/>
      <c r="T5" s="3247"/>
      <c r="U5" s="3248"/>
      <c r="V5" s="3252"/>
      <c r="W5" s="3252"/>
      <c r="X5" s="1812"/>
      <c r="Y5" s="3247"/>
      <c r="Z5" s="3248"/>
      <c r="AA5" s="3265"/>
      <c r="AB5" s="3265"/>
      <c r="AC5" s="3265"/>
    </row>
    <row r="6" spans="1:30" ht="15.75" thickBot="1">
      <c r="A6" s="405"/>
      <c r="B6" s="406"/>
      <c r="C6" s="3253" t="s">
        <v>2550</v>
      </c>
      <c r="D6" s="3254"/>
      <c r="E6" s="3262" t="s">
        <v>2550</v>
      </c>
      <c r="F6" s="3263"/>
      <c r="G6" s="3253" t="s">
        <v>2550</v>
      </c>
      <c r="H6" s="3254"/>
      <c r="I6" s="3253" t="s">
        <v>2550</v>
      </c>
      <c r="J6" s="3254"/>
      <c r="K6" s="609" t="s">
        <v>2551</v>
      </c>
      <c r="L6" s="1129"/>
      <c r="M6" s="1130"/>
      <c r="N6" s="1130"/>
      <c r="O6" s="1130"/>
      <c r="P6" s="3297"/>
      <c r="Q6" s="3244"/>
      <c r="R6" s="3247"/>
      <c r="S6" s="3248"/>
      <c r="T6" s="3249"/>
      <c r="U6" s="3250"/>
      <c r="V6" s="3252"/>
      <c r="W6" s="3252"/>
      <c r="X6" s="1812"/>
      <c r="Y6" s="3249"/>
      <c r="Z6" s="3250"/>
      <c r="AA6" s="3266"/>
      <c r="AB6" s="3266"/>
      <c r="AC6" s="3266"/>
    </row>
    <row r="7" spans="1:30" s="116" customFormat="1" ht="15.75" thickBot="1">
      <c r="A7" s="407" t="s">
        <v>2552</v>
      </c>
      <c r="B7" s="408"/>
      <c r="C7" s="409">
        <f>'数据-取费表'!B2</f>
        <v>43252</v>
      </c>
      <c r="D7" s="410">
        <v>100</v>
      </c>
      <c r="E7" s="411">
        <v>42309</v>
      </c>
      <c r="F7" s="412">
        <f>SUMIF(70:70,YEAR(E7)&amp;"-"&amp;INT((MONTH(E7)+2)/3),71:71)</f>
        <v>0</v>
      </c>
      <c r="G7" s="2696">
        <v>42309</v>
      </c>
      <c r="H7" s="410">
        <f>SUMIF(70:70,YEAR(G7)&amp;"-"&amp;INT((MONTH(G7)+2)/3),71:71)</f>
        <v>0</v>
      </c>
      <c r="I7" s="2696">
        <v>42036</v>
      </c>
      <c r="J7" s="410">
        <f>SUMIF(70:70,YEAR(I7)&amp;"-"&amp;INT((MONTH(I7)+2)/3),71:71)</f>
        <v>0</v>
      </c>
      <c r="K7" s="610"/>
      <c r="L7" s="1131"/>
      <c r="M7" s="1132"/>
      <c r="N7" s="1132"/>
      <c r="O7" s="1132"/>
      <c r="P7" s="3259" t="s">
        <v>2553</v>
      </c>
      <c r="Q7" s="3260"/>
      <c r="R7" s="769" t="s">
        <v>17</v>
      </c>
      <c r="S7" s="770">
        <f t="shared" ref="S7:S15" si="0">F7</f>
        <v>0</v>
      </c>
      <c r="T7" s="769" t="s">
        <v>17</v>
      </c>
      <c r="U7" s="770">
        <f t="shared" ref="U7:U15" si="1">H7</f>
        <v>0</v>
      </c>
      <c r="V7" s="769" t="s">
        <v>17</v>
      </c>
      <c r="W7" s="770">
        <f t="shared" ref="W7:W15" si="2">J7</f>
        <v>0</v>
      </c>
      <c r="X7" s="771"/>
      <c r="Y7" s="3259" t="s">
        <v>2553</v>
      </c>
      <c r="Z7" s="3258"/>
      <c r="AA7" s="772" t="e">
        <f>D7/F7</f>
        <v>#DIV/0!</v>
      </c>
      <c r="AB7" s="772" t="e">
        <f>D7/H7</f>
        <v>#DIV/0!</v>
      </c>
      <c r="AC7" s="772" t="e">
        <f>D7/J7</f>
        <v>#DIV/0!</v>
      </c>
    </row>
    <row r="8" spans="1:30" s="116" customFormat="1" ht="15.75" thickBot="1">
      <c r="A8" s="407" t="s">
        <v>2554</v>
      </c>
      <c r="B8" s="408"/>
      <c r="C8" s="413" t="s">
        <v>2555</v>
      </c>
      <c r="D8" s="410">
        <v>100</v>
      </c>
      <c r="E8" s="413"/>
      <c r="F8" s="412">
        <f>SUMIF(73:73,E8,74:74)-SUMIF(73:73,C8,74:74)+100</f>
        <v>0</v>
      </c>
      <c r="G8" s="413"/>
      <c r="H8" s="410">
        <f>SUMIF(73:73,G8,74:74)-SUMIF(73:73,C8,74:74)+100</f>
        <v>0</v>
      </c>
      <c r="I8" s="413"/>
      <c r="J8" s="410">
        <f>SUMIF(73:73,I8,74:74)-SUMIF(73:73,C8,74:74)+100</f>
        <v>0</v>
      </c>
      <c r="K8" s="610"/>
      <c r="L8" s="1131"/>
      <c r="M8" s="1132"/>
      <c r="N8" s="1132"/>
      <c r="O8" s="1132"/>
      <c r="P8" s="3259" t="s">
        <v>2556</v>
      </c>
      <c r="Q8" s="3258"/>
      <c r="R8" s="769" t="s">
        <v>17</v>
      </c>
      <c r="S8" s="770">
        <f t="shared" si="0"/>
        <v>0</v>
      </c>
      <c r="T8" s="769" t="s">
        <v>17</v>
      </c>
      <c r="U8" s="770">
        <f t="shared" si="1"/>
        <v>0</v>
      </c>
      <c r="V8" s="769" t="s">
        <v>17</v>
      </c>
      <c r="W8" s="770">
        <f t="shared" si="2"/>
        <v>0</v>
      </c>
      <c r="X8" s="771"/>
      <c r="Y8" s="3259" t="s">
        <v>2556</v>
      </c>
      <c r="Z8" s="3258"/>
      <c r="AA8" s="772" t="e">
        <f t="shared" ref="AA8:AA45" si="3">D8/F8</f>
        <v>#DIV/0!</v>
      </c>
      <c r="AB8" s="772" t="e">
        <f t="shared" ref="AB8:AB45" si="4">D8/H8</f>
        <v>#DIV/0!</v>
      </c>
      <c r="AC8" s="772" t="e">
        <f t="shared" ref="AC8:AC45" si="5">D8/J8</f>
        <v>#DIV/0!</v>
      </c>
    </row>
    <row r="9" spans="1:30" s="116" customFormat="1">
      <c r="A9" s="414" t="s">
        <v>2557</v>
      </c>
      <c r="B9" s="71" t="s">
        <v>2558</v>
      </c>
      <c r="C9" s="2699"/>
      <c r="D9" s="134">
        <v>100</v>
      </c>
      <c r="E9" s="2699"/>
      <c r="F9" s="134">
        <f>SUMIF(75:75,E9,76:76)-SUMIF(75:75,C9,76:76)+100</f>
        <v>100</v>
      </c>
      <c r="G9" s="2699"/>
      <c r="H9" s="134">
        <f>SUMIF(75:75,G9,76:76)-SUMIF(75:75,C9,76:76)+100</f>
        <v>100</v>
      </c>
      <c r="I9" s="2699"/>
      <c r="J9" s="134">
        <f>SUMIF(75:75,I9,76:76)-SUMIF(75:75,C9,76:76)+100</f>
        <v>100</v>
      </c>
      <c r="K9" s="610"/>
      <c r="L9" s="1131"/>
      <c r="M9" s="1132"/>
      <c r="N9" s="1132"/>
      <c r="O9" s="1133"/>
      <c r="P9" s="3218" t="s">
        <v>2559</v>
      </c>
      <c r="Q9" s="1794" t="str">
        <f t="shared" ref="Q9:Q15" si="6">B9</f>
        <v>用途</v>
      </c>
      <c r="R9" s="769" t="s">
        <v>17</v>
      </c>
      <c r="S9" s="770">
        <f t="shared" si="0"/>
        <v>100</v>
      </c>
      <c r="T9" s="769" t="s">
        <v>17</v>
      </c>
      <c r="U9" s="770">
        <f t="shared" si="1"/>
        <v>100</v>
      </c>
      <c r="V9" s="769" t="s">
        <v>17</v>
      </c>
      <c r="W9" s="770">
        <f t="shared" si="2"/>
        <v>100</v>
      </c>
      <c r="X9" s="771"/>
      <c r="Y9" s="3052" t="s">
        <v>2560</v>
      </c>
      <c r="Z9" s="55" t="str">
        <f t="shared" ref="Z9:Z15" si="7">Q9</f>
        <v>用途</v>
      </c>
      <c r="AA9" s="772">
        <f t="shared" si="3"/>
        <v>1</v>
      </c>
      <c r="AB9" s="772">
        <f t="shared" si="4"/>
        <v>1</v>
      </c>
      <c r="AC9" s="772">
        <f t="shared" si="5"/>
        <v>1</v>
      </c>
    </row>
    <row r="10" spans="1:30" s="426" customFormat="1" ht="27">
      <c r="A10" s="420"/>
      <c r="B10" s="421" t="s">
        <v>2561</v>
      </c>
      <c r="C10" s="431"/>
      <c r="D10" s="135">
        <v>100</v>
      </c>
      <c r="E10" s="464"/>
      <c r="F10" s="135">
        <f>ROUND(100/'数据-取费表'!G16,0)</f>
        <v>105</v>
      </c>
      <c r="G10" s="462"/>
      <c r="H10" s="135">
        <f>ROUND(100/'数据-取费表'!G16,0)</f>
        <v>105</v>
      </c>
      <c r="I10" s="462"/>
      <c r="J10" s="135">
        <f>ROUND(100/'数据-取费表'!G16,0)</f>
        <v>105</v>
      </c>
      <c r="K10" s="671"/>
      <c r="L10" s="1134"/>
      <c r="M10" s="1135"/>
      <c r="N10" s="1135"/>
      <c r="O10" s="1136"/>
      <c r="P10" s="3218"/>
      <c r="Q10" s="1794" t="str">
        <f t="shared" si="6"/>
        <v>土地使用年限（年）</v>
      </c>
      <c r="R10" s="769" t="s">
        <v>17</v>
      </c>
      <c r="S10" s="770">
        <f t="shared" si="0"/>
        <v>105</v>
      </c>
      <c r="T10" s="769" t="s">
        <v>17</v>
      </c>
      <c r="U10" s="770">
        <f t="shared" si="1"/>
        <v>105</v>
      </c>
      <c r="V10" s="769" t="s">
        <v>17</v>
      </c>
      <c r="W10" s="770">
        <f t="shared" si="2"/>
        <v>105</v>
      </c>
      <c r="X10" s="771"/>
      <c r="Y10" s="3052"/>
      <c r="Z10" s="55" t="str">
        <f t="shared" si="7"/>
        <v>土地使用年限（年）</v>
      </c>
      <c r="AA10" s="772">
        <f t="shared" si="3"/>
        <v>0.95238095238095233</v>
      </c>
      <c r="AB10" s="772">
        <f t="shared" si="4"/>
        <v>0.95238095238095233</v>
      </c>
      <c r="AC10" s="772">
        <f t="shared" si="5"/>
        <v>0.95238095238095233</v>
      </c>
    </row>
    <row r="11" spans="1:30" ht="15">
      <c r="A11" s="427"/>
      <c r="B11" s="421" t="s">
        <v>2562</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7"/>
      <c r="M11" s="1130"/>
      <c r="N11" s="1130"/>
      <c r="O11" s="1138"/>
      <c r="P11" s="3218"/>
      <c r="Q11" s="1794" t="str">
        <f t="shared" si="6"/>
        <v>容积率</v>
      </c>
      <c r="R11" s="769" t="s">
        <v>17</v>
      </c>
      <c r="S11" s="770" t="e">
        <f t="shared" si="0"/>
        <v>#N/A</v>
      </c>
      <c r="T11" s="769" t="s">
        <v>17</v>
      </c>
      <c r="U11" s="770" t="e">
        <f t="shared" si="1"/>
        <v>#N/A</v>
      </c>
      <c r="V11" s="769" t="s">
        <v>17</v>
      </c>
      <c r="W11" s="770" t="e">
        <f t="shared" si="2"/>
        <v>#N/A</v>
      </c>
      <c r="X11" s="771"/>
      <c r="Y11" s="3052"/>
      <c r="Z11" s="55" t="str">
        <f t="shared" si="7"/>
        <v>容积率</v>
      </c>
      <c r="AA11" s="772" t="e">
        <f t="shared" si="3"/>
        <v>#N/A</v>
      </c>
      <c r="AB11" s="772" t="e">
        <f t="shared" si="4"/>
        <v>#N/A</v>
      </c>
      <c r="AC11" s="772" t="e">
        <f t="shared" si="5"/>
        <v>#N/A</v>
      </c>
    </row>
    <row r="12" spans="1:30" s="116" customFormat="1" ht="15">
      <c r="A12" s="430"/>
      <c r="B12" s="2600" t="s">
        <v>2751</v>
      </c>
      <c r="C12" s="431"/>
      <c r="D12" s="432">
        <v>100</v>
      </c>
      <c r="E12" s="464"/>
      <c r="F12" s="135">
        <f>SUMIF(82:82,E12,83:83)-SUMIF(82:82,C12,83:83)+100</f>
        <v>100</v>
      </c>
      <c r="G12" s="462"/>
      <c r="H12" s="135">
        <f>SUMIF(82:82,G12,83:83)-SUMIF(82:82,C12,83:83)+100</f>
        <v>100</v>
      </c>
      <c r="I12" s="464"/>
      <c r="J12" s="135">
        <f>SUMIF(82:82,I12,83:83)-SUMIF(82:82,C12,83:83)+100</f>
        <v>100</v>
      </c>
      <c r="K12" s="671"/>
      <c r="L12" s="1131"/>
      <c r="M12" s="1132"/>
      <c r="N12" s="1132"/>
      <c r="O12" s="1133"/>
      <c r="P12" s="3218"/>
      <c r="Q12" s="1794" t="str">
        <f t="shared" si="6"/>
        <v>配建</v>
      </c>
      <c r="R12" s="769" t="s">
        <v>17</v>
      </c>
      <c r="S12" s="770">
        <f t="shared" si="0"/>
        <v>100</v>
      </c>
      <c r="T12" s="769" t="s">
        <v>17</v>
      </c>
      <c r="U12" s="770">
        <f t="shared" si="1"/>
        <v>100</v>
      </c>
      <c r="V12" s="769" t="s">
        <v>17</v>
      </c>
      <c r="W12" s="770">
        <f t="shared" si="2"/>
        <v>100</v>
      </c>
      <c r="X12" s="771"/>
      <c r="Y12" s="3052"/>
      <c r="Z12" s="55" t="str">
        <f t="shared" si="7"/>
        <v>配建</v>
      </c>
      <c r="AA12" s="772">
        <f>D12/F12</f>
        <v>1</v>
      </c>
      <c r="AB12" s="772">
        <f>D12/H12</f>
        <v>1</v>
      </c>
      <c r="AC12" s="772">
        <f>D12/J12</f>
        <v>1</v>
      </c>
    </row>
    <row r="13" spans="1:30" ht="15">
      <c r="A13" s="427"/>
      <c r="B13" s="2600">
        <v>111</v>
      </c>
      <c r="C13" s="433"/>
      <c r="D13" s="434">
        <v>100</v>
      </c>
      <c r="E13" s="548"/>
      <c r="F13" s="135">
        <f>SUMIF(84:84,E13,85:85)-SUMIF(84:84,C13,85:85)+100</f>
        <v>100</v>
      </c>
      <c r="G13" s="673"/>
      <c r="H13" s="434">
        <f>SUMIF(84:84,G13,85:85)-SUMIF(84:84,C13,85:85)+100</f>
        <v>100</v>
      </c>
      <c r="I13" s="673"/>
      <c r="J13" s="434">
        <f>SUMIF(84:84,I13,85:85)-SUMIF(84:84,C13,85:85)+100</f>
        <v>100</v>
      </c>
      <c r="K13" s="671"/>
      <c r="L13" s="1139"/>
      <c r="M13" s="1130"/>
      <c r="N13" s="1130"/>
      <c r="O13" s="1138"/>
      <c r="P13" s="3218"/>
      <c r="Q13" s="1794">
        <f t="shared" si="6"/>
        <v>111</v>
      </c>
      <c r="R13" s="769" t="s">
        <v>17</v>
      </c>
      <c r="S13" s="770">
        <f t="shared" si="0"/>
        <v>100</v>
      </c>
      <c r="T13" s="769" t="s">
        <v>17</v>
      </c>
      <c r="U13" s="770">
        <f t="shared" si="1"/>
        <v>100</v>
      </c>
      <c r="V13" s="769" t="s">
        <v>17</v>
      </c>
      <c r="W13" s="770">
        <f t="shared" si="2"/>
        <v>100</v>
      </c>
      <c r="X13" s="771"/>
      <c r="Y13" s="3052"/>
      <c r="Z13" s="55">
        <f t="shared" si="7"/>
        <v>111</v>
      </c>
      <c r="AA13" s="772">
        <f>D13/F13</f>
        <v>1</v>
      </c>
      <c r="AB13" s="772">
        <f>D13/H13</f>
        <v>1</v>
      </c>
      <c r="AC13" s="772">
        <f>D13/J13</f>
        <v>1</v>
      </c>
    </row>
    <row r="14" spans="1:30" ht="15.75" thickBot="1">
      <c r="A14" s="435"/>
      <c r="B14" s="2602">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218"/>
      <c r="Q14" s="1794">
        <f t="shared" si="6"/>
        <v>111</v>
      </c>
      <c r="R14" s="769" t="s">
        <v>17</v>
      </c>
      <c r="S14" s="770">
        <f t="shared" si="0"/>
        <v>100</v>
      </c>
      <c r="T14" s="769" t="s">
        <v>17</v>
      </c>
      <c r="U14" s="770">
        <f t="shared" si="1"/>
        <v>100</v>
      </c>
      <c r="V14" s="769" t="s">
        <v>17</v>
      </c>
      <c r="W14" s="770">
        <f t="shared" si="2"/>
        <v>100</v>
      </c>
      <c r="X14" s="771"/>
      <c r="Y14" s="3052"/>
      <c r="Z14" s="55">
        <f t="shared" si="7"/>
        <v>111</v>
      </c>
      <c r="AA14" s="772">
        <f>D14/F14</f>
        <v>1</v>
      </c>
      <c r="AB14" s="772">
        <f>D14/H14</f>
        <v>1</v>
      </c>
      <c r="AC14" s="772">
        <f>D14/J14</f>
        <v>1</v>
      </c>
    </row>
    <row r="15" spans="1:30" ht="99.75">
      <c r="A15" s="439" t="s">
        <v>2563</v>
      </c>
      <c r="B15" s="69" t="s">
        <v>2088</v>
      </c>
      <c r="C15" s="2603"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9"/>
      <c r="M15" s="1130"/>
      <c r="N15" s="1130"/>
      <c r="O15" s="1138"/>
      <c r="P15" s="3225" t="s">
        <v>2564</v>
      </c>
      <c r="Q15" s="1809" t="str">
        <f t="shared" si="6"/>
        <v>居住社区成熟度</v>
      </c>
      <c r="R15" s="773" t="s">
        <v>17</v>
      </c>
      <c r="S15" s="774">
        <f t="shared" si="0"/>
        <v>100</v>
      </c>
      <c r="T15" s="773" t="s">
        <v>17</v>
      </c>
      <c r="U15" s="774">
        <f t="shared" si="1"/>
        <v>100</v>
      </c>
      <c r="V15" s="773" t="s">
        <v>17</v>
      </c>
      <c r="W15" s="774">
        <f t="shared" si="2"/>
        <v>100</v>
      </c>
      <c r="X15" s="1812"/>
      <c r="Y15" s="3225" t="s">
        <v>2564</v>
      </c>
      <c r="Z15" s="1813" t="str">
        <f t="shared" si="7"/>
        <v>居住社区成熟度</v>
      </c>
      <c r="AA15" s="1810">
        <f t="shared" si="3"/>
        <v>1</v>
      </c>
      <c r="AB15" s="1810">
        <f t="shared" si="4"/>
        <v>1</v>
      </c>
      <c r="AC15" s="1810">
        <f t="shared" si="5"/>
        <v>1</v>
      </c>
    </row>
    <row r="16" spans="1:30" ht="15">
      <c r="A16" s="427"/>
      <c r="B16" s="445"/>
      <c r="C16" s="446"/>
      <c r="D16" s="447"/>
      <c r="E16" s="2605"/>
      <c r="F16" s="447"/>
      <c r="G16" s="2605"/>
      <c r="H16" s="449"/>
      <c r="I16" s="2604"/>
      <c r="J16" s="447"/>
      <c r="K16" s="671"/>
      <c r="L16" s="1139"/>
      <c r="M16" s="1130"/>
      <c r="N16" s="1130"/>
      <c r="O16" s="1138"/>
      <c r="P16" s="3226"/>
      <c r="Q16" s="1809"/>
      <c r="R16" s="773"/>
      <c r="S16" s="774"/>
      <c r="T16" s="773"/>
      <c r="U16" s="774"/>
      <c r="V16" s="773"/>
      <c r="W16" s="774"/>
      <c r="X16" s="1812"/>
      <c r="Y16" s="3226"/>
      <c r="Z16" s="1813"/>
      <c r="AA16" s="1810">
        <v>1</v>
      </c>
      <c r="AB16" s="1810">
        <v>1</v>
      </c>
      <c r="AC16" s="1810">
        <v>1</v>
      </c>
    </row>
    <row r="17" spans="1:29" ht="71.25">
      <c r="A17" s="427"/>
      <c r="B17" s="450" t="s">
        <v>2657</v>
      </c>
      <c r="C17" s="2664"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9"/>
      <c r="M17" s="1130"/>
      <c r="N17" s="1130"/>
      <c r="O17" s="1138"/>
      <c r="P17" s="3226"/>
      <c r="Q17" s="1809" t="str">
        <f>B17</f>
        <v>商业繁华度</v>
      </c>
      <c r="R17" s="773" t="s">
        <v>17</v>
      </c>
      <c r="S17" s="774">
        <f>F17</f>
        <v>100</v>
      </c>
      <c r="T17" s="773" t="s">
        <v>17</v>
      </c>
      <c r="U17" s="774">
        <f>H17</f>
        <v>100</v>
      </c>
      <c r="V17" s="773" t="s">
        <v>17</v>
      </c>
      <c r="W17" s="774">
        <f>J17</f>
        <v>100</v>
      </c>
      <c r="X17" s="1812"/>
      <c r="Y17" s="3226"/>
      <c r="Z17" s="1813" t="str">
        <f>Q17</f>
        <v>商业繁华度</v>
      </c>
      <c r="AA17" s="1810">
        <f t="shared" si="3"/>
        <v>1</v>
      </c>
      <c r="AB17" s="1810">
        <f t="shared" si="4"/>
        <v>1</v>
      </c>
      <c r="AC17" s="1810">
        <f t="shared" si="5"/>
        <v>1</v>
      </c>
    </row>
    <row r="18" spans="1:29" ht="15">
      <c r="A18" s="427"/>
      <c r="B18" s="455"/>
      <c r="C18" s="2608"/>
      <c r="D18" s="449"/>
      <c r="E18" s="2610"/>
      <c r="F18" s="449"/>
      <c r="G18" s="2610"/>
      <c r="H18" s="447"/>
      <c r="I18" s="2609"/>
      <c r="J18" s="447"/>
      <c r="K18" s="671"/>
      <c r="L18" s="1139"/>
      <c r="M18" s="1130"/>
      <c r="N18" s="1130"/>
      <c r="O18" s="1138"/>
      <c r="P18" s="3226"/>
      <c r="Q18" s="1809"/>
      <c r="R18" s="773"/>
      <c r="S18" s="774"/>
      <c r="T18" s="773"/>
      <c r="U18" s="774"/>
      <c r="V18" s="773"/>
      <c r="W18" s="774"/>
      <c r="X18" s="1812"/>
      <c r="Y18" s="3226"/>
      <c r="Z18" s="1813"/>
      <c r="AA18" s="1810">
        <v>1</v>
      </c>
      <c r="AB18" s="1810">
        <v>1</v>
      </c>
      <c r="AC18" s="1810">
        <v>1</v>
      </c>
    </row>
    <row r="19" spans="1:29" ht="71.25">
      <c r="A19" s="427"/>
      <c r="B19" s="450" t="s">
        <v>2691</v>
      </c>
      <c r="C19" s="2664"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226"/>
      <c r="Q19" s="1809" t="str">
        <f>B19</f>
        <v>办公集聚程度</v>
      </c>
      <c r="R19" s="773" t="s">
        <v>17</v>
      </c>
      <c r="S19" s="774">
        <f>F19</f>
        <v>100</v>
      </c>
      <c r="T19" s="773" t="s">
        <v>17</v>
      </c>
      <c r="U19" s="774">
        <f>H19</f>
        <v>100</v>
      </c>
      <c r="V19" s="773" t="s">
        <v>17</v>
      </c>
      <c r="W19" s="774">
        <f>J19</f>
        <v>100</v>
      </c>
      <c r="X19" s="1812"/>
      <c r="Y19" s="3226"/>
      <c r="Z19" s="1813" t="str">
        <f>Q19</f>
        <v>办公集聚程度</v>
      </c>
      <c r="AA19" s="1810">
        <f t="shared" si="3"/>
        <v>1</v>
      </c>
      <c r="AB19" s="1810">
        <f t="shared" si="4"/>
        <v>1</v>
      </c>
      <c r="AC19" s="1810">
        <f t="shared" si="5"/>
        <v>1</v>
      </c>
    </row>
    <row r="20" spans="1:29" ht="15">
      <c r="A20" s="427"/>
      <c r="B20" s="455"/>
      <c r="C20" s="446"/>
      <c r="D20" s="447"/>
      <c r="E20" s="2605"/>
      <c r="F20" s="447"/>
      <c r="G20" s="2605"/>
      <c r="H20" s="447"/>
      <c r="I20" s="2604"/>
      <c r="J20" s="447"/>
      <c r="K20" s="671"/>
      <c r="L20" s="1139"/>
      <c r="M20" s="1130"/>
      <c r="N20" s="1130"/>
      <c r="O20" s="1138"/>
      <c r="P20" s="3226"/>
      <c r="Q20" s="1809"/>
      <c r="R20" s="773"/>
      <c r="S20" s="774"/>
      <c r="T20" s="773"/>
      <c r="U20" s="774"/>
      <c r="V20" s="773"/>
      <c r="W20" s="774"/>
      <c r="X20" s="1812"/>
      <c r="Y20" s="3226"/>
      <c r="Z20" s="1813"/>
      <c r="AA20" s="1810">
        <v>1</v>
      </c>
      <c r="AB20" s="1810">
        <v>1</v>
      </c>
      <c r="AC20" s="1810">
        <v>1</v>
      </c>
    </row>
    <row r="21" spans="1:29" ht="85.5">
      <c r="A21" s="427"/>
      <c r="B21" s="450" t="s">
        <v>2713</v>
      </c>
      <c r="C21" s="2607"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9"/>
      <c r="M21" s="1130"/>
      <c r="N21" s="1130"/>
      <c r="O21" s="1138"/>
      <c r="P21" s="3226"/>
      <c r="Q21" s="1809" t="str">
        <f>B21</f>
        <v>交通便捷度</v>
      </c>
      <c r="R21" s="773" t="s">
        <v>17</v>
      </c>
      <c r="S21" s="774">
        <f>F21</f>
        <v>100</v>
      </c>
      <c r="T21" s="773" t="s">
        <v>17</v>
      </c>
      <c r="U21" s="774">
        <f>H21</f>
        <v>100</v>
      </c>
      <c r="V21" s="773" t="s">
        <v>17</v>
      </c>
      <c r="W21" s="774">
        <f>J21</f>
        <v>100</v>
      </c>
      <c r="X21" s="1812"/>
      <c r="Y21" s="3226"/>
      <c r="Z21" s="1813" t="str">
        <f>Q21</f>
        <v>交通便捷度</v>
      </c>
      <c r="AA21" s="1810">
        <f t="shared" si="3"/>
        <v>1</v>
      </c>
      <c r="AB21" s="1810">
        <f t="shared" si="4"/>
        <v>1</v>
      </c>
      <c r="AC21" s="1810">
        <f t="shared" si="5"/>
        <v>1</v>
      </c>
    </row>
    <row r="22" spans="1:29" ht="15">
      <c r="A22" s="427"/>
      <c r="B22" s="1383"/>
      <c r="C22" s="446"/>
      <c r="D22" s="449"/>
      <c r="E22" s="2605"/>
      <c r="F22" s="447"/>
      <c r="G22" s="2605"/>
      <c r="H22" s="447"/>
      <c r="I22" s="2604"/>
      <c r="J22" s="447"/>
      <c r="K22" s="671"/>
      <c r="L22" s="1139"/>
      <c r="M22" s="1130"/>
      <c r="N22" s="1130"/>
      <c r="O22" s="1138"/>
      <c r="P22" s="3226"/>
      <c r="Q22" s="1809"/>
      <c r="R22" s="773"/>
      <c r="S22" s="774"/>
      <c r="T22" s="773"/>
      <c r="U22" s="774"/>
      <c r="V22" s="773"/>
      <c r="W22" s="774"/>
      <c r="X22" s="1812"/>
      <c r="Y22" s="3226"/>
      <c r="Z22" s="1813"/>
      <c r="AA22" s="1810">
        <v>1</v>
      </c>
      <c r="AB22" s="1810">
        <v>1</v>
      </c>
      <c r="AC22" s="1810">
        <v>1</v>
      </c>
    </row>
    <row r="23" spans="1:29" ht="15">
      <c r="A23" s="403"/>
      <c r="B23" s="450" t="s">
        <v>2752</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226"/>
      <c r="Q23" s="1809" t="str">
        <f t="shared" ref="Q23:Q37" si="8">B23</f>
        <v>区域土地利用方向</v>
      </c>
      <c r="R23" s="773" t="s">
        <v>17</v>
      </c>
      <c r="S23" s="774">
        <f>F23</f>
        <v>100</v>
      </c>
      <c r="T23" s="773" t="s">
        <v>17</v>
      </c>
      <c r="U23" s="774">
        <f>H23</f>
        <v>100</v>
      </c>
      <c r="V23" s="773" t="s">
        <v>17</v>
      </c>
      <c r="W23" s="774">
        <f>J23</f>
        <v>100</v>
      </c>
      <c r="X23" s="1812"/>
      <c r="Y23" s="3226"/>
      <c r="Z23" s="1813" t="str">
        <f>Q23</f>
        <v>区域土地利用方向</v>
      </c>
      <c r="AA23" s="1810">
        <f t="shared" si="3"/>
        <v>1</v>
      </c>
      <c r="AB23" s="1810">
        <f t="shared" si="4"/>
        <v>1</v>
      </c>
      <c r="AC23" s="1810">
        <f t="shared" si="5"/>
        <v>1</v>
      </c>
    </row>
    <row r="24" spans="1:29" ht="15">
      <c r="A24" s="403"/>
      <c r="B24" s="455"/>
      <c r="C24" s="615"/>
      <c r="D24" s="447"/>
      <c r="E24" s="2605"/>
      <c r="F24" s="447"/>
      <c r="G24" s="2604"/>
      <c r="H24" s="447"/>
      <c r="I24" s="2604"/>
      <c r="J24" s="447"/>
      <c r="K24" s="808"/>
      <c r="L24" s="1139"/>
      <c r="M24" s="1130"/>
      <c r="N24" s="1130"/>
      <c r="O24" s="1138"/>
      <c r="P24" s="3226"/>
      <c r="Q24" s="1809"/>
      <c r="R24" s="773"/>
      <c r="S24" s="774"/>
      <c r="T24" s="773"/>
      <c r="U24" s="774"/>
      <c r="V24" s="773"/>
      <c r="W24" s="774"/>
      <c r="X24" s="1812"/>
      <c r="Y24" s="3226"/>
      <c r="Z24" s="1813"/>
      <c r="AA24" s="1810"/>
      <c r="AB24" s="1810"/>
      <c r="AC24" s="1810"/>
    </row>
    <row r="25" spans="1:29" ht="57">
      <c r="A25" s="403"/>
      <c r="B25" s="1383" t="s">
        <v>2753</v>
      </c>
      <c r="C25" s="2664"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9"/>
      <c r="M25" s="1130"/>
      <c r="N25" s="1130"/>
      <c r="O25" s="1138"/>
      <c r="P25" s="3226"/>
      <c r="Q25" s="1809" t="str">
        <f t="shared" si="8"/>
        <v>自然及人文环境状况</v>
      </c>
      <c r="R25" s="773" t="s">
        <v>17</v>
      </c>
      <c r="S25" s="774">
        <f>F25</f>
        <v>100</v>
      </c>
      <c r="T25" s="773" t="s">
        <v>17</v>
      </c>
      <c r="U25" s="774">
        <f>H25</f>
        <v>100</v>
      </c>
      <c r="V25" s="773" t="s">
        <v>17</v>
      </c>
      <c r="W25" s="774">
        <f>J25</f>
        <v>100</v>
      </c>
      <c r="X25" s="1812"/>
      <c r="Y25" s="3226"/>
      <c r="Z25" s="1813" t="str">
        <f>Q25</f>
        <v>自然及人文环境状况</v>
      </c>
      <c r="AA25" s="1810">
        <f t="shared" si="3"/>
        <v>1</v>
      </c>
      <c r="AB25" s="1810">
        <f t="shared" si="4"/>
        <v>1</v>
      </c>
      <c r="AC25" s="1810">
        <f t="shared" si="5"/>
        <v>1</v>
      </c>
    </row>
    <row r="26" spans="1:29" ht="15">
      <c r="A26" s="403"/>
      <c r="B26" s="455"/>
      <c r="C26" s="446"/>
      <c r="D26" s="447"/>
      <c r="E26" s="2611"/>
      <c r="F26" s="447"/>
      <c r="G26" s="2611"/>
      <c r="H26" s="447"/>
      <c r="I26" s="446"/>
      <c r="J26" s="447"/>
      <c r="K26" s="671"/>
      <c r="L26" s="1139"/>
      <c r="M26" s="1130"/>
      <c r="N26" s="1130"/>
      <c r="O26" s="1138"/>
      <c r="P26" s="3226"/>
      <c r="Q26" s="1809"/>
      <c r="R26" s="773"/>
      <c r="S26" s="774"/>
      <c r="T26" s="773"/>
      <c r="U26" s="774"/>
      <c r="V26" s="773"/>
      <c r="W26" s="774"/>
      <c r="X26" s="1812"/>
      <c r="Y26" s="3226"/>
      <c r="Z26" s="1813"/>
      <c r="AA26" s="1810">
        <v>1</v>
      </c>
      <c r="AB26" s="1810">
        <v>1</v>
      </c>
      <c r="AC26" s="1810">
        <v>1</v>
      </c>
    </row>
    <row r="27" spans="1:29" s="116" customFormat="1" ht="42.75">
      <c r="A27" s="648"/>
      <c r="B27" s="1383" t="s">
        <v>2658</v>
      </c>
      <c r="C27" s="2607"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1"/>
      <c r="M27" s="1132"/>
      <c r="N27" s="1132"/>
      <c r="O27" s="1133"/>
      <c r="P27" s="3226"/>
      <c r="Q27" s="1794" t="str">
        <f t="shared" si="8"/>
        <v>公共配套设施</v>
      </c>
      <c r="R27" s="769" t="s">
        <v>17</v>
      </c>
      <c r="S27" s="770">
        <f>F27</f>
        <v>100</v>
      </c>
      <c r="T27" s="769" t="s">
        <v>17</v>
      </c>
      <c r="U27" s="770">
        <f>H27</f>
        <v>100</v>
      </c>
      <c r="V27" s="769" t="s">
        <v>17</v>
      </c>
      <c r="W27" s="770">
        <f>J27</f>
        <v>100</v>
      </c>
      <c r="X27" s="771"/>
      <c r="Y27" s="3226"/>
      <c r="Z27" s="55" t="str">
        <f>Q27</f>
        <v>公共配套设施</v>
      </c>
      <c r="AA27" s="1810">
        <f>D27/F27</f>
        <v>1</v>
      </c>
      <c r="AB27" s="1810">
        <f>D27/H27</f>
        <v>1</v>
      </c>
      <c r="AC27" s="1810">
        <f>D27/J27</f>
        <v>1</v>
      </c>
    </row>
    <row r="28" spans="1:29" s="116" customFormat="1" ht="15">
      <c r="A28" s="648"/>
      <c r="B28" s="455"/>
      <c r="C28" s="2700"/>
      <c r="D28" s="447"/>
      <c r="E28" s="2611"/>
      <c r="F28" s="447"/>
      <c r="G28" s="2611"/>
      <c r="H28" s="447"/>
      <c r="I28" s="446"/>
      <c r="J28" s="447"/>
      <c r="K28" s="671"/>
      <c r="L28" s="1131"/>
      <c r="M28" s="1132"/>
      <c r="N28" s="1132"/>
      <c r="O28" s="1133"/>
      <c r="P28" s="3226"/>
      <c r="Q28" s="1794"/>
      <c r="R28" s="769"/>
      <c r="S28" s="770"/>
      <c r="T28" s="769"/>
      <c r="U28" s="770"/>
      <c r="V28" s="769"/>
      <c r="W28" s="770"/>
      <c r="X28" s="771"/>
      <c r="Y28" s="3226"/>
      <c r="Z28" s="55"/>
      <c r="AA28" s="1810">
        <v>1</v>
      </c>
      <c r="AB28" s="1810">
        <v>1</v>
      </c>
      <c r="AC28" s="1810">
        <v>1</v>
      </c>
    </row>
    <row r="29" spans="1:29" s="116" customFormat="1" ht="28.5">
      <c r="A29" s="648"/>
      <c r="B29" s="1383" t="s">
        <v>2659</v>
      </c>
      <c r="C29" s="2607"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1"/>
      <c r="M29" s="1132"/>
      <c r="N29" s="1132"/>
      <c r="O29" s="1133"/>
      <c r="P29" s="3226"/>
      <c r="Q29" s="1794" t="str">
        <f t="shared" ref="Q29" si="9">B29</f>
        <v>基础设施水平</v>
      </c>
      <c r="R29" s="769" t="s">
        <v>17</v>
      </c>
      <c r="S29" s="770">
        <f>F29</f>
        <v>100</v>
      </c>
      <c r="T29" s="769" t="s">
        <v>17</v>
      </c>
      <c r="U29" s="770">
        <f>H29</f>
        <v>100</v>
      </c>
      <c r="V29" s="769" t="s">
        <v>17</v>
      </c>
      <c r="W29" s="770">
        <f>J29</f>
        <v>100</v>
      </c>
      <c r="X29" s="771"/>
      <c r="Y29" s="3226"/>
      <c r="Z29" s="55" t="str">
        <f>Q29</f>
        <v>基础设施水平</v>
      </c>
      <c r="AA29" s="1810">
        <f>D29/F29</f>
        <v>1</v>
      </c>
      <c r="AB29" s="1810">
        <f>D29/H29</f>
        <v>1</v>
      </c>
      <c r="AC29" s="1810">
        <f>D29/J29</f>
        <v>1</v>
      </c>
    </row>
    <row r="30" spans="1:29" s="116" customFormat="1" ht="15">
      <c r="A30" s="648"/>
      <c r="B30" s="455"/>
      <c r="C30" s="2700"/>
      <c r="D30" s="447"/>
      <c r="E30" s="2701"/>
      <c r="F30" s="447"/>
      <c r="G30" s="2701"/>
      <c r="H30" s="447"/>
      <c r="I30" s="2701"/>
      <c r="J30" s="447"/>
      <c r="K30" s="671"/>
      <c r="L30" s="1131"/>
      <c r="M30" s="1132"/>
      <c r="N30" s="1132"/>
      <c r="O30" s="1133"/>
      <c r="P30" s="3226"/>
      <c r="Q30" s="1794"/>
      <c r="R30" s="769"/>
      <c r="S30" s="770"/>
      <c r="T30" s="769"/>
      <c r="U30" s="770"/>
      <c r="V30" s="769"/>
      <c r="W30" s="770"/>
      <c r="X30" s="771"/>
      <c r="Y30" s="3226"/>
      <c r="Z30" s="55"/>
      <c r="AA30" s="1810">
        <v>1</v>
      </c>
      <c r="AB30" s="1810">
        <v>1</v>
      </c>
      <c r="AC30" s="1810">
        <v>1</v>
      </c>
    </row>
    <row r="31" spans="1:29" ht="15">
      <c r="A31" s="427"/>
      <c r="B31" s="455" t="s">
        <v>2660</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226"/>
      <c r="Q31" s="1809" t="str">
        <f t="shared" si="8"/>
        <v>临街状况</v>
      </c>
      <c r="R31" s="773" t="s">
        <v>17</v>
      </c>
      <c r="S31" s="774">
        <f t="shared" ref="S31:S45" si="10">F31</f>
        <v>100</v>
      </c>
      <c r="T31" s="773" t="s">
        <v>17</v>
      </c>
      <c r="U31" s="774">
        <f t="shared" ref="U31:U45" si="11">H31</f>
        <v>100</v>
      </c>
      <c r="V31" s="773" t="s">
        <v>17</v>
      </c>
      <c r="W31" s="774">
        <f t="shared" ref="W31:W45" si="12">J31</f>
        <v>100</v>
      </c>
      <c r="X31" s="1812"/>
      <c r="Y31" s="3226"/>
      <c r="Z31" s="1813" t="str">
        <f t="shared" ref="Z31:Z45" si="13">Q31</f>
        <v>临街状况</v>
      </c>
      <c r="AA31" s="1810">
        <f t="shared" si="3"/>
        <v>1</v>
      </c>
      <c r="AB31" s="1810">
        <f t="shared" si="4"/>
        <v>1</v>
      </c>
      <c r="AC31" s="1810">
        <f t="shared" si="5"/>
        <v>1</v>
      </c>
    </row>
    <row r="32" spans="1:29" ht="27">
      <c r="A32" s="427"/>
      <c r="B32" s="1383" t="s">
        <v>2695</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9"/>
      <c r="M32" s="1130"/>
      <c r="N32" s="1130"/>
      <c r="O32" s="1138"/>
      <c r="P32" s="3226"/>
      <c r="Q32" s="1809" t="str">
        <f t="shared" si="8"/>
        <v>毗邻道路的类型与等级</v>
      </c>
      <c r="R32" s="773" t="s">
        <v>17</v>
      </c>
      <c r="S32" s="774">
        <f t="shared" si="10"/>
        <v>100</v>
      </c>
      <c r="T32" s="773" t="s">
        <v>17</v>
      </c>
      <c r="U32" s="774">
        <f t="shared" si="11"/>
        <v>100</v>
      </c>
      <c r="V32" s="773" t="s">
        <v>17</v>
      </c>
      <c r="W32" s="774">
        <f t="shared" si="12"/>
        <v>100</v>
      </c>
      <c r="X32" s="1812"/>
      <c r="Y32" s="3226"/>
      <c r="Z32" s="1813" t="str">
        <f t="shared" si="13"/>
        <v>毗邻道路的类型与等级</v>
      </c>
      <c r="AA32" s="1810">
        <f t="shared" si="3"/>
        <v>1</v>
      </c>
      <c r="AB32" s="1810">
        <f t="shared" si="4"/>
        <v>1</v>
      </c>
      <c r="AC32" s="1810">
        <f t="shared" si="5"/>
        <v>1</v>
      </c>
    </row>
    <row r="33" spans="1:29" ht="15">
      <c r="A33" s="427"/>
      <c r="B33" s="455"/>
      <c r="C33" s="446"/>
      <c r="D33" s="447"/>
      <c r="E33" s="2611"/>
      <c r="F33" s="447"/>
      <c r="G33" s="2611"/>
      <c r="H33" s="447"/>
      <c r="I33" s="446"/>
      <c r="J33" s="447"/>
      <c r="K33" s="612"/>
      <c r="L33" s="1139"/>
      <c r="M33" s="1130"/>
      <c r="N33" s="1130"/>
      <c r="O33" s="1138"/>
      <c r="P33" s="3226"/>
      <c r="Q33" s="1809"/>
      <c r="R33" s="773"/>
      <c r="S33" s="774"/>
      <c r="T33" s="773"/>
      <c r="U33" s="774"/>
      <c r="V33" s="773"/>
      <c r="W33" s="774"/>
      <c r="X33" s="1812"/>
      <c r="Y33" s="3226"/>
      <c r="Z33" s="1813"/>
      <c r="AA33" s="1810">
        <v>1</v>
      </c>
      <c r="AB33" s="1810">
        <v>1</v>
      </c>
      <c r="AC33" s="1810">
        <v>1</v>
      </c>
    </row>
    <row r="34" spans="1:29" ht="15">
      <c r="A34" s="427"/>
      <c r="B34" s="421" t="s">
        <v>2754</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226"/>
      <c r="Q34" s="1809" t="str">
        <f t="shared" si="8"/>
        <v>土地级别</v>
      </c>
      <c r="R34" s="773" t="s">
        <v>17</v>
      </c>
      <c r="S34" s="774">
        <f t="shared" si="10"/>
        <v>100</v>
      </c>
      <c r="T34" s="773" t="s">
        <v>17</v>
      </c>
      <c r="U34" s="774">
        <f t="shared" si="11"/>
        <v>100</v>
      </c>
      <c r="V34" s="773" t="s">
        <v>17</v>
      </c>
      <c r="W34" s="774">
        <f t="shared" si="12"/>
        <v>100</v>
      </c>
      <c r="X34" s="1812"/>
      <c r="Y34" s="3226"/>
      <c r="Z34" s="1813" t="str">
        <f t="shared" si="13"/>
        <v>土地级别</v>
      </c>
      <c r="AA34" s="1810">
        <f t="shared" si="3"/>
        <v>1</v>
      </c>
      <c r="AB34" s="1810">
        <f t="shared" si="4"/>
        <v>1</v>
      </c>
      <c r="AC34" s="1810">
        <f t="shared" si="5"/>
        <v>1</v>
      </c>
    </row>
    <row r="35" spans="1:29" ht="15">
      <c r="A35" s="403"/>
      <c r="B35" s="1385">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226"/>
      <c r="Q35" s="1809">
        <f t="shared" si="8"/>
        <v>111</v>
      </c>
      <c r="R35" s="773" t="s">
        <v>17</v>
      </c>
      <c r="S35" s="774">
        <f t="shared" si="10"/>
        <v>100</v>
      </c>
      <c r="T35" s="773" t="s">
        <v>17</v>
      </c>
      <c r="U35" s="774">
        <f t="shared" si="11"/>
        <v>100</v>
      </c>
      <c r="V35" s="773" t="s">
        <v>17</v>
      </c>
      <c r="W35" s="774">
        <f t="shared" si="12"/>
        <v>100</v>
      </c>
      <c r="X35" s="1812"/>
      <c r="Y35" s="3226"/>
      <c r="Z35" s="1813">
        <f t="shared" si="13"/>
        <v>111</v>
      </c>
      <c r="AA35" s="1810">
        <f t="shared" si="3"/>
        <v>1</v>
      </c>
      <c r="AB35" s="1810">
        <f t="shared" si="4"/>
        <v>1</v>
      </c>
      <c r="AC35" s="1810">
        <f t="shared" si="5"/>
        <v>1</v>
      </c>
    </row>
    <row r="36" spans="1:29" ht="15">
      <c r="A36" s="674"/>
      <c r="B36" s="1386">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307" t="s">
        <v>2569</v>
      </c>
      <c r="Q36" s="1809">
        <f t="shared" si="8"/>
        <v>111</v>
      </c>
      <c r="R36" s="773" t="s">
        <v>17</v>
      </c>
      <c r="S36" s="774">
        <f t="shared" si="10"/>
        <v>100</v>
      </c>
      <c r="T36" s="773" t="s">
        <v>17</v>
      </c>
      <c r="U36" s="774">
        <f t="shared" si="11"/>
        <v>100</v>
      </c>
      <c r="V36" s="773" t="s">
        <v>17</v>
      </c>
      <c r="W36" s="774">
        <f t="shared" si="12"/>
        <v>100</v>
      </c>
      <c r="X36" s="1812"/>
      <c r="Y36" s="3230" t="s">
        <v>2569</v>
      </c>
      <c r="Z36" s="1813">
        <f t="shared" si="13"/>
        <v>111</v>
      </c>
      <c r="AA36" s="1810">
        <f t="shared" si="3"/>
        <v>1</v>
      </c>
      <c r="AB36" s="1810">
        <f t="shared" si="4"/>
        <v>1</v>
      </c>
      <c r="AC36" s="1810">
        <f t="shared" si="5"/>
        <v>1</v>
      </c>
    </row>
    <row r="37" spans="1:29" s="470" customFormat="1" ht="15.75" thickBot="1">
      <c r="A37" s="675"/>
      <c r="B37" s="1387">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230"/>
      <c r="Q37" s="1809">
        <f t="shared" si="8"/>
        <v>111</v>
      </c>
      <c r="R37" s="776" t="s">
        <v>17</v>
      </c>
      <c r="S37" s="777">
        <f t="shared" si="10"/>
        <v>100</v>
      </c>
      <c r="T37" s="776" t="s">
        <v>17</v>
      </c>
      <c r="U37" s="777">
        <f t="shared" si="11"/>
        <v>100</v>
      </c>
      <c r="V37" s="776" t="s">
        <v>17</v>
      </c>
      <c r="W37" s="777">
        <f t="shared" si="12"/>
        <v>100</v>
      </c>
      <c r="X37" s="778"/>
      <c r="Y37" s="3230"/>
      <c r="Z37" s="779">
        <f t="shared" si="13"/>
        <v>111</v>
      </c>
      <c r="AA37" s="1810">
        <f t="shared" si="3"/>
        <v>1</v>
      </c>
      <c r="AB37" s="1810">
        <f t="shared" si="4"/>
        <v>1</v>
      </c>
      <c r="AC37" s="1810">
        <f t="shared" si="5"/>
        <v>1</v>
      </c>
    </row>
    <row r="38" spans="1:29" ht="15">
      <c r="A38" s="471" t="s">
        <v>2567</v>
      </c>
      <c r="B38" s="455" t="s">
        <v>2755</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9"/>
      <c r="M38" s="1130"/>
      <c r="N38" s="1130"/>
      <c r="O38" s="1138"/>
      <c r="P38" s="3230"/>
      <c r="Q38" s="1809" t="str">
        <f>B38</f>
        <v>宗地面积</v>
      </c>
      <c r="R38" s="773" t="s">
        <v>17</v>
      </c>
      <c r="S38" s="774" t="e">
        <f t="shared" si="10"/>
        <v>#N/A</v>
      </c>
      <c r="T38" s="773" t="s">
        <v>17</v>
      </c>
      <c r="U38" s="774" t="e">
        <f t="shared" si="11"/>
        <v>#N/A</v>
      </c>
      <c r="V38" s="773" t="s">
        <v>17</v>
      </c>
      <c r="W38" s="774" t="e">
        <f t="shared" si="12"/>
        <v>#N/A</v>
      </c>
      <c r="X38" s="1812"/>
      <c r="Y38" s="3230"/>
      <c r="Z38" s="1813" t="str">
        <f t="shared" si="13"/>
        <v>宗地面积</v>
      </c>
      <c r="AA38" s="1810" t="e">
        <f t="shared" si="3"/>
        <v>#N/A</v>
      </c>
      <c r="AB38" s="1810" t="e">
        <f t="shared" si="4"/>
        <v>#N/A</v>
      </c>
      <c r="AC38" s="1810" t="e">
        <f t="shared" si="5"/>
        <v>#N/A</v>
      </c>
    </row>
    <row r="39" spans="1:29" ht="15">
      <c r="A39" s="471"/>
      <c r="B39" s="421" t="s">
        <v>2756</v>
      </c>
      <c r="C39" s="2613"/>
      <c r="D39" s="434">
        <v>100</v>
      </c>
      <c r="E39" s="2613"/>
      <c r="F39" s="434">
        <f>SUMIF(119:119,E39,120:120)-SUMIF(119:119,C39,120:120)+100</f>
        <v>100</v>
      </c>
      <c r="G39" s="2613"/>
      <c r="H39" s="434">
        <f>SUMIF(119:119,G39,120:120)-SUMIF(119:119,C39,120:120)+100</f>
        <v>100</v>
      </c>
      <c r="I39" s="2613"/>
      <c r="J39" s="434">
        <f>SUMIF(119:119,I39,120:120)-SUMIF(119:119,C39,120:120)+100</f>
        <v>100</v>
      </c>
      <c r="K39" s="611"/>
      <c r="L39" s="1139"/>
      <c r="M39" s="1130"/>
      <c r="N39" s="1130"/>
      <c r="O39" s="1138"/>
      <c r="P39" s="3230"/>
      <c r="Q39" s="1809" t="str">
        <f t="shared" ref="Q39:Q45" si="14">B39</f>
        <v>宗地形状</v>
      </c>
      <c r="R39" s="773" t="s">
        <v>17</v>
      </c>
      <c r="S39" s="774">
        <f t="shared" si="10"/>
        <v>100</v>
      </c>
      <c r="T39" s="773" t="s">
        <v>17</v>
      </c>
      <c r="U39" s="774">
        <f t="shared" si="11"/>
        <v>100</v>
      </c>
      <c r="V39" s="773" t="s">
        <v>17</v>
      </c>
      <c r="W39" s="774">
        <f t="shared" si="12"/>
        <v>100</v>
      </c>
      <c r="X39" s="1812"/>
      <c r="Y39" s="3230"/>
      <c r="Z39" s="1813" t="str">
        <f t="shared" si="13"/>
        <v>宗地形状</v>
      </c>
      <c r="AA39" s="1810">
        <f t="shared" si="3"/>
        <v>1</v>
      </c>
      <c r="AB39" s="1810">
        <f t="shared" si="4"/>
        <v>1</v>
      </c>
      <c r="AC39" s="1810">
        <f t="shared" si="5"/>
        <v>1</v>
      </c>
    </row>
    <row r="40" spans="1:29" ht="15">
      <c r="A40" s="471"/>
      <c r="B40" s="421" t="s">
        <v>2757</v>
      </c>
      <c r="C40" s="2613"/>
      <c r="D40" s="434">
        <v>100</v>
      </c>
      <c r="E40" s="2613"/>
      <c r="F40" s="434">
        <f>SUMIF(121:121,E40,122:122)-SUMIF(121:121,C40,122:122)+100</f>
        <v>100</v>
      </c>
      <c r="G40" s="2613"/>
      <c r="H40" s="434">
        <f>SUMIF(121:121,G40,122:122)-SUMIF(121:121,C40,122:122)+100</f>
        <v>100</v>
      </c>
      <c r="I40" s="2613"/>
      <c r="J40" s="434">
        <f>SUMIF(121:121,I40,122:122)-SUMIF(121:121,C40,122:122)+100</f>
        <v>100</v>
      </c>
      <c r="K40" s="611"/>
      <c r="L40" s="1139"/>
      <c r="M40" s="1130"/>
      <c r="N40" s="1130"/>
      <c r="O40" s="1138"/>
      <c r="P40" s="3230"/>
      <c r="Q40" s="1809" t="str">
        <f t="shared" si="14"/>
        <v>临街宽度及深度</v>
      </c>
      <c r="R40" s="773" t="s">
        <v>17</v>
      </c>
      <c r="S40" s="774">
        <f t="shared" si="10"/>
        <v>100</v>
      </c>
      <c r="T40" s="773" t="s">
        <v>17</v>
      </c>
      <c r="U40" s="774">
        <f t="shared" si="11"/>
        <v>100</v>
      </c>
      <c r="V40" s="773" t="s">
        <v>17</v>
      </c>
      <c r="W40" s="774">
        <f t="shared" si="12"/>
        <v>100</v>
      </c>
      <c r="X40" s="1812"/>
      <c r="Y40" s="3230"/>
      <c r="Z40" s="1813" t="str">
        <f t="shared" si="13"/>
        <v>临街宽度及深度</v>
      </c>
      <c r="AA40" s="1810">
        <f t="shared" si="3"/>
        <v>1</v>
      </c>
      <c r="AB40" s="1810">
        <f t="shared" si="4"/>
        <v>1</v>
      </c>
      <c r="AC40" s="1810">
        <f t="shared" si="5"/>
        <v>1</v>
      </c>
    </row>
    <row r="41" spans="1:29" s="116" customFormat="1" ht="15">
      <c r="A41" s="472"/>
      <c r="B41" s="421" t="s">
        <v>2758</v>
      </c>
      <c r="C41" s="2702"/>
      <c r="D41" s="135">
        <v>100</v>
      </c>
      <c r="E41" s="2702"/>
      <c r="F41" s="434">
        <f>SUMIF(123:123,E41,124:124)-SUMIF(123:123,C41,124:124)+100</f>
        <v>100</v>
      </c>
      <c r="G41" s="2702"/>
      <c r="H41" s="434">
        <f>SUMIF(123:123,G41,124:124)-SUMIF(123:123,C41,124:124)+100</f>
        <v>100</v>
      </c>
      <c r="I41" s="2702"/>
      <c r="J41" s="434">
        <f>SUMIF(123:123,I41,124:124)-SUMIF(123:123,C41,124:124)+100</f>
        <v>100</v>
      </c>
      <c r="K41" s="611"/>
      <c r="L41" s="1131"/>
      <c r="M41" s="1132"/>
      <c r="N41" s="1132"/>
      <c r="O41" s="1133"/>
      <c r="P41" s="3230"/>
      <c r="Q41" s="1809" t="str">
        <f t="shared" si="14"/>
        <v>宗地开发程度</v>
      </c>
      <c r="R41" s="769" t="s">
        <v>17</v>
      </c>
      <c r="S41" s="770">
        <f t="shared" si="10"/>
        <v>100</v>
      </c>
      <c r="T41" s="769" t="s">
        <v>17</v>
      </c>
      <c r="U41" s="770">
        <f t="shared" si="11"/>
        <v>100</v>
      </c>
      <c r="V41" s="769" t="s">
        <v>17</v>
      </c>
      <c r="W41" s="770">
        <f t="shared" si="12"/>
        <v>100</v>
      </c>
      <c r="X41" s="771"/>
      <c r="Y41" s="3230"/>
      <c r="Z41" s="55" t="str">
        <f t="shared" si="13"/>
        <v>宗地开发程度</v>
      </c>
      <c r="AA41" s="772">
        <f t="shared" si="3"/>
        <v>1</v>
      </c>
      <c r="AB41" s="772">
        <f t="shared" si="4"/>
        <v>1</v>
      </c>
      <c r="AC41" s="772">
        <f t="shared" si="5"/>
        <v>1</v>
      </c>
    </row>
    <row r="42" spans="1:29" ht="15">
      <c r="A42" s="471"/>
      <c r="B42" s="421" t="s">
        <v>2759</v>
      </c>
      <c r="C42" s="2613"/>
      <c r="D42" s="434">
        <v>100</v>
      </c>
      <c r="E42" s="2613"/>
      <c r="F42" s="434">
        <f>SUMIF(125:125,E42,126:126)-SUMIF(125:125,C42,126:126)+100</f>
        <v>100</v>
      </c>
      <c r="G42" s="2613"/>
      <c r="H42" s="434">
        <f>SUMIF(125:125,G42,126:126)-SUMIF(125:125,C42,126:126)+100</f>
        <v>100</v>
      </c>
      <c r="I42" s="2613"/>
      <c r="J42" s="434">
        <f>SUMIF(125:125,I42,126:126)-SUMIF(125:125,C42,126:126)+100</f>
        <v>100</v>
      </c>
      <c r="K42" s="611"/>
      <c r="L42" s="1139"/>
      <c r="M42" s="1130"/>
      <c r="N42" s="1130"/>
      <c r="O42" s="1138"/>
      <c r="P42" s="3230" t="s">
        <v>2569</v>
      </c>
      <c r="Q42" s="1809" t="str">
        <f t="shared" si="14"/>
        <v>工程地质条件</v>
      </c>
      <c r="R42" s="773" t="s">
        <v>17</v>
      </c>
      <c r="S42" s="774">
        <f t="shared" si="10"/>
        <v>100</v>
      </c>
      <c r="T42" s="773" t="s">
        <v>17</v>
      </c>
      <c r="U42" s="774">
        <f t="shared" si="11"/>
        <v>100</v>
      </c>
      <c r="V42" s="773" t="s">
        <v>17</v>
      </c>
      <c r="W42" s="774">
        <f t="shared" si="12"/>
        <v>100</v>
      </c>
      <c r="X42" s="1812"/>
      <c r="Y42" s="3230" t="s">
        <v>2569</v>
      </c>
      <c r="Z42" s="1813" t="str">
        <f t="shared" si="13"/>
        <v>工程地质条件</v>
      </c>
      <c r="AA42" s="1810">
        <f t="shared" si="3"/>
        <v>1</v>
      </c>
      <c r="AB42" s="1810">
        <f t="shared" si="4"/>
        <v>1</v>
      </c>
      <c r="AC42" s="1810">
        <f t="shared" si="5"/>
        <v>1</v>
      </c>
    </row>
    <row r="43" spans="1:29" ht="15">
      <c r="A43" s="471"/>
      <c r="B43" s="1386">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230"/>
      <c r="Q43" s="1809">
        <f t="shared" si="14"/>
        <v>111</v>
      </c>
      <c r="R43" s="773" t="s">
        <v>17</v>
      </c>
      <c r="S43" s="774">
        <f t="shared" si="10"/>
        <v>100</v>
      </c>
      <c r="T43" s="773" t="s">
        <v>17</v>
      </c>
      <c r="U43" s="774">
        <f t="shared" si="11"/>
        <v>100</v>
      </c>
      <c r="V43" s="773" t="s">
        <v>17</v>
      </c>
      <c r="W43" s="774">
        <f t="shared" si="12"/>
        <v>100</v>
      </c>
      <c r="X43" s="1812"/>
      <c r="Y43" s="3230"/>
      <c r="Z43" s="1813">
        <f t="shared" si="13"/>
        <v>111</v>
      </c>
      <c r="AA43" s="1810">
        <f t="shared" si="3"/>
        <v>1</v>
      </c>
      <c r="AB43" s="1810">
        <f t="shared" si="4"/>
        <v>1</v>
      </c>
      <c r="AC43" s="1810">
        <f t="shared" si="5"/>
        <v>1</v>
      </c>
    </row>
    <row r="44" spans="1:29" ht="15">
      <c r="A44" s="471"/>
      <c r="B44" s="1386">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230"/>
      <c r="Q44" s="1809">
        <f t="shared" si="14"/>
        <v>111</v>
      </c>
      <c r="R44" s="773" t="s">
        <v>17</v>
      </c>
      <c r="S44" s="774">
        <f t="shared" si="10"/>
        <v>100</v>
      </c>
      <c r="T44" s="773" t="s">
        <v>17</v>
      </c>
      <c r="U44" s="774">
        <f t="shared" si="11"/>
        <v>100</v>
      </c>
      <c r="V44" s="773" t="s">
        <v>17</v>
      </c>
      <c r="W44" s="774">
        <f t="shared" si="12"/>
        <v>100</v>
      </c>
      <c r="X44" s="1812"/>
      <c r="Y44" s="3230"/>
      <c r="Z44" s="1813">
        <f t="shared" si="13"/>
        <v>111</v>
      </c>
      <c r="AA44" s="1810">
        <f t="shared" si="3"/>
        <v>1</v>
      </c>
      <c r="AB44" s="1810">
        <f t="shared" si="4"/>
        <v>1</v>
      </c>
      <c r="AC44" s="1810">
        <f t="shared" si="5"/>
        <v>1</v>
      </c>
    </row>
    <row r="45" spans="1:29" s="470" customFormat="1" ht="15.75" thickBot="1">
      <c r="A45" s="467"/>
      <c r="B45" s="1386">
        <v>111</v>
      </c>
      <c r="C45" s="2703"/>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230"/>
      <c r="Q45" s="1809">
        <f t="shared" si="14"/>
        <v>111</v>
      </c>
      <c r="R45" s="776" t="s">
        <v>17</v>
      </c>
      <c r="S45" s="777">
        <f t="shared" si="10"/>
        <v>100</v>
      </c>
      <c r="T45" s="776" t="s">
        <v>17</v>
      </c>
      <c r="U45" s="777">
        <f t="shared" si="11"/>
        <v>100</v>
      </c>
      <c r="V45" s="776" t="s">
        <v>17</v>
      </c>
      <c r="W45" s="777">
        <f t="shared" si="12"/>
        <v>100</v>
      </c>
      <c r="X45" s="778"/>
      <c r="Y45" s="3230"/>
      <c r="Z45" s="779">
        <f t="shared" si="13"/>
        <v>111</v>
      </c>
      <c r="AA45" s="1810">
        <f t="shared" si="3"/>
        <v>1</v>
      </c>
      <c r="AB45" s="1810">
        <f t="shared" si="4"/>
        <v>1</v>
      </c>
      <c r="AC45" s="1810">
        <f t="shared" si="5"/>
        <v>1</v>
      </c>
    </row>
    <row r="46" spans="1:29" ht="15">
      <c r="A46" s="478" t="s">
        <v>2724</v>
      </c>
      <c r="B46" s="2704" t="s">
        <v>2760</v>
      </c>
      <c r="C46" s="681" t="s">
        <v>1</v>
      </c>
      <c r="D46" s="480"/>
      <c r="E46" s="481"/>
      <c r="F46" s="482"/>
      <c r="G46" s="483"/>
      <c r="H46" s="484"/>
      <c r="I46" s="481"/>
      <c r="J46" s="484"/>
      <c r="K46" s="782"/>
      <c r="L46" s="1142"/>
      <c r="M46" s="1143"/>
      <c r="N46" s="1130"/>
      <c r="O46" s="1143"/>
      <c r="P46" s="3218" t="str">
        <f>A46</f>
        <v>成交单价</v>
      </c>
      <c r="Q46" s="3218"/>
      <c r="R46" s="3252">
        <f>E46</f>
        <v>0</v>
      </c>
      <c r="S46" s="3252"/>
      <c r="T46" s="3252">
        <f>G46</f>
        <v>0</v>
      </c>
      <c r="U46" s="3252"/>
      <c r="V46" s="3252">
        <f>I46</f>
        <v>0</v>
      </c>
      <c r="W46" s="3252"/>
      <c r="X46" s="758"/>
      <c r="Y46" s="780"/>
      <c r="Z46" s="758"/>
      <c r="AA46" s="758"/>
      <c r="AB46" s="758"/>
      <c r="AC46" s="758"/>
    </row>
    <row r="47" spans="1:29" ht="15.75" thickBot="1">
      <c r="A47" s="485" t="s">
        <v>2673</v>
      </c>
      <c r="B47" s="682"/>
      <c r="C47" s="489" t="e">
        <f>R48</f>
        <v>#DIV/0!</v>
      </c>
      <c r="D47" s="488"/>
      <c r="E47" s="489" t="e">
        <f>R47</f>
        <v>#DIV/0!</v>
      </c>
      <c r="F47" s="490"/>
      <c r="G47" s="487" t="e">
        <f>T47</f>
        <v>#DIV/0!</v>
      </c>
      <c r="H47" s="488"/>
      <c r="I47" s="489" t="e">
        <f>V47</f>
        <v>#DIV/0!</v>
      </c>
      <c r="J47" s="488"/>
      <c r="K47" s="783"/>
      <c r="L47" s="1142"/>
      <c r="M47" s="1143"/>
      <c r="N47" s="1143"/>
      <c r="O47" s="1143"/>
      <c r="P47" s="3218" t="str">
        <f>A47</f>
        <v>比较价值（元/平方米）</v>
      </c>
      <c r="Q47" s="3218"/>
      <c r="R47" s="3313" t="e">
        <f>ROUND(PRODUCT(R46,AA7:AA45),0)</f>
        <v>#DIV/0!</v>
      </c>
      <c r="S47" s="3313"/>
      <c r="T47" s="3313" t="e">
        <f>ROUND(PRODUCT(T46,AB7:AB45),0)</f>
        <v>#DIV/0!</v>
      </c>
      <c r="U47" s="3313"/>
      <c r="V47" s="3313" t="e">
        <f>ROUND(PRODUCT(V46,AC7:AC45),0)</f>
        <v>#DIV/0!</v>
      </c>
      <c r="W47" s="3313"/>
      <c r="X47" s="758"/>
      <c r="Y47" s="758"/>
      <c r="Z47" s="758"/>
      <c r="AA47" s="758"/>
      <c r="AB47" s="758"/>
      <c r="AC47" s="758"/>
    </row>
    <row r="48" spans="1:29" ht="15.75" thickBot="1">
      <c r="A48" s="491" t="s">
        <v>2761</v>
      </c>
      <c r="B48" s="492"/>
      <c r="C48" s="493" t="e">
        <f>R48</f>
        <v>#DIV/0!</v>
      </c>
      <c r="D48" s="493"/>
      <c r="E48" s="493"/>
      <c r="F48" s="493"/>
      <c r="G48" s="493"/>
      <c r="H48" s="493"/>
      <c r="I48" s="493"/>
      <c r="J48" s="493"/>
      <c r="K48" s="784"/>
      <c r="L48" s="1142"/>
      <c r="M48" s="1143"/>
      <c r="N48" s="1143"/>
      <c r="O48" s="1143"/>
      <c r="P48" s="3290" t="str">
        <f>A48</f>
        <v>估价对象XX用房的比较价值（楼面单价，元/平方米）</v>
      </c>
      <c r="Q48" s="3291"/>
      <c r="R48" s="3314" t="e">
        <f>ROUND(AVERAGE(R47:V47),0)</f>
        <v>#DIV/0!</v>
      </c>
      <c r="S48" s="3314"/>
      <c r="T48" s="3314"/>
      <c r="U48" s="3314"/>
      <c r="V48" s="3314"/>
      <c r="W48" s="3314"/>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2675</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4"/>
      <c r="L51" s="1105"/>
      <c r="M51" s="1143"/>
      <c r="N51" s="1143"/>
      <c r="O51" s="1143"/>
    </row>
    <row r="52" spans="1:15" ht="13.5" customHeight="1">
      <c r="A52" s="1143"/>
      <c r="B52" s="1143"/>
      <c r="C52" s="496" t="s">
        <v>2676</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4"/>
      <c r="L52" s="1105"/>
      <c r="M52" s="1143"/>
      <c r="N52" s="1143"/>
      <c r="O52" s="1143"/>
    </row>
    <row r="53" spans="1:15" s="501" customFormat="1" ht="13.5" customHeight="1">
      <c r="A53" s="1144"/>
      <c r="B53" s="1144"/>
      <c r="C53" s="496" t="s">
        <v>2677</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7"/>
      <c r="L53" s="1148"/>
      <c r="M53" s="1144"/>
      <c r="N53" s="1144"/>
      <c r="O53" s="1144"/>
    </row>
    <row r="54" spans="1:15" s="501" customFormat="1" ht="15" thickBot="1">
      <c r="A54" s="1144"/>
      <c r="B54" s="1145"/>
      <c r="C54" s="761"/>
      <c r="D54" s="759"/>
      <c r="E54" s="759"/>
      <c r="F54" s="759"/>
      <c r="G54" s="759"/>
      <c r="H54" s="759"/>
      <c r="I54" s="759"/>
      <c r="J54" s="759"/>
      <c r="K54" s="1147"/>
      <c r="L54" s="1148"/>
      <c r="M54" s="1144"/>
      <c r="N54" s="1144"/>
      <c r="O54" s="1144"/>
    </row>
    <row r="55" spans="1:15" ht="27" customHeight="1">
      <c r="A55" s="683" t="s">
        <v>2762</v>
      </c>
      <c r="B55" s="684" t="s">
        <v>2763</v>
      </c>
      <c r="C55" s="2705" t="s">
        <v>2764</v>
      </c>
      <c r="D55" s="2706" t="s">
        <v>2765</v>
      </c>
      <c r="E55" s="685" t="s">
        <v>2766</v>
      </c>
      <c r="F55" s="1106" t="s">
        <v>2767</v>
      </c>
      <c r="G55" s="3235" t="s">
        <v>2768</v>
      </c>
      <c r="H55" s="3315"/>
      <c r="I55" s="143" t="s">
        <v>2769</v>
      </c>
      <c r="J55" s="2707">
        <f>项目基本情况!F35</f>
        <v>0</v>
      </c>
      <c r="K55" s="2708" t="s">
        <v>2770</v>
      </c>
      <c r="L55" s="1105"/>
      <c r="M55" s="1143"/>
      <c r="N55" s="1143"/>
      <c r="O55" s="1143"/>
    </row>
    <row r="56" spans="1:15" s="691" customFormat="1">
      <c r="A56" s="687" t="s">
        <v>2771</v>
      </c>
      <c r="B56" s="688" t="e">
        <f>C48</f>
        <v>#DIV/0!</v>
      </c>
      <c r="C56" s="689">
        <v>1</v>
      </c>
      <c r="D56" s="1162">
        <v>1</v>
      </c>
      <c r="E56" s="689">
        <f>'数据-汇总表'!E8+'数据-汇总表'!E9</f>
        <v>14974.55</v>
      </c>
      <c r="F56" s="1102" t="e">
        <f t="shared" ref="F56:F65" si="15">ROUND(B56*E56/10000,0)</f>
        <v>#DIV/0!</v>
      </c>
      <c r="G56" s="3217"/>
      <c r="H56" s="3218"/>
      <c r="I56" s="1107">
        <v>1</v>
      </c>
      <c r="J56" s="1110">
        <v>1</v>
      </c>
      <c r="K56" s="1144"/>
      <c r="L56" s="940"/>
      <c r="M56" s="940"/>
      <c r="N56" s="940"/>
      <c r="O56" s="940"/>
    </row>
    <row r="57" spans="1:15" s="691" customFormat="1">
      <c r="A57" s="692" t="s">
        <v>2772</v>
      </c>
      <c r="B57" s="261" t="e">
        <f>ROUND($C$48*C57*D57,0)</f>
        <v>#DIV/0!</v>
      </c>
      <c r="C57" s="199">
        <f t="shared" ref="C57:C65" si="16">IF($C$55="北京市系数",I57,J57)</f>
        <v>0.7</v>
      </c>
      <c r="D57" s="1163">
        <v>0.25</v>
      </c>
      <c r="E57" s="693"/>
      <c r="F57" s="1102" t="e">
        <f t="shared" si="15"/>
        <v>#DIV/0!</v>
      </c>
      <c r="G57" s="3316" t="s">
        <v>2773</v>
      </c>
      <c r="H57" s="1103" t="str">
        <f>项目基本情况!B37</f>
        <v>六级</v>
      </c>
      <c r="I57" s="1107">
        <f>SUMIF(修正!A45:A56,H57,修正!B45:B56)</f>
        <v>0.7</v>
      </c>
      <c r="J57" s="1111"/>
      <c r="K57" s="1143"/>
      <c r="L57" s="940"/>
      <c r="M57" s="940"/>
      <c r="N57" s="940"/>
      <c r="O57" s="940"/>
    </row>
    <row r="58" spans="1:15" s="691" customFormat="1">
      <c r="A58" s="692" t="s">
        <v>2774</v>
      </c>
      <c r="B58" s="261" t="e">
        <f t="shared" ref="B58:B65" si="17">ROUND($C$48*C58*D58,0)</f>
        <v>#DIV/0!</v>
      </c>
      <c r="C58" s="199">
        <f t="shared" si="16"/>
        <v>0.4</v>
      </c>
      <c r="D58" s="1163">
        <v>0.25</v>
      </c>
      <c r="E58" s="693"/>
      <c r="F58" s="1102" t="e">
        <f t="shared" si="15"/>
        <v>#DIV/0!</v>
      </c>
      <c r="G58" s="3316"/>
      <c r="H58" s="1103" t="str">
        <f>项目基本情况!B37</f>
        <v>六级</v>
      </c>
      <c r="I58" s="1107">
        <f>SUMIF(修正!A45:A56,H58,修正!C45:C56)</f>
        <v>0.4</v>
      </c>
      <c r="J58" s="1111"/>
      <c r="K58" s="1144"/>
      <c r="L58" s="940"/>
      <c r="M58" s="940"/>
      <c r="N58" s="940"/>
      <c r="O58" s="940"/>
    </row>
    <row r="59" spans="1:15" s="691" customFormat="1">
      <c r="A59" s="692" t="s">
        <v>2775</v>
      </c>
      <c r="B59" s="261" t="e">
        <f t="shared" si="17"/>
        <v>#DIV/0!</v>
      </c>
      <c r="C59" s="199">
        <f t="shared" si="16"/>
        <v>0.28000000000000003</v>
      </c>
      <c r="D59" s="1163">
        <v>0.25</v>
      </c>
      <c r="E59" s="693"/>
      <c r="F59" s="1102" t="e">
        <f t="shared" si="15"/>
        <v>#DIV/0!</v>
      </c>
      <c r="G59" s="3316"/>
      <c r="H59" s="1103" t="str">
        <f>项目基本情况!B37</f>
        <v>六级</v>
      </c>
      <c r="I59" s="1107">
        <f>SUMIF(修正!A45:A56,H59,修正!D45:D56)</f>
        <v>0.28000000000000003</v>
      </c>
      <c r="J59" s="1111"/>
      <c r="K59" s="1143"/>
      <c r="L59" s="940"/>
      <c r="M59" s="940"/>
      <c r="N59" s="940"/>
      <c r="O59" s="940"/>
    </row>
    <row r="60" spans="1:15" s="691" customFormat="1">
      <c r="A60" s="692" t="s">
        <v>2776</v>
      </c>
      <c r="B60" s="261" t="e">
        <f t="shared" si="17"/>
        <v>#DIV/0!</v>
      </c>
      <c r="C60" s="199">
        <f t="shared" si="16"/>
        <v>0.25</v>
      </c>
      <c r="D60" s="1163">
        <v>0.25</v>
      </c>
      <c r="E60" s="693"/>
      <c r="F60" s="1102" t="e">
        <f t="shared" si="15"/>
        <v>#DIV/0!</v>
      </c>
      <c r="G60" s="3316"/>
      <c r="H60" s="1103" t="str">
        <f>项目基本情况!B37</f>
        <v>六级</v>
      </c>
      <c r="I60" s="1107">
        <f>SUMIF(修正!A45:A56,H60,修正!E45:E56)</f>
        <v>0.25</v>
      </c>
      <c r="J60" s="1111"/>
      <c r="K60" s="1144"/>
      <c r="L60" s="940"/>
      <c r="M60" s="940"/>
      <c r="N60" s="940"/>
      <c r="O60" s="940"/>
    </row>
    <row r="61" spans="1:15" s="691" customFormat="1">
      <c r="A61" s="692" t="s">
        <v>2777</v>
      </c>
      <c r="B61" s="261" t="e">
        <f t="shared" si="17"/>
        <v>#DIV/0!</v>
      </c>
      <c r="C61" s="199">
        <f t="shared" si="16"/>
        <v>0.25</v>
      </c>
      <c r="D61" s="1163">
        <v>0.25</v>
      </c>
      <c r="E61" s="260">
        <f>'数据-汇总表'!E11</f>
        <v>0</v>
      </c>
      <c r="F61" s="1102" t="e">
        <f t="shared" si="15"/>
        <v>#DIV/0!</v>
      </c>
      <c r="G61" s="2709" t="s">
        <v>2778</v>
      </c>
      <c r="H61" s="1103" t="str">
        <f>项目基本情况!C37</f>
        <v>六级</v>
      </c>
      <c r="I61" s="1107">
        <f>SUMIF(修正!A45:A56,H61,修正!F45:F56)</f>
        <v>0.25</v>
      </c>
      <c r="J61" s="1111"/>
      <c r="K61" s="1143"/>
      <c r="L61" s="940"/>
      <c r="M61" s="940"/>
      <c r="N61" s="940"/>
      <c r="O61" s="940"/>
    </row>
    <row r="62" spans="1:15" s="691" customFormat="1">
      <c r="A62" s="692" t="s">
        <v>2779</v>
      </c>
      <c r="B62" s="261" t="e">
        <f t="shared" si="17"/>
        <v>#DIV/0!</v>
      </c>
      <c r="C62" s="199">
        <f t="shared" si="16"/>
        <v>0.25</v>
      </c>
      <c r="D62" s="1163">
        <v>0.25</v>
      </c>
      <c r="E62" s="260">
        <f>'数据-汇总表'!E12</f>
        <v>0</v>
      </c>
      <c r="F62" s="1102" t="e">
        <f t="shared" si="15"/>
        <v>#DIV/0!</v>
      </c>
      <c r="G62" s="1108" t="s">
        <v>2780</v>
      </c>
      <c r="H62" s="1103" t="str">
        <f>IF(G62="商业",项目基本情况!B37,IF(G62="办公",项目基本情况!C37,IF(G62="住宅",项目基本情况!D37,项目基本情况!E37)))</f>
        <v>六级</v>
      </c>
      <c r="I62" s="1107">
        <f>SUMIF(修正!A45:A56,H62,修正!G45:G56)</f>
        <v>0.25</v>
      </c>
      <c r="J62" s="1111"/>
      <c r="K62" s="1144"/>
      <c r="L62" s="940"/>
      <c r="M62" s="940"/>
      <c r="N62" s="940"/>
      <c r="O62" s="940"/>
    </row>
    <row r="63" spans="1:15" s="691" customFormat="1">
      <c r="A63" s="692" t="s">
        <v>2781</v>
      </c>
      <c r="B63" s="261" t="e">
        <f t="shared" si="17"/>
        <v>#DIV/0!</v>
      </c>
      <c r="C63" s="199">
        <f t="shared" si="16"/>
        <v>0</v>
      </c>
      <c r="D63" s="1163">
        <v>0.25</v>
      </c>
      <c r="E63" s="260">
        <f>'数据-汇总表'!E13</f>
        <v>0</v>
      </c>
      <c r="F63" s="1102" t="e">
        <f t="shared" si="15"/>
        <v>#DIV/0!</v>
      </c>
      <c r="G63" s="1108" t="s">
        <v>2782</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2783</v>
      </c>
      <c r="B64" s="261" t="e">
        <f t="shared" si="17"/>
        <v>#DIV/0!</v>
      </c>
      <c r="C64" s="199">
        <f t="shared" si="16"/>
        <v>0.2</v>
      </c>
      <c r="D64" s="1163">
        <v>0.25</v>
      </c>
      <c r="E64" s="260">
        <f>'数据-汇总表'!E14</f>
        <v>0</v>
      </c>
      <c r="F64" s="1102" t="e">
        <f t="shared" si="15"/>
        <v>#DIV/0!</v>
      </c>
      <c r="G64" s="2709" t="s">
        <v>2773</v>
      </c>
      <c r="H64" s="1103" t="str">
        <f>项目基本情况!B37</f>
        <v>六级</v>
      </c>
      <c r="I64" s="1107">
        <f>SUMIF(修正!A45:A56,H64,修正!H45:H56)</f>
        <v>0.2</v>
      </c>
      <c r="J64" s="1111"/>
      <c r="K64" s="1144"/>
      <c r="L64" s="940"/>
      <c r="M64" s="940"/>
      <c r="N64" s="940"/>
      <c r="O64" s="940"/>
    </row>
    <row r="65" spans="1:17" s="691" customFormat="1" ht="15" thickBot="1">
      <c r="A65" s="692" t="s">
        <v>2784</v>
      </c>
      <c r="B65" s="261" t="e">
        <f t="shared" si="17"/>
        <v>#DIV/0!</v>
      </c>
      <c r="C65" s="199">
        <f t="shared" si="16"/>
        <v>0.2</v>
      </c>
      <c r="D65" s="1163">
        <v>0.25</v>
      </c>
      <c r="E65" s="260">
        <f>'数据-汇总表'!E15</f>
        <v>0</v>
      </c>
      <c r="F65" s="1102" t="e">
        <f t="shared" si="15"/>
        <v>#DIV/0!</v>
      </c>
      <c r="G65" s="2710" t="s">
        <v>2778</v>
      </c>
      <c r="H65" s="1113" t="str">
        <f>项目基本情况!C37</f>
        <v>六级</v>
      </c>
      <c r="I65" s="1109">
        <f>SUMIF(修正!A45:A56,H65,修正!H45:H56)</f>
        <v>0.2</v>
      </c>
      <c r="J65" s="1112"/>
      <c r="K65" s="1143"/>
      <c r="L65" s="940"/>
      <c r="M65" s="940"/>
      <c r="N65" s="940"/>
      <c r="O65" s="940"/>
    </row>
    <row r="66" spans="1:17" s="691" customFormat="1" ht="13.5" thickBot="1">
      <c r="A66" s="694" t="s">
        <v>2785</v>
      </c>
      <c r="B66" s="695" t="s">
        <v>28</v>
      </c>
      <c r="C66" s="695" t="s">
        <v>29</v>
      </c>
      <c r="D66" s="695" t="s">
        <v>1029</v>
      </c>
      <c r="E66" s="695">
        <f>IF(B46="楼面地价",SUM(E56:E65),'数据-汇总表'!D3)</f>
        <v>14974.55</v>
      </c>
      <c r="F66" s="696"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2018-6-1</v>
      </c>
      <c r="D68" s="760">
        <f>EDATE(C68,-3)</f>
        <v>43160</v>
      </c>
      <c r="E68" s="760">
        <f>EDATE(D68,-3)</f>
        <v>43070</v>
      </c>
      <c r="F68" s="760">
        <f t="shared" ref="F68:O68" si="18">EDATE(E68,-3)</f>
        <v>42979</v>
      </c>
      <c r="G68" s="760">
        <f t="shared" si="18"/>
        <v>42887</v>
      </c>
      <c r="H68" s="760">
        <f t="shared" si="18"/>
        <v>42795</v>
      </c>
      <c r="I68" s="760">
        <f t="shared" si="18"/>
        <v>42705</v>
      </c>
      <c r="J68" s="760">
        <f t="shared" si="18"/>
        <v>42614</v>
      </c>
      <c r="K68" s="760">
        <f t="shared" si="18"/>
        <v>42522</v>
      </c>
      <c r="L68" s="760">
        <f t="shared" si="18"/>
        <v>42430</v>
      </c>
      <c r="M68" s="760">
        <f t="shared" si="18"/>
        <v>42339</v>
      </c>
      <c r="N68" s="760">
        <f t="shared" si="18"/>
        <v>42248</v>
      </c>
      <c r="O68" s="760">
        <f t="shared" si="18"/>
        <v>42156</v>
      </c>
    </row>
    <row r="69" spans="1:17" ht="21.75" thickBot="1">
      <c r="A69" s="762" t="s">
        <v>2678</v>
      </c>
      <c r="B69" s="758"/>
      <c r="C69" s="763"/>
      <c r="D69" s="763"/>
      <c r="E69" s="763"/>
      <c r="F69" s="764"/>
      <c r="G69" s="764"/>
      <c r="H69" s="763"/>
      <c r="I69" s="763"/>
      <c r="J69" s="1158"/>
      <c r="K69" s="1159"/>
      <c r="L69" s="1160"/>
      <c r="M69" s="1158"/>
      <c r="N69" s="1158"/>
      <c r="O69" s="1158"/>
      <c r="P69" s="502"/>
      <c r="Q69" s="503"/>
    </row>
    <row r="70" spans="1:17" s="507" customFormat="1" ht="15">
      <c r="A70" s="2711" t="s">
        <v>2786</v>
      </c>
      <c r="B70" s="1358"/>
      <c r="C70" s="1571" t="str">
        <f>YEAR(C68)&amp;"-"&amp;ROUNDUP(MONTH(C68)/3,0)</f>
        <v>2018-2</v>
      </c>
      <c r="D70" s="1571" t="str">
        <f>YEAR(D68)&amp;"-"&amp;ROUNDUP(MONTH(D68)/3,0)</f>
        <v>2018-1</v>
      </c>
      <c r="E70" s="1571" t="str">
        <f t="shared" ref="E70:O70" si="19">YEAR(E68)&amp;"-"&amp;ROUNDUP(MONTH(E68)/3,0)</f>
        <v>2017-4</v>
      </c>
      <c r="F70" s="1571" t="str">
        <f t="shared" si="19"/>
        <v>2017-3</v>
      </c>
      <c r="G70" s="1571" t="str">
        <f t="shared" si="19"/>
        <v>2017-2</v>
      </c>
      <c r="H70" s="1571" t="str">
        <f t="shared" si="19"/>
        <v>2017-1</v>
      </c>
      <c r="I70" s="1571" t="str">
        <f t="shared" si="19"/>
        <v>2016-4</v>
      </c>
      <c r="J70" s="1571" t="str">
        <f t="shared" si="19"/>
        <v>2016-3</v>
      </c>
      <c r="K70" s="1571" t="str">
        <f t="shared" si="19"/>
        <v>2016-2</v>
      </c>
      <c r="L70" s="1571" t="str">
        <f t="shared" si="19"/>
        <v>2016-1</v>
      </c>
      <c r="M70" s="1571" t="str">
        <f t="shared" si="19"/>
        <v>2015-4</v>
      </c>
      <c r="N70" s="1571" t="str">
        <f t="shared" si="19"/>
        <v>2015-3</v>
      </c>
      <c r="O70" s="1571" t="str">
        <f t="shared" si="19"/>
        <v>2015-2</v>
      </c>
      <c r="P70" s="506"/>
    </row>
    <row r="71" spans="1:17" s="116" customFormat="1" ht="30" customHeight="1">
      <c r="A71" s="2712" t="s">
        <v>2787</v>
      </c>
      <c r="B71" s="331" t="str">
        <f>"北京市平均增长率"&amp;TEXT(SUMIF(基准地价修正!N21:N25,A71,基准地价修正!P21:P25),"0.00%")</f>
        <v>北京市平均增长率2.50%</v>
      </c>
      <c r="C71" s="602">
        <v>100</v>
      </c>
      <c r="D71" s="594"/>
      <c r="E71" s="594"/>
      <c r="F71" s="594"/>
      <c r="G71" s="594"/>
      <c r="H71" s="594"/>
      <c r="I71" s="594"/>
      <c r="J71" s="594"/>
      <c r="K71" s="594"/>
      <c r="L71" s="594"/>
      <c r="M71" s="1566"/>
      <c r="N71" s="594"/>
      <c r="O71" s="1567"/>
      <c r="P71" s="503"/>
    </row>
    <row r="72" spans="1:17" s="116" customFormat="1" ht="15.75" thickBot="1">
      <c r="A72" s="514" t="s">
        <v>2589</v>
      </c>
      <c r="B72" s="515"/>
      <c r="C72" s="516"/>
      <c r="D72" s="517"/>
      <c r="E72" s="517"/>
      <c r="F72" s="517"/>
      <c r="G72" s="517"/>
      <c r="H72" s="517"/>
      <c r="I72" s="517"/>
      <c r="J72" s="517"/>
      <c r="K72" s="517"/>
      <c r="L72" s="517"/>
      <c r="M72" s="518"/>
      <c r="N72" s="517"/>
      <c r="O72" s="1161"/>
      <c r="P72" s="503"/>
      <c r="Q72" s="503"/>
    </row>
    <row r="73" spans="1:17" s="116" customFormat="1" ht="15">
      <c r="A73" s="520" t="s">
        <v>2554</v>
      </c>
      <c r="B73" s="509"/>
      <c r="C73" s="521" t="s">
        <v>2656</v>
      </c>
      <c r="D73" s="522"/>
      <c r="E73" s="522"/>
      <c r="F73" s="522"/>
      <c r="G73" s="522"/>
      <c r="H73" s="522"/>
      <c r="I73" s="522"/>
      <c r="J73" s="522"/>
      <c r="K73" s="522"/>
      <c r="L73" s="523"/>
      <c r="M73" s="524"/>
      <c r="N73" s="1150"/>
      <c r="O73" s="1150"/>
      <c r="P73" s="525"/>
      <c r="Q73" s="503"/>
    </row>
    <row r="74" spans="1:17" s="116" customFormat="1" ht="15.75" thickBot="1">
      <c r="A74" s="520"/>
      <c r="B74" s="509"/>
      <c r="C74" s="638">
        <v>100</v>
      </c>
      <c r="D74" s="511"/>
      <c r="E74" s="511"/>
      <c r="F74" s="511"/>
      <c r="G74" s="511"/>
      <c r="H74" s="511"/>
      <c r="I74" s="511"/>
      <c r="J74" s="511"/>
      <c r="K74" s="511"/>
      <c r="L74" s="511"/>
      <c r="M74" s="513"/>
      <c r="N74" s="1150"/>
      <c r="O74" s="1150"/>
      <c r="P74" s="503"/>
      <c r="Q74" s="503"/>
    </row>
    <row r="75" spans="1:17">
      <c r="A75" s="526" t="s">
        <v>2592</v>
      </c>
      <c r="B75" s="527" t="s">
        <v>2558</v>
      </c>
      <c r="C75" s="529"/>
      <c r="D75" s="529"/>
      <c r="E75" s="529"/>
      <c r="F75" s="529"/>
      <c r="G75" s="529"/>
      <c r="H75" s="529"/>
      <c r="I75" s="529"/>
      <c r="J75" s="529"/>
      <c r="K75" s="530"/>
      <c r="L75" s="531"/>
      <c r="M75" s="532"/>
      <c r="N75" s="1151"/>
      <c r="O75" s="1151"/>
      <c r="P75" s="45"/>
      <c r="Q75" s="503"/>
    </row>
    <row r="76" spans="1:17" ht="15.75" thickBot="1">
      <c r="A76" s="533"/>
      <c r="B76" s="534"/>
      <c r="C76" s="535"/>
      <c r="D76" s="535"/>
      <c r="E76" s="535"/>
      <c r="F76" s="535"/>
      <c r="G76" s="535"/>
      <c r="H76" s="535"/>
      <c r="I76" s="535"/>
      <c r="J76" s="535"/>
      <c r="K76" s="535"/>
      <c r="L76" s="535"/>
      <c r="M76" s="536"/>
      <c r="N76" s="1152"/>
      <c r="O76" s="1152"/>
      <c r="P76" s="45"/>
      <c r="Q76" s="503"/>
    </row>
    <row r="77" spans="1:17" ht="27.75" thickTop="1">
      <c r="A77" s="533"/>
      <c r="B77" s="537" t="s">
        <v>2561</v>
      </c>
      <c r="C77" s="538"/>
      <c r="D77" s="538"/>
      <c r="E77" s="538"/>
      <c r="F77" s="538"/>
      <c r="G77" s="538"/>
      <c r="H77" s="538"/>
      <c r="I77" s="538"/>
      <c r="J77" s="538"/>
      <c r="K77" s="539"/>
      <c r="L77" s="540"/>
      <c r="M77" s="541"/>
      <c r="N77" s="1151"/>
      <c r="O77" s="1151"/>
      <c r="P77" s="45"/>
      <c r="Q77" s="503"/>
    </row>
    <row r="78" spans="1:17" ht="15.75" thickBot="1">
      <c r="A78" s="533"/>
      <c r="B78" s="542"/>
      <c r="C78" s="543"/>
      <c r="D78" s="543"/>
      <c r="E78" s="543"/>
      <c r="F78" s="543"/>
      <c r="G78" s="543"/>
      <c r="H78" s="543"/>
      <c r="I78" s="543"/>
      <c r="J78" s="543"/>
      <c r="K78" s="543"/>
      <c r="L78" s="543"/>
      <c r="M78" s="544"/>
      <c r="N78" s="1152"/>
      <c r="O78" s="1152"/>
      <c r="P78" s="45"/>
      <c r="Q78" s="503"/>
    </row>
    <row r="79" spans="1:17" ht="15.75" thickTop="1">
      <c r="A79" s="533"/>
      <c r="B79" s="545" t="s">
        <v>2562</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2"/>
      <c r="O79" s="1152"/>
      <c r="P79" s="45"/>
      <c r="Q79" s="503"/>
    </row>
    <row r="80" spans="1:17" ht="15">
      <c r="A80" s="533"/>
      <c r="B80" s="547"/>
      <c r="C80" s="548"/>
      <c r="D80" s="548"/>
      <c r="E80" s="548"/>
      <c r="F80" s="548"/>
      <c r="G80" s="548"/>
      <c r="H80" s="548"/>
      <c r="I80" s="548"/>
      <c r="J80" s="548"/>
      <c r="K80" s="549"/>
      <c r="L80" s="550"/>
      <c r="M80" s="551"/>
      <c r="N80" s="1151"/>
      <c r="O80" s="1151"/>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2"/>
      <c r="O81" s="1152"/>
      <c r="P81" s="45"/>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2563</v>
      </c>
      <c r="B88" s="527" t="s">
        <v>2600</v>
      </c>
      <c r="C88" s="572" t="s">
        <v>2601</v>
      </c>
      <c r="D88" s="572" t="s">
        <v>2602</v>
      </c>
      <c r="E88" s="572" t="s">
        <v>2603</v>
      </c>
      <c r="F88" s="572" t="s">
        <v>2604</v>
      </c>
      <c r="G88" s="572" t="s">
        <v>2605</v>
      </c>
      <c r="H88" s="528"/>
      <c r="I88" s="528"/>
      <c r="J88" s="528"/>
      <c r="K88" s="573"/>
      <c r="L88" s="574"/>
      <c r="M88" s="575"/>
      <c r="N88" s="1151"/>
      <c r="O88" s="1151"/>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2"/>
      <c r="O89" s="1152"/>
      <c r="P89" s="45"/>
      <c r="Q89" s="503"/>
    </row>
    <row r="90" spans="1:17" ht="15.75" thickTop="1">
      <c r="A90" s="533"/>
      <c r="B90" s="537" t="s">
        <v>2788</v>
      </c>
      <c r="C90" s="577" t="s">
        <v>2601</v>
      </c>
      <c r="D90" s="577" t="s">
        <v>2602</v>
      </c>
      <c r="E90" s="577" t="s">
        <v>2603</v>
      </c>
      <c r="F90" s="577" t="s">
        <v>2604</v>
      </c>
      <c r="G90" s="577" t="s">
        <v>2605</v>
      </c>
      <c r="H90" s="538"/>
      <c r="I90" s="538"/>
      <c r="J90" s="538"/>
      <c r="K90" s="539"/>
      <c r="L90" s="540"/>
      <c r="M90" s="541"/>
      <c r="N90" s="1151"/>
      <c r="O90" s="1151"/>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2"/>
      <c r="O91" s="1152"/>
      <c r="P91" s="45"/>
      <c r="Q91" s="503"/>
    </row>
    <row r="92" spans="1:17" ht="15.75" thickTop="1">
      <c r="A92" s="533"/>
      <c r="B92" s="537" t="s">
        <v>2701</v>
      </c>
      <c r="C92" s="577" t="s">
        <v>2601</v>
      </c>
      <c r="D92" s="577" t="s">
        <v>2602</v>
      </c>
      <c r="E92" s="577" t="s">
        <v>2603</v>
      </c>
      <c r="F92" s="577" t="s">
        <v>2604</v>
      </c>
      <c r="G92" s="577" t="s">
        <v>2605</v>
      </c>
      <c r="H92" s="538"/>
      <c r="I92" s="538"/>
      <c r="J92" s="538"/>
      <c r="K92" s="539"/>
      <c r="L92" s="540"/>
      <c r="M92" s="541"/>
      <c r="N92" s="1151"/>
      <c r="O92" s="1151"/>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5"/>
      <c r="Q93" s="503"/>
    </row>
    <row r="94" spans="1:17" ht="15.75" thickTop="1">
      <c r="A94" s="533"/>
      <c r="B94" s="537" t="s">
        <v>2606</v>
      </c>
      <c r="C94" s="577" t="s">
        <v>2601</v>
      </c>
      <c r="D94" s="577" t="s">
        <v>2602</v>
      </c>
      <c r="E94" s="577" t="s">
        <v>2603</v>
      </c>
      <c r="F94" s="577" t="s">
        <v>2604</v>
      </c>
      <c r="G94" s="577" t="s">
        <v>2605</v>
      </c>
      <c r="H94" s="538"/>
      <c r="I94" s="538"/>
      <c r="J94" s="538"/>
      <c r="K94" s="539"/>
      <c r="L94" s="540"/>
      <c r="M94" s="541"/>
      <c r="N94" s="1151"/>
      <c r="O94" s="1151"/>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2"/>
      <c r="O95" s="1152"/>
      <c r="P95" s="45"/>
      <c r="Q95" s="503"/>
    </row>
    <row r="96" spans="1:17" s="116" customFormat="1" ht="15.75" thickTop="1">
      <c r="A96" s="578"/>
      <c r="B96" s="537" t="s">
        <v>2789</v>
      </c>
      <c r="C96" s="577" t="s">
        <v>2601</v>
      </c>
      <c r="D96" s="577" t="s">
        <v>2602</v>
      </c>
      <c r="E96" s="577" t="s">
        <v>2603</v>
      </c>
      <c r="F96" s="577" t="s">
        <v>2604</v>
      </c>
      <c r="G96" s="577" t="s">
        <v>2605</v>
      </c>
      <c r="H96" s="577"/>
      <c r="I96" s="577"/>
      <c r="J96" s="577"/>
      <c r="K96" s="577"/>
      <c r="L96" s="697"/>
      <c r="M96" s="621"/>
      <c r="N96" s="1150"/>
      <c r="O96" s="1150"/>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2"/>
      <c r="O97" s="1152"/>
      <c r="P97" s="45"/>
      <c r="Q97" s="503"/>
    </row>
    <row r="98" spans="1:17" s="116" customFormat="1" ht="27.75" thickTop="1">
      <c r="A98" s="578"/>
      <c r="B98" s="537" t="s">
        <v>2790</v>
      </c>
      <c r="C98" s="572" t="s">
        <v>2601</v>
      </c>
      <c r="D98" s="572" t="s">
        <v>2602</v>
      </c>
      <c r="E98" s="572" t="s">
        <v>2603</v>
      </c>
      <c r="F98" s="572" t="s">
        <v>2604</v>
      </c>
      <c r="G98" s="572" t="s">
        <v>2605</v>
      </c>
      <c r="H98" s="577"/>
      <c r="I98" s="577"/>
      <c r="J98" s="577"/>
      <c r="K98" s="577"/>
      <c r="L98" s="577"/>
      <c r="M98" s="621"/>
      <c r="N98" s="1150"/>
      <c r="O98" s="1150"/>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2"/>
      <c r="O99" s="1152"/>
      <c r="P99" s="45"/>
      <c r="Q99" s="503"/>
    </row>
    <row r="100" spans="1:17" s="470" customFormat="1" ht="15.75" thickTop="1">
      <c r="A100" s="552"/>
      <c r="B100" s="537" t="s">
        <v>2658</v>
      </c>
      <c r="C100" s="572" t="s">
        <v>2601</v>
      </c>
      <c r="D100" s="572" t="s">
        <v>2602</v>
      </c>
      <c r="E100" s="572" t="s">
        <v>2603</v>
      </c>
      <c r="F100" s="572" t="s">
        <v>2604</v>
      </c>
      <c r="G100" s="572" t="s">
        <v>2605</v>
      </c>
      <c r="H100" s="599"/>
      <c r="I100" s="599"/>
      <c r="J100" s="599"/>
      <c r="K100" s="599"/>
      <c r="L100" s="600"/>
      <c r="M100" s="601"/>
      <c r="N100" s="1153"/>
      <c r="O100" s="1153"/>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3"/>
      <c r="O101" s="1153"/>
      <c r="P101" s="557"/>
      <c r="Q101" s="558"/>
    </row>
    <row r="102" spans="1:17" s="470" customFormat="1" ht="15.75" thickTop="1">
      <c r="A102" s="552"/>
      <c r="B102" s="545" t="s">
        <v>2659</v>
      </c>
      <c r="C102" s="659" t="s">
        <v>2679</v>
      </c>
      <c r="D102" s="659" t="s">
        <v>2680</v>
      </c>
      <c r="E102" s="659" t="s">
        <v>2681</v>
      </c>
      <c r="F102" s="659" t="s">
        <v>2682</v>
      </c>
      <c r="G102" s="659" t="s">
        <v>2683</v>
      </c>
      <c r="H102" s="599"/>
      <c r="I102" s="599"/>
      <c r="J102" s="599"/>
      <c r="K102" s="599"/>
      <c r="L102" s="599"/>
      <c r="M102" s="1384"/>
      <c r="N102" s="1153"/>
      <c r="O102" s="1153"/>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4"/>
      <c r="N103" s="1153"/>
      <c r="O103" s="1153"/>
      <c r="P103" s="557"/>
      <c r="Q103" s="558"/>
    </row>
    <row r="104" spans="1:17" ht="15.75" thickTop="1">
      <c r="A104" s="533"/>
      <c r="B104" s="537" t="str">
        <f>B31</f>
        <v>临街状况</v>
      </c>
      <c r="C104" s="538" t="s">
        <v>2791</v>
      </c>
      <c r="D104" s="538" t="s">
        <v>2792</v>
      </c>
      <c r="E104" s="538" t="s">
        <v>2793</v>
      </c>
      <c r="F104" s="538" t="s">
        <v>2794</v>
      </c>
      <c r="G104" s="538"/>
      <c r="H104" s="538"/>
      <c r="I104" s="538"/>
      <c r="J104" s="538"/>
      <c r="K104" s="539"/>
      <c r="L104" s="540"/>
      <c r="M104" s="541"/>
      <c r="N104" s="1151"/>
      <c r="O104" s="1151"/>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5"/>
      <c r="Q105" s="503"/>
    </row>
    <row r="106" spans="1:17" ht="27.75" thickTop="1">
      <c r="A106" s="533"/>
      <c r="B106" s="537" t="s">
        <v>2695</v>
      </c>
      <c r="C106" s="553"/>
      <c r="D106" s="553"/>
      <c r="E106" s="553"/>
      <c r="F106" s="553"/>
      <c r="G106" s="553"/>
      <c r="H106" s="582"/>
      <c r="I106" s="582"/>
      <c r="J106" s="582"/>
      <c r="K106" s="583"/>
      <c r="L106" s="584"/>
      <c r="M106" s="585"/>
      <c r="N106" s="1151"/>
      <c r="O106" s="1151"/>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5"/>
      <c r="Q107" s="503"/>
    </row>
    <row r="108" spans="1:17" ht="15.75" thickTop="1">
      <c r="A108" s="533"/>
      <c r="B108" s="537" t="s">
        <v>2754</v>
      </c>
      <c r="C108" s="582"/>
      <c r="D108" s="582"/>
      <c r="E108" s="582"/>
      <c r="F108" s="582"/>
      <c r="G108" s="582"/>
      <c r="H108" s="582"/>
      <c r="I108" s="582"/>
      <c r="J108" s="582"/>
      <c r="K108" s="583"/>
      <c r="L108" s="584"/>
      <c r="M108" s="585"/>
      <c r="N108" s="1151"/>
      <c r="O108" s="1151"/>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5"/>
      <c r="Q109" s="503"/>
    </row>
    <row r="110" spans="1:17" ht="15.75" thickTop="1">
      <c r="A110" s="533"/>
      <c r="B110" s="545">
        <f>B35</f>
        <v>111</v>
      </c>
      <c r="C110" s="553"/>
      <c r="D110" s="553"/>
      <c r="E110" s="553"/>
      <c r="F110" s="553"/>
      <c r="G110" s="586"/>
      <c r="H110" s="586"/>
      <c r="I110" s="586"/>
      <c r="J110" s="586"/>
      <c r="K110" s="587"/>
      <c r="L110" s="588"/>
      <c r="M110" s="589"/>
      <c r="N110" s="1151"/>
      <c r="O110" s="1151"/>
      <c r="P110" s="45"/>
      <c r="Q110" s="503"/>
    </row>
    <row r="111" spans="1:17" ht="15.75" thickBot="1">
      <c r="A111" s="533"/>
      <c r="B111" s="568"/>
      <c r="C111" s="559"/>
      <c r="D111" s="559"/>
      <c r="E111" s="559"/>
      <c r="F111" s="559"/>
      <c r="G111" s="590"/>
      <c r="H111" s="590"/>
      <c r="I111" s="590"/>
      <c r="J111" s="590"/>
      <c r="K111" s="590"/>
      <c r="L111" s="590"/>
      <c r="M111" s="591"/>
      <c r="N111" s="1152"/>
      <c r="O111" s="1152"/>
      <c r="P111" s="45"/>
      <c r="Q111" s="503"/>
    </row>
    <row r="112" spans="1:17" ht="15" thickTop="1">
      <c r="A112" s="674"/>
      <c r="B112" s="537">
        <f>B36</f>
        <v>111</v>
      </c>
      <c r="C112" s="522"/>
      <c r="D112" s="522"/>
      <c r="E112" s="522"/>
      <c r="F112" s="522"/>
      <c r="G112" s="582"/>
      <c r="H112" s="582"/>
      <c r="I112" s="582"/>
      <c r="J112" s="582"/>
      <c r="K112" s="583"/>
      <c r="L112" s="584"/>
      <c r="M112" s="585"/>
      <c r="N112" s="1151"/>
      <c r="O112" s="1151"/>
      <c r="P112" s="45"/>
      <c r="Q112" s="503"/>
    </row>
    <row r="113" spans="1:17" ht="15.75" thickBot="1">
      <c r="A113" s="533"/>
      <c r="B113" s="542"/>
      <c r="C113" s="569"/>
      <c r="D113" s="569"/>
      <c r="E113" s="569"/>
      <c r="F113" s="569"/>
      <c r="G113" s="535"/>
      <c r="H113" s="535"/>
      <c r="I113" s="535"/>
      <c r="J113" s="535"/>
      <c r="K113" s="535"/>
      <c r="L113" s="535"/>
      <c r="M113" s="536"/>
      <c r="N113" s="1152"/>
      <c r="O113" s="1152"/>
      <c r="P113" s="45"/>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c r="A116" s="526" t="s">
        <v>2567</v>
      </c>
      <c r="B116" s="527" t="s">
        <v>2795</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5"/>
      <c r="Q116" s="503"/>
    </row>
    <row r="117" spans="1:17" ht="15">
      <c r="A117" s="533"/>
      <c r="B117" s="545"/>
      <c r="C117" s="594"/>
      <c r="D117" s="594"/>
      <c r="E117" s="594"/>
      <c r="F117" s="594"/>
      <c r="G117" s="594"/>
      <c r="H117" s="594"/>
      <c r="I117" s="594"/>
      <c r="J117" s="595"/>
      <c r="K117" s="595"/>
      <c r="L117" s="596"/>
      <c r="M117" s="597"/>
      <c r="N117" s="1151"/>
      <c r="O117" s="1151"/>
      <c r="P117" s="45"/>
      <c r="Q117" s="503"/>
    </row>
    <row r="118" spans="1:17" ht="15.75" thickBot="1">
      <c r="A118" s="533"/>
      <c r="B118" s="542"/>
      <c r="C118" s="569"/>
      <c r="D118" s="590"/>
      <c r="E118" s="590"/>
      <c r="F118" s="590"/>
      <c r="G118" s="590"/>
      <c r="H118" s="590"/>
      <c r="I118" s="590"/>
      <c r="J118" s="590"/>
      <c r="K118" s="590"/>
      <c r="L118" s="590"/>
      <c r="M118" s="591"/>
      <c r="N118" s="1152"/>
      <c r="O118" s="1152"/>
      <c r="P118" s="45"/>
      <c r="Q118" s="503"/>
    </row>
    <row r="119" spans="1:17" ht="15" thickTop="1">
      <c r="A119" s="598"/>
      <c r="B119" s="537" t="s">
        <v>2796</v>
      </c>
      <c r="C119" s="582"/>
      <c r="D119" s="582"/>
      <c r="E119" s="582"/>
      <c r="F119" s="582"/>
      <c r="G119" s="582"/>
      <c r="H119" s="582"/>
      <c r="I119" s="582"/>
      <c r="J119" s="582"/>
      <c r="K119" s="583"/>
      <c r="L119" s="584"/>
      <c r="M119" s="585"/>
      <c r="N119" s="1151"/>
      <c r="O119" s="1151"/>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2"/>
      <c r="O120" s="1152"/>
      <c r="P120" s="45"/>
      <c r="Q120" s="503"/>
    </row>
    <row r="121" spans="1:17" ht="15" thickTop="1">
      <c r="A121" s="598"/>
      <c r="B121" s="537" t="s">
        <v>2797</v>
      </c>
      <c r="C121" s="553"/>
      <c r="D121" s="553"/>
      <c r="E121" s="553"/>
      <c r="F121" s="582"/>
      <c r="G121" s="582"/>
      <c r="H121" s="582"/>
      <c r="I121" s="582"/>
      <c r="J121" s="582"/>
      <c r="K121" s="583"/>
      <c r="L121" s="584"/>
      <c r="M121" s="585"/>
      <c r="N121" s="1151"/>
      <c r="O121" s="1151"/>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2"/>
      <c r="O122" s="1152"/>
      <c r="P122" s="45"/>
      <c r="Q122" s="503"/>
    </row>
    <row r="123" spans="1:17" s="470" customFormat="1" ht="15" thickTop="1">
      <c r="A123" s="592"/>
      <c r="B123" s="537" t="s">
        <v>2798</v>
      </c>
      <c r="C123" s="553"/>
      <c r="D123" s="553"/>
      <c r="E123" s="553"/>
      <c r="F123" s="553"/>
      <c r="G123" s="553"/>
      <c r="H123" s="582"/>
      <c r="I123" s="582"/>
      <c r="J123" s="582"/>
      <c r="K123" s="583"/>
      <c r="L123" s="584"/>
      <c r="M123" s="585"/>
      <c r="N123" s="1153"/>
      <c r="O123" s="1153"/>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3"/>
      <c r="O124" s="1153"/>
      <c r="P124" s="557"/>
      <c r="Q124" s="558"/>
    </row>
    <row r="125" spans="1:17" ht="15" thickTop="1">
      <c r="A125" s="598"/>
      <c r="B125" s="537" t="s">
        <v>2799</v>
      </c>
      <c r="C125" s="553"/>
      <c r="D125" s="553"/>
      <c r="E125" s="582"/>
      <c r="F125" s="582"/>
      <c r="G125" s="582"/>
      <c r="H125" s="582"/>
      <c r="I125" s="582"/>
      <c r="J125" s="582"/>
      <c r="K125" s="583"/>
      <c r="L125" s="584"/>
      <c r="M125" s="585"/>
      <c r="N125" s="1151"/>
      <c r="O125" s="1151"/>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2"/>
      <c r="O126" s="1152"/>
      <c r="P126" s="45"/>
      <c r="Q126" s="503"/>
    </row>
    <row r="127" spans="1:17" ht="15" thickTop="1">
      <c r="A127" s="598"/>
      <c r="B127" s="537">
        <f>B43</f>
        <v>111</v>
      </c>
      <c r="C127" s="553"/>
      <c r="D127" s="553"/>
      <c r="E127" s="553"/>
      <c r="F127" s="553"/>
      <c r="G127" s="553"/>
      <c r="H127" s="582"/>
      <c r="I127" s="582"/>
      <c r="J127" s="582"/>
      <c r="K127" s="583"/>
      <c r="L127" s="584"/>
      <c r="M127" s="585"/>
      <c r="N127" s="1151"/>
      <c r="O127" s="1151"/>
      <c r="P127" s="45"/>
      <c r="Q127" s="503"/>
    </row>
    <row r="128" spans="1:17" ht="15.75" thickBot="1">
      <c r="A128" s="533"/>
      <c r="B128" s="542"/>
      <c r="C128" s="559"/>
      <c r="D128" s="559"/>
      <c r="E128" s="559"/>
      <c r="F128" s="559"/>
      <c r="G128" s="535"/>
      <c r="H128" s="535"/>
      <c r="I128" s="535"/>
      <c r="J128" s="535"/>
      <c r="K128" s="535"/>
      <c r="L128" s="535"/>
      <c r="M128" s="536"/>
      <c r="N128" s="1152"/>
      <c r="O128" s="1152"/>
      <c r="P128" s="45"/>
      <c r="Q128" s="503"/>
    </row>
    <row r="129" spans="1:17" ht="15" thickTop="1">
      <c r="A129" s="598"/>
      <c r="B129" s="537">
        <f>B44</f>
        <v>111</v>
      </c>
      <c r="C129" s="522"/>
      <c r="D129" s="522"/>
      <c r="E129" s="522"/>
      <c r="F129" s="522"/>
      <c r="G129" s="582"/>
      <c r="H129" s="582"/>
      <c r="I129" s="582"/>
      <c r="J129" s="582"/>
      <c r="K129" s="583"/>
      <c r="L129" s="584"/>
      <c r="M129" s="585"/>
      <c r="N129" s="1151"/>
      <c r="O129" s="1151"/>
      <c r="P129" s="45"/>
      <c r="Q129" s="503"/>
    </row>
    <row r="130" spans="1:17" ht="15.75" thickBot="1">
      <c r="A130" s="533"/>
      <c r="B130" s="542"/>
      <c r="C130" s="569"/>
      <c r="D130" s="569"/>
      <c r="E130" s="569"/>
      <c r="F130" s="569"/>
      <c r="G130" s="535"/>
      <c r="H130" s="535"/>
      <c r="I130" s="535"/>
      <c r="J130" s="535"/>
      <c r="K130" s="535"/>
      <c r="L130" s="535"/>
      <c r="M130" s="536"/>
      <c r="N130" s="1152"/>
      <c r="O130" s="1152"/>
      <c r="P130" s="45"/>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2748</v>
      </c>
      <c r="B1" s="394"/>
      <c r="C1" s="395" t="s">
        <v>2800</v>
      </c>
      <c r="D1" s="754"/>
      <c r="E1" s="754"/>
      <c r="F1" s="753" t="s">
        <v>2647</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2331</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2333</v>
      </c>
      <c r="B3" s="608" t="e">
        <f>ROUND(IF(D3="",B2*10000/'数据-汇总表'!E3,B2*10000/D3),0)</f>
        <v>#DIV/0!</v>
      </c>
      <c r="C3" s="246" t="s">
        <v>2750</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2649</v>
      </c>
      <c r="B4" s="401"/>
      <c r="C4" s="3235" t="s">
        <v>2650</v>
      </c>
      <c r="D4" s="3236"/>
      <c r="E4" s="3237" t="s">
        <v>2651</v>
      </c>
      <c r="F4" s="3238"/>
      <c r="G4" s="3235" t="s">
        <v>2652</v>
      </c>
      <c r="H4" s="3236"/>
      <c r="I4" s="3235" t="s">
        <v>2653</v>
      </c>
      <c r="J4" s="3236"/>
      <c r="K4" s="609" t="s">
        <v>2654</v>
      </c>
      <c r="L4" s="1129"/>
      <c r="M4" s="1130"/>
      <c r="N4" s="1130"/>
      <c r="O4" s="1130"/>
      <c r="P4" s="3294" t="s">
        <v>2655</v>
      </c>
      <c r="Q4" s="3295"/>
      <c r="R4" s="3298" t="s">
        <v>2651</v>
      </c>
      <c r="S4" s="3299"/>
      <c r="T4" s="3298" t="s">
        <v>2652</v>
      </c>
      <c r="U4" s="3299"/>
      <c r="V4" s="3252" t="s">
        <v>2653</v>
      </c>
      <c r="W4" s="3252"/>
      <c r="X4" s="1812"/>
      <c r="Y4" s="3298" t="s">
        <v>2655</v>
      </c>
      <c r="Z4" s="3299"/>
      <c r="AA4" s="3293" t="s">
        <v>2651</v>
      </c>
      <c r="AB4" s="3265" t="s">
        <v>2652</v>
      </c>
      <c r="AC4" s="3293" t="s">
        <v>2653</v>
      </c>
    </row>
    <row r="5" spans="1:29" ht="15">
      <c r="A5" s="403"/>
      <c r="B5" s="404"/>
      <c r="C5" s="3261" t="s">
        <v>2546</v>
      </c>
      <c r="D5" s="3256"/>
      <c r="E5" s="3300" t="s">
        <v>2547</v>
      </c>
      <c r="F5" s="3268"/>
      <c r="G5" s="3261" t="s">
        <v>2548</v>
      </c>
      <c r="H5" s="3256"/>
      <c r="I5" s="3261" t="s">
        <v>2549</v>
      </c>
      <c r="J5" s="3256"/>
      <c r="K5" s="609"/>
      <c r="L5" s="1129"/>
      <c r="M5" s="1130"/>
      <c r="N5" s="1130"/>
      <c r="O5" s="1130"/>
      <c r="P5" s="3296"/>
      <c r="Q5" s="3242"/>
      <c r="R5" s="3247"/>
      <c r="S5" s="3248"/>
      <c r="T5" s="3247"/>
      <c r="U5" s="3248"/>
      <c r="V5" s="3252"/>
      <c r="W5" s="3252"/>
      <c r="X5" s="1812"/>
      <c r="Y5" s="3247"/>
      <c r="Z5" s="3248"/>
      <c r="AA5" s="3265"/>
      <c r="AB5" s="3265"/>
      <c r="AC5" s="3265"/>
    </row>
    <row r="6" spans="1:29" ht="15.75" thickBot="1">
      <c r="A6" s="405"/>
      <c r="B6" s="406"/>
      <c r="C6" s="3317" t="s">
        <v>2801</v>
      </c>
      <c r="D6" s="3318"/>
      <c r="E6" s="3319" t="s">
        <v>2801</v>
      </c>
      <c r="F6" s="3320"/>
      <c r="G6" s="3317" t="s">
        <v>2801</v>
      </c>
      <c r="H6" s="3318"/>
      <c r="I6" s="3317" t="s">
        <v>2801</v>
      </c>
      <c r="J6" s="3318"/>
      <c r="K6" s="609" t="s">
        <v>2551</v>
      </c>
      <c r="L6" s="1129"/>
      <c r="M6" s="1130"/>
      <c r="N6" s="1130"/>
      <c r="O6" s="1130"/>
      <c r="P6" s="3297"/>
      <c r="Q6" s="3244"/>
      <c r="R6" s="3247"/>
      <c r="S6" s="3248"/>
      <c r="T6" s="3249"/>
      <c r="U6" s="3250"/>
      <c r="V6" s="3252"/>
      <c r="W6" s="3252"/>
      <c r="X6" s="1812"/>
      <c r="Y6" s="3249"/>
      <c r="Z6" s="3250"/>
      <c r="AA6" s="3266"/>
      <c r="AB6" s="3266"/>
      <c r="AC6" s="3266"/>
    </row>
    <row r="7" spans="1:29" s="116" customFormat="1" ht="15.75" thickBot="1">
      <c r="A7" s="407" t="s">
        <v>2552</v>
      </c>
      <c r="B7" s="408"/>
      <c r="C7" s="409">
        <f>'数据-取费表'!B2</f>
        <v>43252</v>
      </c>
      <c r="D7" s="410">
        <v>100</v>
      </c>
      <c r="E7" s="411"/>
      <c r="F7" s="412">
        <f>SUMIF(65:65,YEAR(E7)&amp;"-"&amp;INT((MONTH(E7)+2)/3),66:66)</f>
        <v>0</v>
      </c>
      <c r="G7" s="2696"/>
      <c r="H7" s="410">
        <f>SUMIF(65:65,YEAR(G7)&amp;"-"&amp;INT((MONTH(G7)+2)/3),66:66)</f>
        <v>0</v>
      </c>
      <c r="I7" s="2696"/>
      <c r="J7" s="410">
        <f>SUMIF(65:65,YEAR(I7)&amp;"-"&amp;INT((MONTH(I7)+2)/3),66:66)</f>
        <v>0</v>
      </c>
      <c r="K7" s="610"/>
      <c r="L7" s="1131"/>
      <c r="M7" s="1132"/>
      <c r="N7" s="1132"/>
      <c r="O7" s="1132"/>
      <c r="P7" s="3259" t="s">
        <v>2553</v>
      </c>
      <c r="Q7" s="3260"/>
      <c r="R7" s="769" t="s">
        <v>17</v>
      </c>
      <c r="S7" s="770">
        <f t="shared" ref="S7:S15" si="0">F7</f>
        <v>0</v>
      </c>
      <c r="T7" s="769" t="s">
        <v>17</v>
      </c>
      <c r="U7" s="770">
        <f t="shared" ref="U7:U15" si="1">H7</f>
        <v>0</v>
      </c>
      <c r="V7" s="769" t="s">
        <v>17</v>
      </c>
      <c r="W7" s="770">
        <f t="shared" ref="W7:W15" si="2">J7</f>
        <v>0</v>
      </c>
      <c r="X7" s="771"/>
      <c r="Y7" s="3259" t="s">
        <v>2553</v>
      </c>
      <c r="Z7" s="3258"/>
      <c r="AA7" s="772" t="e">
        <f>D7/F7</f>
        <v>#DIV/0!</v>
      </c>
      <c r="AB7" s="772" t="e">
        <f>D7/H7</f>
        <v>#DIV/0!</v>
      </c>
      <c r="AC7" s="772" t="e">
        <f>D7/J7</f>
        <v>#DIV/0!</v>
      </c>
    </row>
    <row r="8" spans="1:29" s="116" customFormat="1" ht="15.75" thickBot="1">
      <c r="A8" s="407" t="s">
        <v>2554</v>
      </c>
      <c r="B8" s="408"/>
      <c r="C8" s="413" t="s">
        <v>2555</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59" t="s">
        <v>2556</v>
      </c>
      <c r="Q8" s="3258"/>
      <c r="R8" s="769" t="s">
        <v>17</v>
      </c>
      <c r="S8" s="770">
        <f t="shared" si="0"/>
        <v>0</v>
      </c>
      <c r="T8" s="769" t="s">
        <v>17</v>
      </c>
      <c r="U8" s="770">
        <f t="shared" si="1"/>
        <v>0</v>
      </c>
      <c r="V8" s="769" t="s">
        <v>17</v>
      </c>
      <c r="W8" s="770">
        <f t="shared" si="2"/>
        <v>0</v>
      </c>
      <c r="X8" s="771"/>
      <c r="Y8" s="3259" t="s">
        <v>2556</v>
      </c>
      <c r="Z8" s="3258"/>
      <c r="AA8" s="772" t="e">
        <f t="shared" ref="AA8:AA40" si="3">D8/F8</f>
        <v>#DIV/0!</v>
      </c>
      <c r="AB8" s="772" t="e">
        <f t="shared" ref="AB8:AB40" si="4">D8/H8</f>
        <v>#DIV/0!</v>
      </c>
      <c r="AC8" s="772" t="e">
        <f t="shared" ref="AC8:AC40" si="5">D8/J8</f>
        <v>#DIV/0!</v>
      </c>
    </row>
    <row r="9" spans="1:29" s="116" customFormat="1">
      <c r="A9" s="414" t="s">
        <v>2557</v>
      </c>
      <c r="B9" s="71" t="s">
        <v>2558</v>
      </c>
      <c r="C9" s="2699"/>
      <c r="D9" s="134">
        <v>100</v>
      </c>
      <c r="E9" s="2699"/>
      <c r="F9" s="134">
        <f>SUMIF(70:70,E9,71:71)-SUMIF(70:70,C9,71:71)+100</f>
        <v>100</v>
      </c>
      <c r="G9" s="2699"/>
      <c r="H9" s="134">
        <f>SUMIF(70:70,G9,71:71)-SUMIF(70:70,C9,71:71)+100</f>
        <v>100</v>
      </c>
      <c r="I9" s="2699"/>
      <c r="J9" s="134">
        <f>SUMIF(70:70,I9,71:71)-SUMIF(70:70,C9,71:71)+100</f>
        <v>100</v>
      </c>
      <c r="K9" s="610"/>
      <c r="L9" s="1131"/>
      <c r="M9" s="1132"/>
      <c r="N9" s="1132"/>
      <c r="O9" s="1133"/>
      <c r="P9" s="3218" t="s">
        <v>2559</v>
      </c>
      <c r="Q9" s="1794" t="str">
        <f t="shared" ref="Q9:Q15" si="6">B9</f>
        <v>用途</v>
      </c>
      <c r="R9" s="769" t="s">
        <v>17</v>
      </c>
      <c r="S9" s="770">
        <f t="shared" si="0"/>
        <v>100</v>
      </c>
      <c r="T9" s="769" t="s">
        <v>17</v>
      </c>
      <c r="U9" s="770">
        <f t="shared" si="1"/>
        <v>100</v>
      </c>
      <c r="V9" s="769" t="s">
        <v>17</v>
      </c>
      <c r="W9" s="770">
        <f t="shared" si="2"/>
        <v>100</v>
      </c>
      <c r="X9" s="771"/>
      <c r="Y9" s="3052" t="s">
        <v>2560</v>
      </c>
      <c r="Z9" s="55" t="str">
        <f t="shared" ref="Z9:Z15" si="7">Q9</f>
        <v>用途</v>
      </c>
      <c r="AA9" s="772">
        <f t="shared" si="3"/>
        <v>1</v>
      </c>
      <c r="AB9" s="772">
        <f t="shared" si="4"/>
        <v>1</v>
      </c>
      <c r="AC9" s="772">
        <f t="shared" si="5"/>
        <v>1</v>
      </c>
    </row>
    <row r="10" spans="1:29" s="426" customFormat="1" ht="27">
      <c r="A10" s="420"/>
      <c r="B10" s="421" t="s">
        <v>2561</v>
      </c>
      <c r="C10" s="431"/>
      <c r="D10" s="135">
        <v>100</v>
      </c>
      <c r="E10" s="431"/>
      <c r="F10" s="135">
        <f>ROUND(100/'数据-取费表'!G16,0)</f>
        <v>105</v>
      </c>
      <c r="G10" s="431"/>
      <c r="H10" s="135">
        <f>ROUND(100/'数据-取费表'!G16,0)</f>
        <v>105</v>
      </c>
      <c r="I10" s="431"/>
      <c r="J10" s="135">
        <f>ROUND(100/'数据-取费表'!G16,0)</f>
        <v>105</v>
      </c>
      <c r="K10" s="671"/>
      <c r="L10" s="1134"/>
      <c r="M10" s="1135"/>
      <c r="N10" s="1135"/>
      <c r="O10" s="1136"/>
      <c r="P10" s="3218"/>
      <c r="Q10" s="1794" t="str">
        <f t="shared" si="6"/>
        <v>土地使用年限（年）</v>
      </c>
      <c r="R10" s="769" t="s">
        <v>17</v>
      </c>
      <c r="S10" s="770">
        <f t="shared" si="0"/>
        <v>105</v>
      </c>
      <c r="T10" s="769" t="s">
        <v>17</v>
      </c>
      <c r="U10" s="770">
        <f t="shared" si="1"/>
        <v>105</v>
      </c>
      <c r="V10" s="769" t="s">
        <v>17</v>
      </c>
      <c r="W10" s="770">
        <f t="shared" si="2"/>
        <v>105</v>
      </c>
      <c r="X10" s="771"/>
      <c r="Y10" s="3052"/>
      <c r="Z10" s="55" t="str">
        <f t="shared" si="7"/>
        <v>土地使用年限（年）</v>
      </c>
      <c r="AA10" s="772">
        <f t="shared" si="3"/>
        <v>0.95238095238095233</v>
      </c>
      <c r="AB10" s="772">
        <f t="shared" si="4"/>
        <v>0.95238095238095233</v>
      </c>
      <c r="AC10" s="772">
        <f t="shared" si="5"/>
        <v>0.95238095238095233</v>
      </c>
    </row>
    <row r="11" spans="1:29" ht="15">
      <c r="A11" s="427"/>
      <c r="B11" s="421" t="s">
        <v>2562</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218"/>
      <c r="Q11" s="1794" t="str">
        <f t="shared" si="6"/>
        <v>容积率</v>
      </c>
      <c r="R11" s="769" t="s">
        <v>17</v>
      </c>
      <c r="S11" s="770" t="e">
        <f t="shared" si="0"/>
        <v>#N/A</v>
      </c>
      <c r="T11" s="769" t="s">
        <v>17</v>
      </c>
      <c r="U11" s="770" t="e">
        <f t="shared" si="1"/>
        <v>#N/A</v>
      </c>
      <c r="V11" s="769" t="s">
        <v>17</v>
      </c>
      <c r="W11" s="770" t="e">
        <f t="shared" si="2"/>
        <v>#N/A</v>
      </c>
      <c r="X11" s="771"/>
      <c r="Y11" s="3052"/>
      <c r="Z11" s="55" t="str">
        <f t="shared" si="7"/>
        <v>容积率</v>
      </c>
      <c r="AA11" s="772" t="e">
        <f t="shared" si="3"/>
        <v>#N/A</v>
      </c>
      <c r="AB11" s="772" t="e">
        <f t="shared" si="4"/>
        <v>#N/A</v>
      </c>
      <c r="AC11" s="772" t="e">
        <f t="shared" si="5"/>
        <v>#N/A</v>
      </c>
    </row>
    <row r="12" spans="1:29" s="116" customFormat="1" ht="15">
      <c r="A12" s="430"/>
      <c r="B12" s="2600">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218"/>
      <c r="Q12" s="1794">
        <f t="shared" si="6"/>
        <v>111</v>
      </c>
      <c r="R12" s="769" t="s">
        <v>17</v>
      </c>
      <c r="S12" s="770">
        <f t="shared" si="0"/>
        <v>100</v>
      </c>
      <c r="T12" s="769" t="s">
        <v>17</v>
      </c>
      <c r="U12" s="770">
        <f t="shared" si="1"/>
        <v>100</v>
      </c>
      <c r="V12" s="769" t="s">
        <v>17</v>
      </c>
      <c r="W12" s="770">
        <f t="shared" si="2"/>
        <v>100</v>
      </c>
      <c r="X12" s="771"/>
      <c r="Y12" s="3052"/>
      <c r="Z12" s="55">
        <f t="shared" si="7"/>
        <v>111</v>
      </c>
      <c r="AA12" s="772">
        <f>D12/F12</f>
        <v>1</v>
      </c>
      <c r="AB12" s="772">
        <f>D12/H12</f>
        <v>1</v>
      </c>
      <c r="AC12" s="772">
        <f>D12/J12</f>
        <v>1</v>
      </c>
    </row>
    <row r="13" spans="1:29" ht="15">
      <c r="A13" s="427"/>
      <c r="B13" s="2600">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218"/>
      <c r="Q13" s="1794">
        <f t="shared" si="6"/>
        <v>111</v>
      </c>
      <c r="R13" s="769" t="s">
        <v>17</v>
      </c>
      <c r="S13" s="770">
        <f t="shared" si="0"/>
        <v>100</v>
      </c>
      <c r="T13" s="769" t="s">
        <v>17</v>
      </c>
      <c r="U13" s="770">
        <f t="shared" si="1"/>
        <v>100</v>
      </c>
      <c r="V13" s="769" t="s">
        <v>17</v>
      </c>
      <c r="W13" s="770">
        <f t="shared" si="2"/>
        <v>100</v>
      </c>
      <c r="X13" s="771"/>
      <c r="Y13" s="3052"/>
      <c r="Z13" s="55">
        <f t="shared" si="7"/>
        <v>111</v>
      </c>
      <c r="AA13" s="772">
        <f t="shared" si="3"/>
        <v>1</v>
      </c>
      <c r="AB13" s="772">
        <f t="shared" si="4"/>
        <v>1</v>
      </c>
      <c r="AC13" s="772">
        <f t="shared" si="5"/>
        <v>1</v>
      </c>
    </row>
    <row r="14" spans="1:29" ht="15.75" thickBot="1">
      <c r="A14" s="435"/>
      <c r="B14" s="2602">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218"/>
      <c r="Q14" s="1794">
        <f t="shared" si="6"/>
        <v>111</v>
      </c>
      <c r="R14" s="769" t="s">
        <v>17</v>
      </c>
      <c r="S14" s="770">
        <f t="shared" si="0"/>
        <v>100</v>
      </c>
      <c r="T14" s="769" t="s">
        <v>17</v>
      </c>
      <c r="U14" s="770">
        <f t="shared" si="1"/>
        <v>100</v>
      </c>
      <c r="V14" s="769" t="s">
        <v>17</v>
      </c>
      <c r="W14" s="770">
        <f t="shared" si="2"/>
        <v>100</v>
      </c>
      <c r="X14" s="771"/>
      <c r="Y14" s="3052"/>
      <c r="Z14" s="55">
        <f t="shared" si="7"/>
        <v>111</v>
      </c>
      <c r="AA14" s="772">
        <f t="shared" si="3"/>
        <v>1</v>
      </c>
      <c r="AB14" s="772">
        <f t="shared" si="4"/>
        <v>1</v>
      </c>
      <c r="AC14" s="772">
        <f t="shared" si="5"/>
        <v>1</v>
      </c>
    </row>
    <row r="15" spans="1:29" ht="57">
      <c r="A15" s="439" t="s">
        <v>2563</v>
      </c>
      <c r="B15" s="628" t="s">
        <v>2802</v>
      </c>
      <c r="C15" s="2693"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225" t="s">
        <v>2564</v>
      </c>
      <c r="Q15" s="1809" t="str">
        <f t="shared" si="6"/>
        <v>产业集聚程度</v>
      </c>
      <c r="R15" s="773" t="s">
        <v>17</v>
      </c>
      <c r="S15" s="774">
        <f t="shared" si="0"/>
        <v>100</v>
      </c>
      <c r="T15" s="773" t="s">
        <v>17</v>
      </c>
      <c r="U15" s="774">
        <f t="shared" si="1"/>
        <v>100</v>
      </c>
      <c r="V15" s="773" t="s">
        <v>17</v>
      </c>
      <c r="W15" s="774">
        <f t="shared" si="2"/>
        <v>100</v>
      </c>
      <c r="X15" s="1812"/>
      <c r="Y15" s="3225" t="s">
        <v>2564</v>
      </c>
      <c r="Z15" s="1813" t="str">
        <f t="shared" si="7"/>
        <v>产业集聚程度</v>
      </c>
      <c r="AA15" s="1810">
        <f t="shared" si="3"/>
        <v>1</v>
      </c>
      <c r="AB15" s="1810">
        <f t="shared" si="4"/>
        <v>1</v>
      </c>
      <c r="AC15" s="1810">
        <f t="shared" si="5"/>
        <v>1</v>
      </c>
    </row>
    <row r="16" spans="1:29" ht="15">
      <c r="A16" s="427"/>
      <c r="B16" s="629"/>
      <c r="C16" s="446"/>
      <c r="D16" s="447"/>
      <c r="E16" s="2611"/>
      <c r="F16" s="447"/>
      <c r="G16" s="2611"/>
      <c r="H16" s="449"/>
      <c r="I16" s="2611"/>
      <c r="J16" s="447"/>
      <c r="K16" s="671"/>
      <c r="L16" s="1139"/>
      <c r="M16" s="1130"/>
      <c r="N16" s="1130"/>
      <c r="O16" s="1138"/>
      <c r="P16" s="3226"/>
      <c r="Q16" s="1809"/>
      <c r="R16" s="773"/>
      <c r="S16" s="774"/>
      <c r="T16" s="773"/>
      <c r="U16" s="774"/>
      <c r="V16" s="773"/>
      <c r="W16" s="774"/>
      <c r="X16" s="1812"/>
      <c r="Y16" s="3226"/>
      <c r="Z16" s="1813"/>
      <c r="AA16" s="1810">
        <v>1</v>
      </c>
      <c r="AB16" s="1810">
        <v>1</v>
      </c>
      <c r="AC16" s="1810">
        <v>1</v>
      </c>
    </row>
    <row r="17" spans="1:29" ht="85.5">
      <c r="A17" s="427"/>
      <c r="B17" s="630" t="s">
        <v>2713</v>
      </c>
      <c r="C17" s="2607"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226"/>
      <c r="Q17" s="1809" t="str">
        <f>B17</f>
        <v>交通便捷度</v>
      </c>
      <c r="R17" s="773" t="s">
        <v>17</v>
      </c>
      <c r="S17" s="774">
        <f>F17</f>
        <v>100</v>
      </c>
      <c r="T17" s="773" t="s">
        <v>17</v>
      </c>
      <c r="U17" s="774">
        <f>H17</f>
        <v>100</v>
      </c>
      <c r="V17" s="773" t="s">
        <v>17</v>
      </c>
      <c r="W17" s="774">
        <f>J17</f>
        <v>100</v>
      </c>
      <c r="X17" s="1812"/>
      <c r="Y17" s="3226"/>
      <c r="Z17" s="1813" t="str">
        <f>Q17</f>
        <v>交通便捷度</v>
      </c>
      <c r="AA17" s="1810">
        <f t="shared" si="3"/>
        <v>1</v>
      </c>
      <c r="AB17" s="1810">
        <f t="shared" si="4"/>
        <v>1</v>
      </c>
      <c r="AC17" s="1810">
        <f t="shared" si="5"/>
        <v>1</v>
      </c>
    </row>
    <row r="18" spans="1:29" ht="15">
      <c r="A18" s="427"/>
      <c r="B18" s="631"/>
      <c r="C18" s="446"/>
      <c r="D18" s="447"/>
      <c r="E18" s="2605"/>
      <c r="F18" s="447"/>
      <c r="G18" s="2605"/>
      <c r="H18" s="447"/>
      <c r="I18" s="2604"/>
      <c r="J18" s="447"/>
      <c r="K18" s="671"/>
      <c r="L18" s="1139"/>
      <c r="M18" s="1130"/>
      <c r="N18" s="1130"/>
      <c r="O18" s="1138"/>
      <c r="P18" s="3226"/>
      <c r="Q18" s="1809"/>
      <c r="R18" s="773"/>
      <c r="S18" s="774"/>
      <c r="T18" s="773"/>
      <c r="U18" s="774"/>
      <c r="V18" s="773"/>
      <c r="W18" s="774"/>
      <c r="X18" s="1812"/>
      <c r="Y18" s="3226"/>
      <c r="Z18" s="1813"/>
      <c r="AA18" s="1810">
        <v>1</v>
      </c>
      <c r="AB18" s="1810">
        <v>1</v>
      </c>
      <c r="AC18" s="1810">
        <v>1</v>
      </c>
    </row>
    <row r="19" spans="1:29" ht="15">
      <c r="A19" s="427"/>
      <c r="B19" s="630" t="s">
        <v>2752</v>
      </c>
      <c r="C19" s="2607">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226"/>
      <c r="Q19" s="1809" t="str">
        <f t="shared" ref="Q19:Q33" si="8">B19</f>
        <v>区域土地利用方向</v>
      </c>
      <c r="R19" s="773" t="s">
        <v>17</v>
      </c>
      <c r="S19" s="774">
        <f>F19</f>
        <v>100</v>
      </c>
      <c r="T19" s="773" t="s">
        <v>17</v>
      </c>
      <c r="U19" s="774">
        <f>H19</f>
        <v>100</v>
      </c>
      <c r="V19" s="773" t="s">
        <v>17</v>
      </c>
      <c r="W19" s="774">
        <f>J19</f>
        <v>100</v>
      </c>
      <c r="X19" s="1812"/>
      <c r="Y19" s="3226"/>
      <c r="Z19" s="1813" t="str">
        <f>Q19</f>
        <v>区域土地利用方向</v>
      </c>
      <c r="AA19" s="1810">
        <f t="shared" si="3"/>
        <v>1</v>
      </c>
      <c r="AB19" s="1810">
        <f t="shared" si="4"/>
        <v>1</v>
      </c>
      <c r="AC19" s="1810">
        <f t="shared" si="5"/>
        <v>1</v>
      </c>
    </row>
    <row r="20" spans="1:29" ht="15">
      <c r="A20" s="403"/>
      <c r="B20" s="631"/>
      <c r="C20" s="446"/>
      <c r="D20" s="447"/>
      <c r="E20" s="2605"/>
      <c r="F20" s="447"/>
      <c r="G20" s="2605"/>
      <c r="H20" s="447"/>
      <c r="I20" s="2605"/>
      <c r="J20" s="447"/>
      <c r="K20" s="808"/>
      <c r="L20" s="1139"/>
      <c r="M20" s="1130"/>
      <c r="N20" s="1130"/>
      <c r="O20" s="1138"/>
      <c r="P20" s="3226"/>
      <c r="Q20" s="1809"/>
      <c r="R20" s="773"/>
      <c r="S20" s="774"/>
      <c r="T20" s="773"/>
      <c r="U20" s="774"/>
      <c r="V20" s="773"/>
      <c r="W20" s="774"/>
      <c r="X20" s="1812"/>
      <c r="Y20" s="3226"/>
      <c r="Z20" s="1813"/>
      <c r="AA20" s="1810"/>
      <c r="AB20" s="1810"/>
      <c r="AC20" s="1810"/>
    </row>
    <row r="21" spans="1:29" ht="71.25">
      <c r="A21" s="403"/>
      <c r="B21" s="630" t="s">
        <v>2803</v>
      </c>
      <c r="C21" s="2607"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226"/>
      <c r="Q21" s="1809" t="str">
        <f t="shared" si="8"/>
        <v>环境状况</v>
      </c>
      <c r="R21" s="773" t="s">
        <v>17</v>
      </c>
      <c r="S21" s="774">
        <f>F21</f>
        <v>100</v>
      </c>
      <c r="T21" s="773" t="s">
        <v>17</v>
      </c>
      <c r="U21" s="774">
        <f>H21</f>
        <v>100</v>
      </c>
      <c r="V21" s="773" t="s">
        <v>17</v>
      </c>
      <c r="W21" s="774">
        <f>J21</f>
        <v>100</v>
      </c>
      <c r="X21" s="1812"/>
      <c r="Y21" s="3226"/>
      <c r="Z21" s="1813" t="str">
        <f>Q21</f>
        <v>环境状况</v>
      </c>
      <c r="AA21" s="1810">
        <f t="shared" si="3"/>
        <v>1</v>
      </c>
      <c r="AB21" s="1810">
        <f t="shared" si="4"/>
        <v>1</v>
      </c>
      <c r="AC21" s="1810">
        <f t="shared" si="5"/>
        <v>1</v>
      </c>
    </row>
    <row r="22" spans="1:29" ht="15">
      <c r="A22" s="403"/>
      <c r="B22" s="631"/>
      <c r="C22" s="446"/>
      <c r="D22" s="447"/>
      <c r="E22" s="2611"/>
      <c r="F22" s="447"/>
      <c r="G22" s="2611"/>
      <c r="H22" s="447"/>
      <c r="I22" s="446"/>
      <c r="J22" s="447"/>
      <c r="K22" s="671"/>
      <c r="L22" s="1139"/>
      <c r="M22" s="1130"/>
      <c r="N22" s="1130"/>
      <c r="O22" s="1138"/>
      <c r="P22" s="3226"/>
      <c r="Q22" s="1809"/>
      <c r="R22" s="773"/>
      <c r="S22" s="774"/>
      <c r="T22" s="773"/>
      <c r="U22" s="774"/>
      <c r="V22" s="773"/>
      <c r="W22" s="774"/>
      <c r="X22" s="1812"/>
      <c r="Y22" s="3226"/>
      <c r="Z22" s="1813"/>
      <c r="AA22" s="1810">
        <v>1</v>
      </c>
      <c r="AB22" s="1810">
        <v>1</v>
      </c>
      <c r="AC22" s="1810">
        <v>1</v>
      </c>
    </row>
    <row r="23" spans="1:29" s="116" customFormat="1" ht="42.75">
      <c r="A23" s="648"/>
      <c r="B23" s="632" t="s">
        <v>2658</v>
      </c>
      <c r="C23" s="2607"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226"/>
      <c r="Q23" s="1794" t="str">
        <f t="shared" si="8"/>
        <v>公共配套设施</v>
      </c>
      <c r="R23" s="769" t="s">
        <v>17</v>
      </c>
      <c r="S23" s="770">
        <f>F23</f>
        <v>100</v>
      </c>
      <c r="T23" s="769" t="s">
        <v>17</v>
      </c>
      <c r="U23" s="770">
        <f>H23</f>
        <v>100</v>
      </c>
      <c r="V23" s="769" t="s">
        <v>17</v>
      </c>
      <c r="W23" s="770">
        <f>J23</f>
        <v>100</v>
      </c>
      <c r="X23" s="771"/>
      <c r="Y23" s="3226"/>
      <c r="Z23" s="55" t="str">
        <f>Q23</f>
        <v>公共配套设施</v>
      </c>
      <c r="AA23" s="1810">
        <f>D23/F23</f>
        <v>1</v>
      </c>
      <c r="AB23" s="1810">
        <f>D23/H23</f>
        <v>1</v>
      </c>
      <c r="AC23" s="1810">
        <f>D23/J23</f>
        <v>1</v>
      </c>
    </row>
    <row r="24" spans="1:29" s="116" customFormat="1" ht="15">
      <c r="A24" s="648"/>
      <c r="B24" s="631"/>
      <c r="C24" s="2700"/>
      <c r="D24" s="447"/>
      <c r="E24" s="2611"/>
      <c r="F24" s="447"/>
      <c r="G24" s="2611"/>
      <c r="H24" s="447"/>
      <c r="I24" s="446"/>
      <c r="J24" s="447"/>
      <c r="K24" s="671"/>
      <c r="L24" s="1131"/>
      <c r="M24" s="1132"/>
      <c r="N24" s="1132"/>
      <c r="O24" s="1133"/>
      <c r="P24" s="3226"/>
      <c r="Q24" s="1794"/>
      <c r="R24" s="769"/>
      <c r="S24" s="770"/>
      <c r="T24" s="769"/>
      <c r="U24" s="770"/>
      <c r="V24" s="769"/>
      <c r="W24" s="770"/>
      <c r="X24" s="771"/>
      <c r="Y24" s="3226"/>
      <c r="Z24" s="55"/>
      <c r="AA24" s="772">
        <v>1</v>
      </c>
      <c r="AB24" s="772">
        <v>1</v>
      </c>
      <c r="AC24" s="772">
        <v>1</v>
      </c>
    </row>
    <row r="25" spans="1:29" s="116" customFormat="1" ht="28.5">
      <c r="A25" s="648"/>
      <c r="B25" s="632" t="s">
        <v>2659</v>
      </c>
      <c r="C25" s="2607"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226"/>
      <c r="Q25" s="1794" t="str">
        <f t="shared" ref="Q25" si="9">B25</f>
        <v>基础设施水平</v>
      </c>
      <c r="R25" s="769" t="s">
        <v>17</v>
      </c>
      <c r="S25" s="770">
        <f>F25</f>
        <v>100</v>
      </c>
      <c r="T25" s="769" t="s">
        <v>17</v>
      </c>
      <c r="U25" s="770">
        <f>H25</f>
        <v>100</v>
      </c>
      <c r="V25" s="769" t="s">
        <v>17</v>
      </c>
      <c r="W25" s="770">
        <f>J25</f>
        <v>100</v>
      </c>
      <c r="X25" s="771"/>
      <c r="Y25" s="3226"/>
      <c r="Z25" s="55" t="str">
        <f>Q25</f>
        <v>基础设施水平</v>
      </c>
      <c r="AA25" s="1810">
        <f>D25/F25</f>
        <v>1</v>
      </c>
      <c r="AB25" s="1810">
        <f>D25/H25</f>
        <v>1</v>
      </c>
      <c r="AC25" s="1810">
        <f>D25/J25</f>
        <v>1</v>
      </c>
    </row>
    <row r="26" spans="1:29" s="116" customFormat="1" ht="15">
      <c r="A26" s="648"/>
      <c r="B26" s="631"/>
      <c r="C26" s="2700"/>
      <c r="D26" s="447"/>
      <c r="E26" s="2701"/>
      <c r="F26" s="447"/>
      <c r="G26" s="2701"/>
      <c r="H26" s="447"/>
      <c r="I26" s="2701"/>
      <c r="J26" s="447"/>
      <c r="K26" s="671"/>
      <c r="L26" s="1131"/>
      <c r="M26" s="1132"/>
      <c r="N26" s="1132"/>
      <c r="O26" s="1133"/>
      <c r="P26" s="3226"/>
      <c r="Q26" s="1794"/>
      <c r="R26" s="769"/>
      <c r="S26" s="770"/>
      <c r="T26" s="769"/>
      <c r="U26" s="770"/>
      <c r="V26" s="769"/>
      <c r="W26" s="770"/>
      <c r="X26" s="771"/>
      <c r="Y26" s="3226"/>
      <c r="Z26" s="55"/>
      <c r="AA26" s="772">
        <v>1</v>
      </c>
      <c r="AB26" s="772">
        <v>1</v>
      </c>
      <c r="AC26" s="772">
        <v>1</v>
      </c>
    </row>
    <row r="27" spans="1:29" ht="15">
      <c r="A27" s="427"/>
      <c r="B27" s="631" t="s">
        <v>2660</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226"/>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226"/>
      <c r="Z27" s="1813" t="str">
        <f t="shared" ref="Z27:Z40" si="13">Q27</f>
        <v>临街状况</v>
      </c>
      <c r="AA27" s="1810">
        <f t="shared" si="3"/>
        <v>1</v>
      </c>
      <c r="AB27" s="1810">
        <f t="shared" si="4"/>
        <v>1</v>
      </c>
      <c r="AC27" s="1810">
        <f t="shared" si="5"/>
        <v>1</v>
      </c>
    </row>
    <row r="28" spans="1:29" ht="27">
      <c r="A28" s="427"/>
      <c r="B28" s="632" t="s">
        <v>2695</v>
      </c>
      <c r="C28" s="2713">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226"/>
      <c r="Q28" s="1809" t="str">
        <f t="shared" si="8"/>
        <v>毗邻道路的类型与等级</v>
      </c>
      <c r="R28" s="773" t="s">
        <v>17</v>
      </c>
      <c r="S28" s="774">
        <f t="shared" si="10"/>
        <v>100</v>
      </c>
      <c r="T28" s="773" t="s">
        <v>17</v>
      </c>
      <c r="U28" s="774">
        <f t="shared" si="11"/>
        <v>100</v>
      </c>
      <c r="V28" s="773" t="s">
        <v>17</v>
      </c>
      <c r="W28" s="774">
        <f t="shared" si="12"/>
        <v>100</v>
      </c>
      <c r="X28" s="1812"/>
      <c r="Y28" s="3226"/>
      <c r="Z28" s="1813" t="str">
        <f t="shared" si="13"/>
        <v>毗邻道路的类型与等级</v>
      </c>
      <c r="AA28" s="1810">
        <f t="shared" si="3"/>
        <v>1</v>
      </c>
      <c r="AB28" s="1810">
        <f t="shared" si="4"/>
        <v>1</v>
      </c>
      <c r="AC28" s="1810">
        <f t="shared" si="5"/>
        <v>1</v>
      </c>
    </row>
    <row r="29" spans="1:29" ht="15">
      <c r="A29" s="427"/>
      <c r="B29" s="631"/>
      <c r="C29" s="446"/>
      <c r="D29" s="447"/>
      <c r="E29" s="2611"/>
      <c r="F29" s="447"/>
      <c r="G29" s="2611"/>
      <c r="H29" s="447"/>
      <c r="I29" s="2611"/>
      <c r="J29" s="447"/>
      <c r="K29" s="612"/>
      <c r="L29" s="1139"/>
      <c r="M29" s="1130"/>
      <c r="N29" s="1130"/>
      <c r="O29" s="1138"/>
      <c r="P29" s="3226"/>
      <c r="Q29" s="1809"/>
      <c r="R29" s="773"/>
      <c r="S29" s="774"/>
      <c r="T29" s="773"/>
      <c r="U29" s="774"/>
      <c r="V29" s="773"/>
      <c r="W29" s="774"/>
      <c r="X29" s="1812"/>
      <c r="Y29" s="3226"/>
      <c r="Z29" s="1813"/>
      <c r="AA29" s="1810">
        <v>1</v>
      </c>
      <c r="AB29" s="1810">
        <v>1</v>
      </c>
      <c r="AC29" s="1810">
        <v>1</v>
      </c>
    </row>
    <row r="30" spans="1:29" ht="15">
      <c r="A30" s="427"/>
      <c r="B30" s="653" t="s">
        <v>2754</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226"/>
      <c r="Q30" s="1809" t="str">
        <f t="shared" si="8"/>
        <v>土地级别</v>
      </c>
      <c r="R30" s="773" t="s">
        <v>17</v>
      </c>
      <c r="S30" s="774">
        <f t="shared" si="10"/>
        <v>100</v>
      </c>
      <c r="T30" s="773" t="s">
        <v>17</v>
      </c>
      <c r="U30" s="774">
        <f t="shared" si="11"/>
        <v>100</v>
      </c>
      <c r="V30" s="773" t="s">
        <v>17</v>
      </c>
      <c r="W30" s="774">
        <f t="shared" si="12"/>
        <v>100</v>
      </c>
      <c r="X30" s="1812"/>
      <c r="Y30" s="3226"/>
      <c r="Z30" s="1813" t="str">
        <f t="shared" si="13"/>
        <v>土地级别</v>
      </c>
      <c r="AA30" s="1810">
        <f t="shared" si="3"/>
        <v>1</v>
      </c>
      <c r="AB30" s="1810">
        <f t="shared" si="4"/>
        <v>1</v>
      </c>
      <c r="AC30" s="1810">
        <f t="shared" si="5"/>
        <v>1</v>
      </c>
    </row>
    <row r="31" spans="1:29" ht="15">
      <c r="A31" s="403"/>
      <c r="B31" s="2678">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26"/>
      <c r="Q31" s="1809">
        <f t="shared" si="8"/>
        <v>111</v>
      </c>
      <c r="R31" s="773" t="s">
        <v>17</v>
      </c>
      <c r="S31" s="774">
        <f t="shared" si="10"/>
        <v>100</v>
      </c>
      <c r="T31" s="773" t="s">
        <v>17</v>
      </c>
      <c r="U31" s="774">
        <f t="shared" si="11"/>
        <v>100</v>
      </c>
      <c r="V31" s="773" t="s">
        <v>17</v>
      </c>
      <c r="W31" s="774">
        <f t="shared" si="12"/>
        <v>100</v>
      </c>
      <c r="X31" s="1812"/>
      <c r="Y31" s="3226"/>
      <c r="Z31" s="1813">
        <f t="shared" si="13"/>
        <v>111</v>
      </c>
      <c r="AA31" s="1810">
        <f t="shared" si="3"/>
        <v>1</v>
      </c>
      <c r="AB31" s="1810">
        <f t="shared" si="4"/>
        <v>1</v>
      </c>
      <c r="AC31" s="1810">
        <f t="shared" si="5"/>
        <v>1</v>
      </c>
    </row>
    <row r="32" spans="1:29" ht="15">
      <c r="A32" s="674"/>
      <c r="B32" s="2714">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307" t="s">
        <v>2569</v>
      </c>
      <c r="Q32" s="1809">
        <f t="shared" si="8"/>
        <v>111</v>
      </c>
      <c r="R32" s="773" t="s">
        <v>17</v>
      </c>
      <c r="S32" s="774">
        <f t="shared" si="10"/>
        <v>100</v>
      </c>
      <c r="T32" s="773" t="s">
        <v>17</v>
      </c>
      <c r="U32" s="774">
        <f t="shared" si="11"/>
        <v>100</v>
      </c>
      <c r="V32" s="773" t="s">
        <v>17</v>
      </c>
      <c r="W32" s="774">
        <f t="shared" si="12"/>
        <v>100</v>
      </c>
      <c r="X32" s="1812"/>
      <c r="Y32" s="3230" t="s">
        <v>2569</v>
      </c>
      <c r="Z32" s="1813">
        <f t="shared" si="13"/>
        <v>111</v>
      </c>
      <c r="AA32" s="1810">
        <f t="shared" si="3"/>
        <v>1</v>
      </c>
      <c r="AB32" s="1810">
        <f t="shared" si="4"/>
        <v>1</v>
      </c>
      <c r="AC32" s="1810">
        <f t="shared" si="5"/>
        <v>1</v>
      </c>
    </row>
    <row r="33" spans="1:29" s="470" customFormat="1" ht="15.75" thickBot="1">
      <c r="A33" s="675"/>
      <c r="B33" s="2715">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230"/>
      <c r="Q33" s="1809">
        <f t="shared" si="8"/>
        <v>111</v>
      </c>
      <c r="R33" s="776" t="s">
        <v>17</v>
      </c>
      <c r="S33" s="777">
        <f t="shared" si="10"/>
        <v>100</v>
      </c>
      <c r="T33" s="776" t="s">
        <v>17</v>
      </c>
      <c r="U33" s="777">
        <f t="shared" si="11"/>
        <v>100</v>
      </c>
      <c r="V33" s="776" t="s">
        <v>17</v>
      </c>
      <c r="W33" s="777">
        <f t="shared" si="12"/>
        <v>100</v>
      </c>
      <c r="X33" s="778"/>
      <c r="Y33" s="3230"/>
      <c r="Z33" s="779">
        <f t="shared" si="13"/>
        <v>111</v>
      </c>
      <c r="AA33" s="1810">
        <f t="shared" si="3"/>
        <v>1</v>
      </c>
      <c r="AB33" s="1810">
        <f t="shared" si="4"/>
        <v>1</v>
      </c>
      <c r="AC33" s="1810">
        <f t="shared" si="5"/>
        <v>1</v>
      </c>
    </row>
    <row r="34" spans="1:29" ht="15">
      <c r="A34" s="439" t="s">
        <v>2567</v>
      </c>
      <c r="B34" s="455" t="s">
        <v>2755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230"/>
      <c r="Q34" s="1809" t="str">
        <f>B34</f>
        <v>宗地面积</v>
      </c>
      <c r="R34" s="773" t="s">
        <v>17</v>
      </c>
      <c r="S34" s="774" t="e">
        <f t="shared" si="10"/>
        <v>#N/A</v>
      </c>
      <c r="T34" s="773" t="s">
        <v>17</v>
      </c>
      <c r="U34" s="774" t="e">
        <f t="shared" si="11"/>
        <v>#N/A</v>
      </c>
      <c r="V34" s="773" t="s">
        <v>17</v>
      </c>
      <c r="W34" s="774" t="e">
        <f t="shared" si="12"/>
        <v>#N/A</v>
      </c>
      <c r="X34" s="1812"/>
      <c r="Y34" s="3230"/>
      <c r="Z34" s="1813" t="str">
        <f t="shared" si="13"/>
        <v>宗地面积</v>
      </c>
      <c r="AA34" s="1810" t="e">
        <f t="shared" si="3"/>
        <v>#N/A</v>
      </c>
      <c r="AB34" s="1810" t="e">
        <f t="shared" si="4"/>
        <v>#N/A</v>
      </c>
      <c r="AC34" s="1810" t="e">
        <f t="shared" si="5"/>
        <v>#N/A</v>
      </c>
    </row>
    <row r="35" spans="1:29" ht="15">
      <c r="A35" s="471"/>
      <c r="B35" s="421" t="s">
        <v>2756</v>
      </c>
      <c r="C35" s="2613"/>
      <c r="D35" s="434">
        <v>100</v>
      </c>
      <c r="E35" s="2613"/>
      <c r="F35" s="434">
        <f>SUMIF(110:110,E35,111:111)-SUMIF(110:110,C35,111:111)+100</f>
        <v>100</v>
      </c>
      <c r="G35" s="2613"/>
      <c r="H35" s="434">
        <f>SUMIF(110:110,G35,111:111)-SUMIF(110:110,C35,111:111)+100</f>
        <v>100</v>
      </c>
      <c r="I35" s="2613"/>
      <c r="J35" s="434">
        <f>SUMIF(110:110,I35,111:111)-SUMIF(110:110,C35,111:111)+100</f>
        <v>100</v>
      </c>
      <c r="K35" s="611"/>
      <c r="L35" s="1139"/>
      <c r="M35" s="1130"/>
      <c r="N35" s="1130"/>
      <c r="O35" s="1138"/>
      <c r="P35" s="3230"/>
      <c r="Q35" s="1809" t="str">
        <f t="shared" ref="Q35:Q40" si="14">B35</f>
        <v>宗地形状</v>
      </c>
      <c r="R35" s="773" t="s">
        <v>17</v>
      </c>
      <c r="S35" s="774">
        <f t="shared" si="10"/>
        <v>100</v>
      </c>
      <c r="T35" s="773" t="s">
        <v>17</v>
      </c>
      <c r="U35" s="774">
        <f t="shared" si="11"/>
        <v>100</v>
      </c>
      <c r="V35" s="773" t="s">
        <v>17</v>
      </c>
      <c r="W35" s="774">
        <f t="shared" si="12"/>
        <v>100</v>
      </c>
      <c r="X35" s="1812"/>
      <c r="Y35" s="3230"/>
      <c r="Z35" s="1813" t="str">
        <f t="shared" si="13"/>
        <v>宗地形状</v>
      </c>
      <c r="AA35" s="1810">
        <f t="shared" si="3"/>
        <v>1</v>
      </c>
      <c r="AB35" s="1810">
        <f t="shared" si="4"/>
        <v>1</v>
      </c>
      <c r="AC35" s="1810">
        <f t="shared" si="5"/>
        <v>1</v>
      </c>
    </row>
    <row r="36" spans="1:29" s="116" customFormat="1" ht="15">
      <c r="A36" s="472"/>
      <c r="B36" s="421" t="s">
        <v>2758</v>
      </c>
      <c r="C36" s="2702"/>
      <c r="D36" s="135">
        <v>100</v>
      </c>
      <c r="E36" s="2702"/>
      <c r="F36" s="434">
        <f>SUMIF(112:112,E36,113:113)-SUMIF(112:112,C36,113:113)+100</f>
        <v>100</v>
      </c>
      <c r="G36" s="2702"/>
      <c r="H36" s="434">
        <f>SUMIF(112:112,G36,113:113)-SUMIF(112:112,C36,113:113)+100</f>
        <v>100</v>
      </c>
      <c r="I36" s="2702"/>
      <c r="J36" s="434">
        <f>SUMIF(112:112,I36,113:113)-SUMIF(112:112,C36,113:113)+100</f>
        <v>100</v>
      </c>
      <c r="K36" s="611"/>
      <c r="L36" s="1131"/>
      <c r="M36" s="1132"/>
      <c r="N36" s="1132"/>
      <c r="O36" s="1133"/>
      <c r="P36" s="3230"/>
      <c r="Q36" s="1809" t="str">
        <f t="shared" si="14"/>
        <v>宗地开发程度</v>
      </c>
      <c r="R36" s="769" t="s">
        <v>17</v>
      </c>
      <c r="S36" s="770">
        <f t="shared" si="10"/>
        <v>100</v>
      </c>
      <c r="T36" s="769" t="s">
        <v>17</v>
      </c>
      <c r="U36" s="770">
        <f t="shared" si="11"/>
        <v>100</v>
      </c>
      <c r="V36" s="769" t="s">
        <v>17</v>
      </c>
      <c r="W36" s="770">
        <f t="shared" si="12"/>
        <v>100</v>
      </c>
      <c r="X36" s="771"/>
      <c r="Y36" s="3230"/>
      <c r="Z36" s="55" t="str">
        <f t="shared" si="13"/>
        <v>宗地开发程度</v>
      </c>
      <c r="AA36" s="772">
        <f t="shared" si="3"/>
        <v>1</v>
      </c>
      <c r="AB36" s="772">
        <f t="shared" si="4"/>
        <v>1</v>
      </c>
      <c r="AC36" s="772">
        <f t="shared" si="5"/>
        <v>1</v>
      </c>
    </row>
    <row r="37" spans="1:29" ht="15">
      <c r="A37" s="471"/>
      <c r="B37" s="421" t="s">
        <v>2759</v>
      </c>
      <c r="C37" s="2613"/>
      <c r="D37" s="434">
        <v>100</v>
      </c>
      <c r="E37" s="2613"/>
      <c r="F37" s="434">
        <f>SUMIF(114:114,E37,115:115)-SUMIF(114:114,C37,115:115)+100</f>
        <v>100</v>
      </c>
      <c r="G37" s="2613"/>
      <c r="H37" s="434">
        <f>SUMIF(114:114,G37,115:115)-SUMIF(114:114,C37,115:115)+100</f>
        <v>100</v>
      </c>
      <c r="I37" s="2613"/>
      <c r="J37" s="434">
        <f>SUMIF(114:114,I37,115:115)-SUMIF(114:114,C37,115:115)+100</f>
        <v>100</v>
      </c>
      <c r="K37" s="611"/>
      <c r="L37" s="1139"/>
      <c r="M37" s="1130"/>
      <c r="N37" s="1130"/>
      <c r="O37" s="1138"/>
      <c r="P37" s="3230" t="s">
        <v>2569</v>
      </c>
      <c r="Q37" s="1809" t="str">
        <f t="shared" si="14"/>
        <v>工程地质条件</v>
      </c>
      <c r="R37" s="773" t="s">
        <v>17</v>
      </c>
      <c r="S37" s="774">
        <f t="shared" si="10"/>
        <v>100</v>
      </c>
      <c r="T37" s="773" t="s">
        <v>17</v>
      </c>
      <c r="U37" s="774">
        <f t="shared" si="11"/>
        <v>100</v>
      </c>
      <c r="V37" s="773" t="s">
        <v>17</v>
      </c>
      <c r="W37" s="774">
        <f t="shared" si="12"/>
        <v>100</v>
      </c>
      <c r="X37" s="1812"/>
      <c r="Y37" s="3230" t="s">
        <v>2569</v>
      </c>
      <c r="Z37" s="1813" t="str">
        <f t="shared" si="13"/>
        <v>工程地质条件</v>
      </c>
      <c r="AA37" s="1810">
        <f t="shared" si="3"/>
        <v>1</v>
      </c>
      <c r="AB37" s="1810">
        <f t="shared" si="4"/>
        <v>1</v>
      </c>
      <c r="AC37" s="1810">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230"/>
      <c r="Q38" s="1809">
        <f t="shared" si="14"/>
        <v>111</v>
      </c>
      <c r="R38" s="773" t="s">
        <v>17</v>
      </c>
      <c r="S38" s="774">
        <f t="shared" si="10"/>
        <v>100</v>
      </c>
      <c r="T38" s="773" t="s">
        <v>17</v>
      </c>
      <c r="U38" s="774">
        <f t="shared" si="11"/>
        <v>100</v>
      </c>
      <c r="V38" s="773" t="s">
        <v>17</v>
      </c>
      <c r="W38" s="774">
        <f t="shared" si="12"/>
        <v>100</v>
      </c>
      <c r="X38" s="1812"/>
      <c r="Y38" s="3230"/>
      <c r="Z38" s="1813">
        <f t="shared" si="13"/>
        <v>111</v>
      </c>
      <c r="AA38" s="1810">
        <f t="shared" si="3"/>
        <v>1</v>
      </c>
      <c r="AB38" s="1810">
        <f t="shared" si="4"/>
        <v>1</v>
      </c>
      <c r="AC38" s="1810">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230"/>
      <c r="Q39" s="1809">
        <f t="shared" si="14"/>
        <v>111</v>
      </c>
      <c r="R39" s="773" t="s">
        <v>17</v>
      </c>
      <c r="S39" s="774">
        <f t="shared" si="10"/>
        <v>100</v>
      </c>
      <c r="T39" s="773" t="s">
        <v>17</v>
      </c>
      <c r="U39" s="774">
        <f t="shared" si="11"/>
        <v>100</v>
      </c>
      <c r="V39" s="773" t="s">
        <v>17</v>
      </c>
      <c r="W39" s="774">
        <f t="shared" si="12"/>
        <v>100</v>
      </c>
      <c r="X39" s="1812"/>
      <c r="Y39" s="3230"/>
      <c r="Z39" s="1813">
        <f t="shared" si="13"/>
        <v>111</v>
      </c>
      <c r="AA39" s="1810">
        <f t="shared" si="3"/>
        <v>1</v>
      </c>
      <c r="AB39" s="1810">
        <f t="shared" si="4"/>
        <v>1</v>
      </c>
      <c r="AC39" s="1810">
        <f t="shared" si="5"/>
        <v>1</v>
      </c>
    </row>
    <row r="40" spans="1:29" s="470" customFormat="1" ht="15.75" thickBot="1">
      <c r="A40" s="467"/>
      <c r="B40" s="1386">
        <v>111</v>
      </c>
      <c r="C40" s="2703"/>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230"/>
      <c r="Q40" s="1809">
        <f t="shared" si="14"/>
        <v>111</v>
      </c>
      <c r="R40" s="776" t="s">
        <v>17</v>
      </c>
      <c r="S40" s="777">
        <f t="shared" si="10"/>
        <v>100</v>
      </c>
      <c r="T40" s="776" t="s">
        <v>17</v>
      </c>
      <c r="U40" s="777">
        <f t="shared" si="11"/>
        <v>100</v>
      </c>
      <c r="V40" s="776" t="s">
        <v>17</v>
      </c>
      <c r="W40" s="777">
        <f t="shared" si="12"/>
        <v>100</v>
      </c>
      <c r="X40" s="778"/>
      <c r="Y40" s="3230"/>
      <c r="Z40" s="779">
        <f t="shared" si="13"/>
        <v>111</v>
      </c>
      <c r="AA40" s="1810">
        <f t="shared" si="3"/>
        <v>1</v>
      </c>
      <c r="AB40" s="1810">
        <f t="shared" si="4"/>
        <v>1</v>
      </c>
      <c r="AC40" s="1810">
        <f t="shared" si="5"/>
        <v>1</v>
      </c>
    </row>
    <row r="41" spans="1:29" ht="15">
      <c r="A41" s="478" t="s">
        <v>2724</v>
      </c>
      <c r="B41" s="2704" t="s">
        <v>2804</v>
      </c>
      <c r="C41" s="681" t="s">
        <v>1</v>
      </c>
      <c r="D41" s="480"/>
      <c r="E41" s="481"/>
      <c r="F41" s="482"/>
      <c r="G41" s="483"/>
      <c r="H41" s="484"/>
      <c r="I41" s="481"/>
      <c r="J41" s="484"/>
      <c r="K41" s="782"/>
      <c r="L41" s="1142"/>
      <c r="M41" s="1130"/>
      <c r="N41" s="1130"/>
      <c r="O41" s="1143"/>
      <c r="P41" s="3218" t="str">
        <f>A41</f>
        <v>成交单价</v>
      </c>
      <c r="Q41" s="3218"/>
      <c r="R41" s="3252">
        <f>E41</f>
        <v>0</v>
      </c>
      <c r="S41" s="3252"/>
      <c r="T41" s="3252">
        <f>G41</f>
        <v>0</v>
      </c>
      <c r="U41" s="3252"/>
      <c r="V41" s="3252">
        <f>I41</f>
        <v>0</v>
      </c>
      <c r="W41" s="3252"/>
      <c r="X41" s="758"/>
      <c r="Y41" s="780"/>
      <c r="Z41" s="758"/>
      <c r="AA41" s="758"/>
      <c r="AB41" s="758"/>
      <c r="AC41" s="758"/>
    </row>
    <row r="42" spans="1:29" ht="15.75" thickBot="1">
      <c r="A42" s="485" t="s">
        <v>2673</v>
      </c>
      <c r="B42" s="682"/>
      <c r="C42" s="489" t="e">
        <f>R43</f>
        <v>#DIV/0!</v>
      </c>
      <c r="D42" s="488"/>
      <c r="E42" s="489" t="e">
        <f>R42</f>
        <v>#DIV/0!</v>
      </c>
      <c r="F42" s="490"/>
      <c r="G42" s="487" t="e">
        <f>T42</f>
        <v>#DIV/0!</v>
      </c>
      <c r="H42" s="488"/>
      <c r="I42" s="489" t="e">
        <f>V42</f>
        <v>#DIV/0!</v>
      </c>
      <c r="J42" s="488"/>
      <c r="K42" s="783"/>
      <c r="L42" s="1142"/>
      <c r="M42" s="1130"/>
      <c r="N42" s="1130"/>
      <c r="O42" s="1143"/>
      <c r="P42" s="3218" t="str">
        <f>A42</f>
        <v>比较价值（元/平方米）</v>
      </c>
      <c r="Q42" s="3218"/>
      <c r="R42" s="3313" t="e">
        <f>ROUND(PRODUCT(R41,AA7:AA40),0)</f>
        <v>#DIV/0!</v>
      </c>
      <c r="S42" s="3313"/>
      <c r="T42" s="3313" t="e">
        <f>ROUND(PRODUCT(T41,AB7:AB40),0)</f>
        <v>#DIV/0!</v>
      </c>
      <c r="U42" s="3313"/>
      <c r="V42" s="3313" t="e">
        <f>ROUND(PRODUCT(V41,AC7:AC40),0)</f>
        <v>#DIV/0!</v>
      </c>
      <c r="W42" s="3313"/>
      <c r="X42" s="758"/>
      <c r="Y42" s="758"/>
      <c r="Z42" s="758"/>
      <c r="AA42" s="758"/>
      <c r="AB42" s="758"/>
      <c r="AC42" s="758"/>
    </row>
    <row r="43" spans="1:29" ht="15.75" thickBot="1">
      <c r="A43" s="491" t="s">
        <v>2674</v>
      </c>
      <c r="B43" s="492"/>
      <c r="C43" s="493" t="e">
        <f>R43</f>
        <v>#DIV/0!</v>
      </c>
      <c r="D43" s="493"/>
      <c r="E43" s="493"/>
      <c r="F43" s="493"/>
      <c r="G43" s="493"/>
      <c r="H43" s="493"/>
      <c r="I43" s="493"/>
      <c r="J43" s="493"/>
      <c r="K43" s="784"/>
      <c r="L43" s="1142"/>
      <c r="M43" s="1130"/>
      <c r="N43" s="1130"/>
      <c r="O43" s="1143"/>
      <c r="P43" s="3290" t="str">
        <f>A43</f>
        <v>估价对象XX用房的比较价值（楼面单价，元/平方米）</v>
      </c>
      <c r="Q43" s="3291"/>
      <c r="R43" s="3314" t="e">
        <f>ROUND(AVERAGE(R42:V42),0)</f>
        <v>#DIV/0!</v>
      </c>
      <c r="S43" s="3314"/>
      <c r="T43" s="3314"/>
      <c r="U43" s="3314"/>
      <c r="V43" s="3314"/>
      <c r="W43" s="3314"/>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2675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2676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61"/>
      <c r="D49" s="759"/>
      <c r="E49" s="759"/>
      <c r="F49" s="759"/>
      <c r="G49" s="759"/>
      <c r="H49" s="759"/>
      <c r="I49" s="759"/>
      <c r="J49" s="759"/>
      <c r="K49" s="1147"/>
      <c r="L49" s="1148"/>
      <c r="M49" s="1144"/>
      <c r="N49" s="1144"/>
      <c r="O49" s="1144"/>
    </row>
    <row r="50" spans="1:17" ht="27">
      <c r="A50" s="683" t="s">
        <v>2762</v>
      </c>
      <c r="B50" s="684" t="s">
        <v>2763</v>
      </c>
      <c r="C50" s="2705" t="s">
        <v>2764</v>
      </c>
      <c r="D50" s="2706" t="s">
        <v>2765</v>
      </c>
      <c r="E50" s="685" t="s">
        <v>2766</v>
      </c>
      <c r="F50" s="686" t="s">
        <v>2767</v>
      </c>
      <c r="G50" s="3235" t="s">
        <v>2768</v>
      </c>
      <c r="H50" s="3315"/>
      <c r="I50" s="1813" t="s">
        <v>2805</v>
      </c>
      <c r="J50" s="1813">
        <f>项目基本情况!F35</f>
        <v>0</v>
      </c>
      <c r="K50" s="2708" t="s">
        <v>2770</v>
      </c>
      <c r="L50" s="1105"/>
      <c r="M50" s="1143"/>
      <c r="N50" s="1143"/>
      <c r="O50" s="1143"/>
    </row>
    <row r="51" spans="1:17" s="691" customFormat="1">
      <c r="A51" s="687" t="s">
        <v>2771</v>
      </c>
      <c r="B51" s="688" t="e">
        <f>C43</f>
        <v>#DIV/0!</v>
      </c>
      <c r="C51" s="689">
        <v>1</v>
      </c>
      <c r="D51" s="1162">
        <v>1</v>
      </c>
      <c r="E51" s="689">
        <f>'数据-汇总表'!E8+'数据-汇总表'!E9</f>
        <v>14974.55</v>
      </c>
      <c r="F51" s="690" t="e">
        <f t="shared" ref="F51:F60" si="15">ROUND(B51*E51/10000,0)</f>
        <v>#DIV/0!</v>
      </c>
      <c r="G51" s="3217"/>
      <c r="H51" s="3218"/>
      <c r="I51" s="941">
        <v>1</v>
      </c>
      <c r="J51" s="941">
        <v>1</v>
      </c>
      <c r="K51" s="1144"/>
      <c r="L51" s="940"/>
      <c r="M51" s="940"/>
      <c r="N51" s="940"/>
      <c r="O51" s="940"/>
    </row>
    <row r="52" spans="1:17" s="691" customFormat="1">
      <c r="A52" s="692" t="s">
        <v>2772</v>
      </c>
      <c r="B52" s="261" t="e">
        <f>ROUND($C$43*C52*D52,0)</f>
        <v>#DIV/0!</v>
      </c>
      <c r="C52" s="199">
        <f t="shared" ref="C52:C60" si="16">IF($C$50="北京市系数",I52,J52)</f>
        <v>0.7</v>
      </c>
      <c r="D52" s="1163">
        <v>0.25</v>
      </c>
      <c r="E52" s="693"/>
      <c r="F52" s="690" t="e">
        <f t="shared" si="15"/>
        <v>#DIV/0!</v>
      </c>
      <c r="G52" s="3316" t="s">
        <v>2773</v>
      </c>
      <c r="H52" s="1103" t="str">
        <f>项目基本情况!B37</f>
        <v>六级</v>
      </c>
      <c r="I52" s="941">
        <f>SUMIF(修正!A45:A56,H52,修正!B45:B56)</f>
        <v>0.7</v>
      </c>
      <c r="J52" s="942"/>
      <c r="K52" s="1143"/>
      <c r="L52" s="940"/>
      <c r="M52" s="940"/>
      <c r="N52" s="940"/>
      <c r="O52" s="940"/>
    </row>
    <row r="53" spans="1:17" s="691" customFormat="1">
      <c r="A53" s="692" t="s">
        <v>2774</v>
      </c>
      <c r="B53" s="261" t="e">
        <f t="shared" ref="B53:B60" si="17">ROUND($C$43*C53*D53,0)</f>
        <v>#DIV/0!</v>
      </c>
      <c r="C53" s="199">
        <f t="shared" si="16"/>
        <v>0.4</v>
      </c>
      <c r="D53" s="1163">
        <v>0.25</v>
      </c>
      <c r="E53" s="693"/>
      <c r="F53" s="690" t="e">
        <f t="shared" si="15"/>
        <v>#DIV/0!</v>
      </c>
      <c r="G53" s="3316"/>
      <c r="H53" s="1103" t="str">
        <f>项目基本情况!B37</f>
        <v>六级</v>
      </c>
      <c r="I53" s="941">
        <f>SUMIF(修正!A45:A56,H53,修正!C45:C56)</f>
        <v>0.4</v>
      </c>
      <c r="J53" s="942"/>
      <c r="K53" s="1144"/>
      <c r="L53" s="940"/>
      <c r="M53" s="940"/>
      <c r="N53" s="940"/>
      <c r="O53" s="940"/>
    </row>
    <row r="54" spans="1:17" s="691" customFormat="1">
      <c r="A54" s="692" t="s">
        <v>2775</v>
      </c>
      <c r="B54" s="261" t="e">
        <f t="shared" si="17"/>
        <v>#DIV/0!</v>
      </c>
      <c r="C54" s="199">
        <f t="shared" si="16"/>
        <v>0.28000000000000003</v>
      </c>
      <c r="D54" s="1163">
        <v>0.25</v>
      </c>
      <c r="E54" s="693"/>
      <c r="F54" s="690" t="e">
        <f t="shared" si="15"/>
        <v>#DIV/0!</v>
      </c>
      <c r="G54" s="3316"/>
      <c r="H54" s="1103" t="str">
        <f>项目基本情况!B37</f>
        <v>六级</v>
      </c>
      <c r="I54" s="941">
        <f>SUMIF(修正!A45:A56,H54,修正!D45:D56)</f>
        <v>0.28000000000000003</v>
      </c>
      <c r="J54" s="942"/>
      <c r="K54" s="1143"/>
      <c r="L54" s="940"/>
      <c r="M54" s="940"/>
      <c r="N54" s="940"/>
      <c r="O54" s="940"/>
    </row>
    <row r="55" spans="1:17" s="691" customFormat="1">
      <c r="A55" s="692" t="s">
        <v>2776</v>
      </c>
      <c r="B55" s="261" t="e">
        <f t="shared" si="17"/>
        <v>#DIV/0!</v>
      </c>
      <c r="C55" s="199">
        <f t="shared" si="16"/>
        <v>0.25</v>
      </c>
      <c r="D55" s="1163">
        <v>0.25</v>
      </c>
      <c r="E55" s="693"/>
      <c r="F55" s="690" t="e">
        <f t="shared" si="15"/>
        <v>#DIV/0!</v>
      </c>
      <c r="G55" s="3316"/>
      <c r="H55" s="1103" t="str">
        <f>项目基本情况!B37</f>
        <v>六级</v>
      </c>
      <c r="I55" s="941">
        <f>SUMIF(修正!A45:A56,H55,修正!E45:E56)</f>
        <v>0.25</v>
      </c>
      <c r="J55" s="942"/>
      <c r="K55" s="1144"/>
      <c r="L55" s="940"/>
      <c r="M55" s="940"/>
      <c r="N55" s="940"/>
      <c r="O55" s="940"/>
    </row>
    <row r="56" spans="1:17" s="691" customFormat="1">
      <c r="A56" s="692" t="s">
        <v>2777</v>
      </c>
      <c r="B56" s="261" t="e">
        <f t="shared" si="17"/>
        <v>#DIV/0!</v>
      </c>
      <c r="C56" s="199">
        <f t="shared" si="16"/>
        <v>0.25</v>
      </c>
      <c r="D56" s="1163">
        <v>0.25</v>
      </c>
      <c r="E56" s="260">
        <f>'数据-汇总表'!E11</f>
        <v>0</v>
      </c>
      <c r="F56" s="690" t="e">
        <f t="shared" si="15"/>
        <v>#DIV/0!</v>
      </c>
      <c r="G56" s="2709" t="s">
        <v>2778</v>
      </c>
      <c r="H56" s="1103" t="str">
        <f>项目基本情况!C37</f>
        <v>六级</v>
      </c>
      <c r="I56" s="941">
        <f>SUMIF(修正!A45:A56,H56,修正!F45:F56)</f>
        <v>0.25</v>
      </c>
      <c r="J56" s="942"/>
      <c r="K56" s="1143"/>
      <c r="L56" s="940"/>
      <c r="M56" s="940"/>
      <c r="N56" s="940"/>
      <c r="O56" s="940"/>
    </row>
    <row r="57" spans="1:17" s="691" customFormat="1">
      <c r="A57" s="692" t="s">
        <v>2779</v>
      </c>
      <c r="B57" s="261" t="e">
        <f t="shared" si="17"/>
        <v>#DIV/0!</v>
      </c>
      <c r="C57" s="199">
        <f t="shared" si="16"/>
        <v>0.25</v>
      </c>
      <c r="D57" s="1163">
        <v>0.25</v>
      </c>
      <c r="E57" s="260">
        <f>'数据-汇总表'!E12</f>
        <v>0</v>
      </c>
      <c r="F57" s="690" t="e">
        <f t="shared" si="15"/>
        <v>#DIV/0!</v>
      </c>
      <c r="G57" s="1108" t="s">
        <v>2780</v>
      </c>
      <c r="H57" s="1103" t="str">
        <f>IF(G57="商业",项目基本情况!B37,IF(G57="办公",项目基本情况!C37,IF(G57="住宅",项目基本情况!D37,项目基本情况!E37)))</f>
        <v>六级</v>
      </c>
      <c r="I57" s="941">
        <f>SUMIF(修正!A45:A56,H57,修正!G45:G56)</f>
        <v>0.25</v>
      </c>
      <c r="J57" s="942"/>
      <c r="K57" s="1144"/>
      <c r="L57" s="940"/>
      <c r="M57" s="940"/>
      <c r="N57" s="940"/>
      <c r="O57" s="940"/>
    </row>
    <row r="58" spans="1:17" s="691" customFormat="1">
      <c r="A58" s="692" t="s">
        <v>2781</v>
      </c>
      <c r="B58" s="261" t="e">
        <f t="shared" si="17"/>
        <v>#DIV/0!</v>
      </c>
      <c r="C58" s="199">
        <f t="shared" si="16"/>
        <v>0</v>
      </c>
      <c r="D58" s="1163">
        <v>0.25</v>
      </c>
      <c r="E58" s="260">
        <f>'数据-汇总表'!E13</f>
        <v>0</v>
      </c>
      <c r="F58" s="690" t="e">
        <f t="shared" si="15"/>
        <v>#DIV/0!</v>
      </c>
      <c r="G58" s="1108" t="s">
        <v>2782</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2783</v>
      </c>
      <c r="B59" s="261" t="e">
        <f t="shared" si="17"/>
        <v>#DIV/0!</v>
      </c>
      <c r="C59" s="199">
        <f t="shared" si="16"/>
        <v>0.2</v>
      </c>
      <c r="D59" s="1163">
        <v>0.25</v>
      </c>
      <c r="E59" s="260">
        <f>'数据-汇总表'!E14</f>
        <v>0</v>
      </c>
      <c r="F59" s="690" t="e">
        <f t="shared" si="15"/>
        <v>#DIV/0!</v>
      </c>
      <c r="G59" s="2709" t="s">
        <v>2773</v>
      </c>
      <c r="H59" s="1103" t="str">
        <f>项目基本情况!B37</f>
        <v>六级</v>
      </c>
      <c r="I59" s="941">
        <f>SUMIF(修正!A45:A56,H59,修正!H45:H56)</f>
        <v>0.2</v>
      </c>
      <c r="J59" s="942"/>
      <c r="K59" s="1144"/>
      <c r="L59" s="940"/>
      <c r="M59" s="940"/>
      <c r="N59" s="940"/>
      <c r="O59" s="940"/>
    </row>
    <row r="60" spans="1:17" s="691" customFormat="1" ht="15" thickBot="1">
      <c r="A60" s="692" t="s">
        <v>2784</v>
      </c>
      <c r="B60" s="261" t="e">
        <f t="shared" si="17"/>
        <v>#DIV/0!</v>
      </c>
      <c r="C60" s="199">
        <f t="shared" si="16"/>
        <v>0.2</v>
      </c>
      <c r="D60" s="1163">
        <v>0.25</v>
      </c>
      <c r="E60" s="260">
        <f>'数据-汇总表'!E15</f>
        <v>0</v>
      </c>
      <c r="F60" s="690" t="e">
        <f t="shared" si="15"/>
        <v>#DIV/0!</v>
      </c>
      <c r="G60" s="2710" t="s">
        <v>2778</v>
      </c>
      <c r="H60" s="1113" t="str">
        <f>项目基本情况!C37</f>
        <v>六级</v>
      </c>
      <c r="I60" s="941">
        <f>SUMIF(修正!A45:A56,H60,修正!H45:H56)</f>
        <v>0.2</v>
      </c>
      <c r="J60" s="942"/>
      <c r="K60" s="1143"/>
      <c r="L60" s="940"/>
      <c r="M60" s="940"/>
      <c r="N60" s="940"/>
      <c r="O60" s="940"/>
    </row>
    <row r="61" spans="1:17" s="691" customFormat="1" ht="15" thickBot="1">
      <c r="A61" s="694" t="s">
        <v>2785</v>
      </c>
      <c r="B61" s="695" t="s">
        <v>28</v>
      </c>
      <c r="C61" s="695" t="s">
        <v>29</v>
      </c>
      <c r="D61" s="695" t="s">
        <v>1029</v>
      </c>
      <c r="E61" s="695">
        <f>IF(B41="楼面地价",SUM(E51:E60),'数据-汇总表'!D3)</f>
        <v>3260.64</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2018-6-1</v>
      </c>
      <c r="D63" s="760">
        <f>EDATE(C63,-3)</f>
        <v>43160</v>
      </c>
      <c r="E63" s="760">
        <f>EDATE(D63,-3)</f>
        <v>43070</v>
      </c>
      <c r="F63" s="760">
        <f t="shared" ref="F63:O63" si="18">EDATE(E63,-3)</f>
        <v>42979</v>
      </c>
      <c r="G63" s="760">
        <f t="shared" si="18"/>
        <v>42887</v>
      </c>
      <c r="H63" s="760">
        <f t="shared" si="18"/>
        <v>42795</v>
      </c>
      <c r="I63" s="760">
        <f t="shared" si="18"/>
        <v>42705</v>
      </c>
      <c r="J63" s="760">
        <f t="shared" si="18"/>
        <v>42614</v>
      </c>
      <c r="K63" s="760">
        <f t="shared" si="18"/>
        <v>42522</v>
      </c>
      <c r="L63" s="760">
        <f t="shared" si="18"/>
        <v>42430</v>
      </c>
      <c r="M63" s="760">
        <f t="shared" si="18"/>
        <v>42339</v>
      </c>
      <c r="N63" s="760">
        <f t="shared" si="18"/>
        <v>42248</v>
      </c>
      <c r="O63" s="760">
        <f t="shared" si="18"/>
        <v>42156</v>
      </c>
    </row>
    <row r="64" spans="1:17" ht="21.75" thickBot="1">
      <c r="A64" s="762" t="s">
        <v>2678</v>
      </c>
      <c r="B64" s="758"/>
      <c r="C64" s="763"/>
      <c r="D64" s="763"/>
      <c r="E64" s="763"/>
      <c r="F64" s="764"/>
      <c r="G64" s="764"/>
      <c r="H64" s="763"/>
      <c r="I64" s="763"/>
      <c r="J64" s="763"/>
      <c r="K64" s="765"/>
      <c r="L64" s="766"/>
      <c r="M64" s="763"/>
      <c r="N64" s="763"/>
      <c r="O64" s="1158"/>
      <c r="P64" s="502"/>
      <c r="Q64" s="503"/>
    </row>
    <row r="65" spans="1:17" s="507" customFormat="1" ht="15">
      <c r="A65" s="2711" t="s">
        <v>2786</v>
      </c>
      <c r="B65" s="1358"/>
      <c r="C65" s="1571" t="str">
        <f>YEAR(C63)&amp;"-"&amp;ROUNDUP(MONTH(C63)/3,0)</f>
        <v>2018-2</v>
      </c>
      <c r="D65" s="1571" t="str">
        <f t="shared" ref="D65:O65" si="19">YEAR(D63)&amp;"-"&amp;ROUNDUP(MONTH(D63)/3,0)</f>
        <v>2018-1</v>
      </c>
      <c r="E65" s="1571" t="str">
        <f t="shared" si="19"/>
        <v>2017-4</v>
      </c>
      <c r="F65" s="1571" t="str">
        <f t="shared" si="19"/>
        <v>2017-3</v>
      </c>
      <c r="G65" s="1571" t="str">
        <f t="shared" si="19"/>
        <v>2017-2</v>
      </c>
      <c r="H65" s="1571" t="str">
        <f t="shared" si="19"/>
        <v>2017-1</v>
      </c>
      <c r="I65" s="1571" t="str">
        <f t="shared" si="19"/>
        <v>2016-4</v>
      </c>
      <c r="J65" s="1571" t="str">
        <f t="shared" si="19"/>
        <v>2016-3</v>
      </c>
      <c r="K65" s="1571" t="str">
        <f t="shared" si="19"/>
        <v>2016-2</v>
      </c>
      <c r="L65" s="1571" t="str">
        <f t="shared" si="19"/>
        <v>2016-1</v>
      </c>
      <c r="M65" s="1571" t="str">
        <f t="shared" si="19"/>
        <v>2015-4</v>
      </c>
      <c r="N65" s="1571" t="str">
        <f t="shared" si="19"/>
        <v>2015-3</v>
      </c>
      <c r="O65" s="1571" t="str">
        <f t="shared" si="19"/>
        <v>2015-2</v>
      </c>
      <c r="P65" s="506"/>
    </row>
    <row r="66" spans="1:17" s="116" customFormat="1" ht="30.75" customHeight="1">
      <c r="A66" s="2716" t="s">
        <v>2806</v>
      </c>
      <c r="B66" s="331" t="str">
        <f>"北京市平均增长率"&amp;TEXT(基准地价修正!P24,"0.00%")</f>
        <v>北京市平均增长率1.35%</v>
      </c>
      <c r="C66" s="602">
        <v>100</v>
      </c>
      <c r="D66" s="594"/>
      <c r="E66" s="594"/>
      <c r="F66" s="594"/>
      <c r="G66" s="594"/>
      <c r="H66" s="594"/>
      <c r="I66" s="594"/>
      <c r="J66" s="594"/>
      <c r="K66" s="594"/>
      <c r="L66" s="594"/>
      <c r="M66" s="1566"/>
      <c r="N66" s="1566"/>
      <c r="O66" s="1568"/>
      <c r="P66" s="503"/>
    </row>
    <row r="67" spans="1:17" s="116" customFormat="1" ht="15.75" thickBot="1">
      <c r="A67" s="514" t="s">
        <v>2589</v>
      </c>
      <c r="B67" s="515"/>
      <c r="C67" s="516"/>
      <c r="D67" s="517"/>
      <c r="E67" s="517"/>
      <c r="F67" s="517"/>
      <c r="G67" s="517"/>
      <c r="H67" s="517"/>
      <c r="I67" s="517"/>
      <c r="J67" s="517"/>
      <c r="K67" s="517"/>
      <c r="L67" s="517"/>
      <c r="M67" s="518"/>
      <c r="N67" s="518"/>
      <c r="O67" s="519"/>
      <c r="P67" s="503"/>
      <c r="Q67" s="503"/>
    </row>
    <row r="68" spans="1:17" s="116" customFormat="1" ht="15">
      <c r="A68" s="520" t="s">
        <v>2554</v>
      </c>
      <c r="B68" s="509"/>
      <c r="C68" s="521" t="s">
        <v>2656</v>
      </c>
      <c r="D68" s="522"/>
      <c r="E68" s="522"/>
      <c r="F68" s="522"/>
      <c r="G68" s="522"/>
      <c r="H68" s="522"/>
      <c r="I68" s="522"/>
      <c r="J68" s="522"/>
      <c r="K68" s="522"/>
      <c r="L68" s="523"/>
      <c r="M68" s="524"/>
      <c r="N68" s="1150"/>
      <c r="O68" s="1150"/>
      <c r="P68" s="525"/>
      <c r="Q68" s="503"/>
    </row>
    <row r="69" spans="1:17" s="116"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2592</v>
      </c>
      <c r="B70" s="527" t="s">
        <v>2558</v>
      </c>
      <c r="C70" s="529"/>
      <c r="D70" s="529"/>
      <c r="E70" s="529"/>
      <c r="F70" s="529"/>
      <c r="G70" s="529"/>
      <c r="H70" s="529"/>
      <c r="I70" s="529"/>
      <c r="J70" s="529"/>
      <c r="K70" s="530"/>
      <c r="L70" s="531"/>
      <c r="M70" s="532"/>
      <c r="N70" s="1151"/>
      <c r="O70" s="1151"/>
      <c r="P70" s="45"/>
      <c r="Q70" s="503"/>
    </row>
    <row r="71" spans="1:17" ht="15.75" thickBot="1">
      <c r="A71" s="533"/>
      <c r="B71" s="534"/>
      <c r="C71" s="535"/>
      <c r="D71" s="535"/>
      <c r="E71" s="535"/>
      <c r="F71" s="535"/>
      <c r="G71" s="535"/>
      <c r="H71" s="535"/>
      <c r="I71" s="535"/>
      <c r="J71" s="535"/>
      <c r="K71" s="535"/>
      <c r="L71" s="535"/>
      <c r="M71" s="536"/>
      <c r="N71" s="1152"/>
      <c r="O71" s="1152"/>
      <c r="P71" s="45"/>
      <c r="Q71" s="503"/>
    </row>
    <row r="72" spans="1:17" ht="27.75" thickTop="1">
      <c r="A72" s="533"/>
      <c r="B72" s="537" t="s">
        <v>2561</v>
      </c>
      <c r="C72" s="538"/>
      <c r="D72" s="538"/>
      <c r="E72" s="538"/>
      <c r="F72" s="538"/>
      <c r="G72" s="538"/>
      <c r="H72" s="538"/>
      <c r="I72" s="538"/>
      <c r="J72" s="538"/>
      <c r="K72" s="539"/>
      <c r="L72" s="540"/>
      <c r="M72" s="541"/>
      <c r="N72" s="1151"/>
      <c r="O72" s="1151"/>
      <c r="P72" s="45"/>
      <c r="Q72" s="503"/>
    </row>
    <row r="73" spans="1:17" ht="15.75" thickBot="1">
      <c r="A73" s="533"/>
      <c r="B73" s="542"/>
      <c r="C73" s="543"/>
      <c r="D73" s="543"/>
      <c r="E73" s="543"/>
      <c r="F73" s="543"/>
      <c r="G73" s="543"/>
      <c r="H73" s="543"/>
      <c r="I73" s="543"/>
      <c r="J73" s="543"/>
      <c r="K73" s="543"/>
      <c r="L73" s="543"/>
      <c r="M73" s="544"/>
      <c r="N73" s="1152"/>
      <c r="O73" s="1152"/>
      <c r="P73" s="45"/>
      <c r="Q73" s="503"/>
    </row>
    <row r="74" spans="1:17" ht="15.75" thickTop="1">
      <c r="A74" s="533"/>
      <c r="B74" s="545" t="s">
        <v>2562</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ht="15">
      <c r="A75" s="533"/>
      <c r="B75" s="547"/>
      <c r="C75" s="548"/>
      <c r="D75" s="548"/>
      <c r="E75" s="548"/>
      <c r="F75" s="548"/>
      <c r="G75" s="548"/>
      <c r="H75" s="548"/>
      <c r="I75" s="548"/>
      <c r="J75" s="548"/>
      <c r="K75" s="549"/>
      <c r="L75" s="550"/>
      <c r="M75" s="551"/>
      <c r="N75" s="1151"/>
      <c r="O75" s="1151"/>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2563</v>
      </c>
      <c r="B83" s="527" t="s">
        <v>2709</v>
      </c>
      <c r="C83" s="572" t="s">
        <v>2601</v>
      </c>
      <c r="D83" s="572" t="s">
        <v>2602</v>
      </c>
      <c r="E83" s="572" t="s">
        <v>2603</v>
      </c>
      <c r="F83" s="572" t="s">
        <v>2604</v>
      </c>
      <c r="G83" s="572" t="s">
        <v>2605</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75" thickTop="1">
      <c r="A85" s="533"/>
      <c r="B85" s="537" t="s">
        <v>2606</v>
      </c>
      <c r="C85" s="577" t="s">
        <v>2601</v>
      </c>
      <c r="D85" s="577" t="s">
        <v>2602</v>
      </c>
      <c r="E85" s="577" t="s">
        <v>2603</v>
      </c>
      <c r="F85" s="577" t="s">
        <v>2604</v>
      </c>
      <c r="G85" s="577" t="s">
        <v>2605</v>
      </c>
      <c r="H85" s="538"/>
      <c r="I85" s="538"/>
      <c r="J85" s="538"/>
      <c r="K85" s="539"/>
      <c r="L85" s="540"/>
      <c r="M85" s="541"/>
      <c r="N85" s="1151"/>
      <c r="O85" s="1151"/>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6" customFormat="1" ht="15.75" thickTop="1">
      <c r="A87" s="578"/>
      <c r="B87" s="537" t="s">
        <v>2789</v>
      </c>
      <c r="C87" s="572" t="s">
        <v>2601</v>
      </c>
      <c r="D87" s="572" t="s">
        <v>2602</v>
      </c>
      <c r="E87" s="572" t="s">
        <v>2603</v>
      </c>
      <c r="F87" s="572" t="s">
        <v>2604</v>
      </c>
      <c r="G87" s="572" t="s">
        <v>2605</v>
      </c>
      <c r="H87" s="577"/>
      <c r="I87" s="577"/>
      <c r="J87" s="577"/>
      <c r="K87" s="577"/>
      <c r="L87" s="697"/>
      <c r="M87" s="621"/>
      <c r="N87" s="1150"/>
      <c r="O87" s="1150"/>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6" customFormat="1" ht="27.75" thickTop="1">
      <c r="A89" s="578"/>
      <c r="B89" s="537" t="s">
        <v>2790</v>
      </c>
      <c r="C89" s="572" t="s">
        <v>2601</v>
      </c>
      <c r="D89" s="572" t="s">
        <v>2602</v>
      </c>
      <c r="E89" s="572" t="s">
        <v>2603</v>
      </c>
      <c r="F89" s="572" t="s">
        <v>2604</v>
      </c>
      <c r="G89" s="572" t="s">
        <v>2605</v>
      </c>
      <c r="H89" s="577"/>
      <c r="I89" s="577"/>
      <c r="J89" s="577"/>
      <c r="K89" s="577"/>
      <c r="L89" s="577"/>
      <c r="M89" s="621"/>
      <c r="N89" s="1150"/>
      <c r="O89" s="1150"/>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75" thickTop="1">
      <c r="A91" s="552"/>
      <c r="B91" s="537" t="s">
        <v>2658</v>
      </c>
      <c r="C91" s="572" t="s">
        <v>2601</v>
      </c>
      <c r="D91" s="572" t="s">
        <v>2602</v>
      </c>
      <c r="E91" s="572" t="s">
        <v>2603</v>
      </c>
      <c r="F91" s="572" t="s">
        <v>2604</v>
      </c>
      <c r="G91" s="572" t="s">
        <v>2605</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2807</v>
      </c>
      <c r="C93" s="659" t="s">
        <v>2679</v>
      </c>
      <c r="D93" s="659" t="s">
        <v>2680</v>
      </c>
      <c r="E93" s="659" t="s">
        <v>2681</v>
      </c>
      <c r="F93" s="659" t="s">
        <v>2682</v>
      </c>
      <c r="G93" s="659" t="s">
        <v>2683</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75" thickTop="1">
      <c r="A95" s="533"/>
      <c r="B95" s="537" t="str">
        <f>B27</f>
        <v>临街状况</v>
      </c>
      <c r="C95" s="538" t="s">
        <v>2791</v>
      </c>
      <c r="D95" s="538" t="s">
        <v>2792</v>
      </c>
      <c r="E95" s="538" t="s">
        <v>2793</v>
      </c>
      <c r="F95" s="538" t="s">
        <v>2794</v>
      </c>
      <c r="G95" s="538"/>
      <c r="H95" s="538"/>
      <c r="I95" s="538"/>
      <c r="J95" s="538"/>
      <c r="K95" s="539"/>
      <c r="L95" s="540"/>
      <c r="M95" s="541"/>
      <c r="N95" s="1151"/>
      <c r="O95" s="1151"/>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7.75" thickTop="1">
      <c r="A97" s="533"/>
      <c r="B97" s="537" t="s">
        <v>2695</v>
      </c>
      <c r="C97" s="553"/>
      <c r="D97" s="553"/>
      <c r="E97" s="553"/>
      <c r="F97" s="553"/>
      <c r="G97" s="553"/>
      <c r="H97" s="582"/>
      <c r="I97" s="582"/>
      <c r="J97" s="582"/>
      <c r="K97" s="583"/>
      <c r="L97" s="584"/>
      <c r="M97" s="585"/>
      <c r="N97" s="1151"/>
      <c r="O97" s="1151"/>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5.75" thickTop="1">
      <c r="A99" s="533"/>
      <c r="B99" s="537" t="s">
        <v>2754</v>
      </c>
      <c r="C99" s="582"/>
      <c r="D99" s="582"/>
      <c r="E99" s="582"/>
      <c r="F99" s="582"/>
      <c r="G99" s="582"/>
      <c r="H99" s="582"/>
      <c r="I99" s="582"/>
      <c r="J99" s="582"/>
      <c r="K99" s="583"/>
      <c r="L99" s="584"/>
      <c r="M99" s="585"/>
      <c r="N99" s="1151"/>
      <c r="O99" s="1151"/>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5.75" thickTop="1">
      <c r="A101" s="533"/>
      <c r="B101" s="545">
        <f>B31</f>
        <v>111</v>
      </c>
      <c r="C101" s="553"/>
      <c r="D101" s="553"/>
      <c r="E101" s="553"/>
      <c r="F101" s="553"/>
      <c r="G101" s="586"/>
      <c r="H101" s="586"/>
      <c r="I101" s="586"/>
      <c r="J101" s="586"/>
      <c r="K101" s="587"/>
      <c r="L101" s="588"/>
      <c r="M101" s="589"/>
      <c r="N101" s="1151"/>
      <c r="O101" s="1151"/>
      <c r="P101" s="45"/>
      <c r="Q101" s="503"/>
    </row>
    <row r="102" spans="1:17" ht="15.75" thickBot="1">
      <c r="A102" s="533"/>
      <c r="B102" s="568"/>
      <c r="C102" s="559"/>
      <c r="D102" s="535"/>
      <c r="E102" s="535"/>
      <c r="F102" s="535"/>
      <c r="G102" s="590"/>
      <c r="H102" s="590"/>
      <c r="I102" s="590"/>
      <c r="J102" s="590"/>
      <c r="K102" s="590"/>
      <c r="L102" s="590"/>
      <c r="M102" s="591"/>
      <c r="N102" s="1152"/>
      <c r="O102" s="1152"/>
      <c r="P102" s="45"/>
      <c r="Q102" s="503"/>
    </row>
    <row r="103" spans="1:17" ht="15" thickTop="1">
      <c r="A103" s="674"/>
      <c r="B103" s="537">
        <f>B32</f>
        <v>111</v>
      </c>
      <c r="C103" s="553"/>
      <c r="D103" s="553"/>
      <c r="E103" s="553"/>
      <c r="F103" s="553"/>
      <c r="G103" s="582"/>
      <c r="H103" s="582"/>
      <c r="I103" s="582"/>
      <c r="J103" s="582"/>
      <c r="K103" s="583"/>
      <c r="L103" s="584"/>
      <c r="M103" s="585"/>
      <c r="N103" s="1151"/>
      <c r="O103" s="1151"/>
      <c r="P103" s="45"/>
      <c r="Q103" s="503"/>
    </row>
    <row r="104" spans="1:17" ht="15.75" thickBot="1">
      <c r="A104" s="533"/>
      <c r="B104" s="542"/>
      <c r="C104" s="559"/>
      <c r="D104" s="559"/>
      <c r="E104" s="559"/>
      <c r="F104" s="559"/>
      <c r="G104" s="535"/>
      <c r="H104" s="535"/>
      <c r="I104" s="535"/>
      <c r="J104" s="535"/>
      <c r="K104" s="535"/>
      <c r="L104" s="535"/>
      <c r="M104" s="536"/>
      <c r="N104" s="1152"/>
      <c r="O104" s="1152"/>
      <c r="P104" s="45"/>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2567</v>
      </c>
      <c r="B107" s="527" t="s">
        <v>2795</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5" t="str">
        <f t="shared" si="25"/>
        <v>(含)-</v>
      </c>
      <c r="L107" s="1765" t="str">
        <f t="shared" si="25"/>
        <v>(含)-</v>
      </c>
      <c r="M107" s="1766" t="str">
        <f>M108&amp;"(含)"&amp;"-"&amp;P108</f>
        <v>(含)-</v>
      </c>
      <c r="N107" s="1151"/>
      <c r="O107" s="1151"/>
      <c r="P107" s="45"/>
      <c r="Q107" s="503"/>
    </row>
    <row r="108" spans="1:17" ht="15">
      <c r="A108" s="533"/>
      <c r="B108" s="545"/>
      <c r="C108" s="594"/>
      <c r="D108" s="594"/>
      <c r="E108" s="594"/>
      <c r="F108" s="594"/>
      <c r="G108" s="594"/>
      <c r="H108" s="594"/>
      <c r="I108" s="594"/>
      <c r="J108" s="595"/>
      <c r="K108" s="595"/>
      <c r="L108" s="596"/>
      <c r="M108" s="597"/>
      <c r="N108" s="1151"/>
      <c r="O108" s="1151"/>
      <c r="P108" s="45"/>
      <c r="Q108" s="503"/>
    </row>
    <row r="109" spans="1:17" ht="15.75"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2796</v>
      </c>
      <c r="C110" s="582"/>
      <c r="D110" s="582"/>
      <c r="E110" s="582"/>
      <c r="F110" s="582"/>
      <c r="G110" s="582"/>
      <c r="H110" s="582"/>
      <c r="I110" s="582"/>
      <c r="J110" s="582"/>
      <c r="K110" s="583"/>
      <c r="L110" s="584"/>
      <c r="M110" s="585"/>
      <c r="N110" s="1151"/>
      <c r="O110" s="1151"/>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5" thickTop="1">
      <c r="A112" s="592"/>
      <c r="B112" s="537" t="s">
        <v>2798</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2799</v>
      </c>
      <c r="C114" s="553"/>
      <c r="D114" s="553"/>
      <c r="E114" s="582"/>
      <c r="F114" s="582"/>
      <c r="G114" s="582"/>
      <c r="H114" s="582"/>
      <c r="I114" s="582"/>
      <c r="J114" s="582"/>
      <c r="K114" s="583"/>
      <c r="L114" s="584"/>
      <c r="M114" s="585"/>
      <c r="N114" s="1151"/>
      <c r="O114" s="1151"/>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5" thickTop="1">
      <c r="A116" s="598"/>
      <c r="B116" s="537">
        <f>B38</f>
        <v>111</v>
      </c>
      <c r="C116" s="553"/>
      <c r="D116" s="553"/>
      <c r="E116" s="553"/>
      <c r="F116" s="553"/>
      <c r="G116" s="553"/>
      <c r="H116" s="582"/>
      <c r="I116" s="582"/>
      <c r="J116" s="582"/>
      <c r="K116" s="583"/>
      <c r="L116" s="584"/>
      <c r="M116" s="585"/>
      <c r="N116" s="1151"/>
      <c r="O116" s="1151"/>
      <c r="P116" s="45"/>
      <c r="Q116" s="503"/>
    </row>
    <row r="117" spans="1:17" ht="15.75" thickBot="1">
      <c r="A117" s="533"/>
      <c r="B117" s="542"/>
      <c r="C117" s="559"/>
      <c r="D117" s="535"/>
      <c r="E117" s="535"/>
      <c r="F117" s="535"/>
      <c r="G117" s="535"/>
      <c r="H117" s="535"/>
      <c r="I117" s="535"/>
      <c r="J117" s="535"/>
      <c r="K117" s="535"/>
      <c r="L117" s="535"/>
      <c r="M117" s="536"/>
      <c r="N117" s="1152"/>
      <c r="O117" s="1152"/>
      <c r="P117" s="45"/>
      <c r="Q117" s="503"/>
    </row>
    <row r="118" spans="1:17" ht="15" thickTop="1">
      <c r="A118" s="598"/>
      <c r="B118" s="537">
        <f>B39</f>
        <v>111</v>
      </c>
      <c r="C118" s="553"/>
      <c r="D118" s="553"/>
      <c r="E118" s="553"/>
      <c r="F118" s="553"/>
      <c r="G118" s="582"/>
      <c r="H118" s="582"/>
      <c r="I118" s="582"/>
      <c r="J118" s="582"/>
      <c r="K118" s="583"/>
      <c r="L118" s="584"/>
      <c r="M118" s="585"/>
      <c r="N118" s="1151"/>
      <c r="O118" s="1151"/>
      <c r="P118" s="45"/>
      <c r="Q118" s="503"/>
    </row>
    <row r="119" spans="1:17" ht="15.75" thickBot="1">
      <c r="A119" s="533"/>
      <c r="B119" s="542"/>
      <c r="C119" s="559"/>
      <c r="D119" s="559"/>
      <c r="E119" s="559"/>
      <c r="F119" s="559"/>
      <c r="G119" s="535"/>
      <c r="H119" s="535"/>
      <c r="I119" s="535"/>
      <c r="J119" s="535"/>
      <c r="K119" s="535"/>
      <c r="L119" s="535"/>
      <c r="M119" s="536"/>
      <c r="N119" s="1152"/>
      <c r="O119" s="1152"/>
      <c r="P119" s="45"/>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80" zoomScaleNormal="80" zoomScaleSheetLayoutView="96" workbookViewId="0">
      <selection activeCell="E24" sqref="E24"/>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1" customWidth="1"/>
    <col min="33" max="36" width="9.375" style="2796" customWidth="1"/>
    <col min="37" max="38" width="9.375" style="2720" customWidth="1"/>
    <col min="39" max="16384" width="12" style="2720"/>
  </cols>
  <sheetData>
    <row r="1" spans="1:36" ht="28.5">
      <c r="A1" s="239" t="s">
        <v>2808</v>
      </c>
      <c r="B1" s="240"/>
      <c r="C1" s="244" t="s">
        <v>2809</v>
      </c>
      <c r="D1" s="387">
        <f>SUM(D29:D30,D33:D39)</f>
        <v>0</v>
      </c>
      <c r="E1" s="2717"/>
      <c r="F1" s="2717"/>
      <c r="G1" s="2717"/>
      <c r="H1" s="2717"/>
      <c r="I1" s="2717"/>
      <c r="J1" s="2717"/>
      <c r="K1" s="1369"/>
      <c r="L1" s="2718" t="s">
        <v>2810</v>
      </c>
      <c r="M1" s="1079">
        <f>SUMPRODUCT((区片价!B5:B9=I2)*(区片价!C3:F3=E2)*(区片价!C5:F9))</f>
        <v>0</v>
      </c>
      <c r="N1" s="1082">
        <f>SUMPRODUCT((因素修正幅度!B5:B9=I2)*(因素修正幅度!C3:F3=E2)*(因素修正幅度!C5:F9))</f>
        <v>0</v>
      </c>
      <c r="O1" s="2719"/>
      <c r="P1" s="2719"/>
      <c r="Q1" s="1369"/>
      <c r="R1" s="1601" t="s">
        <v>2811</v>
      </c>
      <c r="S1" s="1601" t="s">
        <v>2812</v>
      </c>
      <c r="T1" s="1601" t="s">
        <v>2813</v>
      </c>
      <c r="U1" s="1601" t="s">
        <v>2814</v>
      </c>
      <c r="V1" s="1601" t="s">
        <v>2815</v>
      </c>
      <c r="W1" s="1605"/>
      <c r="X1" s="1605"/>
      <c r="Y1" s="1605"/>
      <c r="Z1" s="1605"/>
      <c r="AA1" s="1605"/>
      <c r="AB1" s="1605"/>
      <c r="AC1" s="1606"/>
      <c r="AD1" s="1607"/>
      <c r="AE1" s="1607"/>
      <c r="AF1" s="1607"/>
      <c r="AG1" s="1607"/>
      <c r="AH1" s="1607"/>
      <c r="AI1" s="1607"/>
      <c r="AJ1" s="1608"/>
    </row>
    <row r="2" spans="1:36" ht="15.75">
      <c r="A2" s="244" t="s">
        <v>2816</v>
      </c>
      <c r="B2" s="247">
        <f ca="1">C26</f>
        <v>0</v>
      </c>
      <c r="C2" s="2721" t="s">
        <v>2817</v>
      </c>
      <c r="D2" s="2722" t="s">
        <v>2818</v>
      </c>
      <c r="E2" s="2723" t="s">
        <v>27</v>
      </c>
      <c r="F2" s="2722" t="s">
        <v>2819</v>
      </c>
      <c r="G2" s="2724" t="str">
        <f>IF(E2="商业",项目基本情况!B37,IF(E2="办公",项目基本情况!C37,IF(E2="住宅",项目基本情况!D37,项目基本情况!E37)))</f>
        <v>六级</v>
      </c>
      <c r="H2" s="2722" t="s">
        <v>2820</v>
      </c>
      <c r="I2" s="2724" t="str">
        <f>IF(E2="商业",项目基本情况!B38,IF(E2="办公",项目基本情况!C38,IF(E2="住宅",项目基本情况!D38,项目基本情况!E38)))</f>
        <v>Ⅵ-亦1</v>
      </c>
      <c r="J2" s="2725"/>
      <c r="K2" s="1369"/>
      <c r="L2" s="2726" t="s">
        <v>2821</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f ca="1">ROUND($C$5*$C$18*$C$19*$C$20*S2*$C$24,0)</f>
        <v>24775</v>
      </c>
      <c r="U2" s="1602"/>
      <c r="V2" s="1601">
        <f ca="1">ROUND(T2*U2/10000,0)</f>
        <v>0</v>
      </c>
      <c r="W2" s="1605"/>
      <c r="X2" s="1605"/>
      <c r="Y2" s="1605"/>
      <c r="Z2" s="1605"/>
      <c r="AA2" s="1605"/>
      <c r="AB2" s="1605"/>
      <c r="AC2" s="1606"/>
      <c r="AD2" s="1607"/>
      <c r="AE2" s="1607"/>
      <c r="AF2" s="1607"/>
      <c r="AG2" s="1607"/>
      <c r="AH2" s="1607"/>
      <c r="AI2" s="1607"/>
      <c r="AJ2" s="1608"/>
    </row>
    <row r="3" spans="1:36" ht="25.5">
      <c r="A3" s="246" t="s">
        <v>2822</v>
      </c>
      <c r="B3" s="247" t="e">
        <f ca="1">ROUND(B2*10000/D1,0)</f>
        <v>#DIV/0!</v>
      </c>
      <c r="C3" s="2721" t="s">
        <v>2823</v>
      </c>
      <c r="D3" s="2722" t="s">
        <v>2824</v>
      </c>
      <c r="E3" s="2727" t="s">
        <v>3373</v>
      </c>
      <c r="F3" s="2728" t="s">
        <v>2825</v>
      </c>
      <c r="G3" s="912">
        <f>IF(F3="宗地容积率",'数据-汇总表'!I4,IF(F3="估价对象容积率",'数据-汇总表'!I6,'数据-汇总表'!I7))</f>
        <v>4.59</v>
      </c>
      <c r="H3" s="197" t="s">
        <v>2826</v>
      </c>
      <c r="I3" s="943"/>
      <c r="J3" s="2725" t="s">
        <v>2827</v>
      </c>
      <c r="K3" s="1369"/>
      <c r="L3" s="2726" t="s">
        <v>2828</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1.3371999999999999</v>
      </c>
      <c r="T3" s="1601">
        <f t="shared" ref="T3:T16" ca="1" si="0">ROUND($C$5*$C$18*$C$19*$C$20*S3*$C$24,0)</f>
        <v>17784</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324"/>
      <c r="B4" s="3325"/>
      <c r="C4" s="3325"/>
      <c r="D4" s="3326"/>
      <c r="E4" s="3326"/>
      <c r="F4" s="3326"/>
      <c r="G4" s="3326"/>
      <c r="H4" s="3326"/>
      <c r="I4" s="3326"/>
      <c r="J4" s="3327"/>
      <c r="K4" s="1369"/>
      <c r="L4" s="2726" t="s">
        <v>2829</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f t="shared" ca="1" si="0"/>
        <v>14347</v>
      </c>
      <c r="U4" s="1602"/>
      <c r="V4" s="1601">
        <f t="shared" ca="1" si="1"/>
        <v>0</v>
      </c>
      <c r="W4" s="1605"/>
      <c r="X4" s="1605"/>
      <c r="Y4" s="1605"/>
      <c r="Z4" s="1605"/>
      <c r="AA4" s="1605"/>
      <c r="AB4" s="1605"/>
      <c r="AC4" s="1606"/>
      <c r="AD4" s="1607"/>
      <c r="AE4" s="1607"/>
      <c r="AF4" s="1607"/>
      <c r="AG4" s="1607"/>
      <c r="AH4" s="1607"/>
      <c r="AI4" s="1607"/>
      <c r="AJ4" s="1608"/>
    </row>
    <row r="5" spans="1:36" s="2738" customFormat="1" ht="15.75" thickBot="1">
      <c r="A5" s="2729" t="s">
        <v>807</v>
      </c>
      <c r="B5" s="2730" t="s">
        <v>2830</v>
      </c>
      <c r="C5" s="913">
        <f>ROUND(IF(E2="商业",IF(F16="增加",C6*C7+C16,C6*C7-C16),IF(E2="住宅",IF(F16="增加",C6*C12+C16,C6*C12-C16),IF(F16="增加",C6+C16,C6-C16))),0)</f>
        <v>9750</v>
      </c>
      <c r="D5" s="1786">
        <f>ROUND(IF(E2="商业",IF(F16="增加",C6+C16,C6-C16)),0)</f>
        <v>0</v>
      </c>
      <c r="E5" s="2731"/>
      <c r="F5" s="2731"/>
      <c r="G5" s="2732"/>
      <c r="H5" s="2732"/>
      <c r="I5" s="2732"/>
      <c r="J5" s="2733"/>
      <c r="K5" s="2734"/>
      <c r="L5" s="2726" t="s">
        <v>2831</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0.86560000000000004</v>
      </c>
      <c r="T5" s="1601">
        <f t="shared" ca="1" si="0"/>
        <v>11512</v>
      </c>
      <c r="U5" s="1602"/>
      <c r="V5" s="1601">
        <f t="shared" ca="1" si="1"/>
        <v>0</v>
      </c>
      <c r="W5" s="1605"/>
      <c r="X5" s="1605"/>
      <c r="Y5" s="1605"/>
      <c r="Z5" s="1605"/>
      <c r="AA5" s="1605"/>
      <c r="AB5" s="1605"/>
      <c r="AC5" s="2735"/>
      <c r="AD5" s="2736"/>
      <c r="AE5" s="2736"/>
      <c r="AF5" s="2736"/>
      <c r="AG5" s="2736"/>
      <c r="AH5" s="2736"/>
      <c r="AI5" s="2736"/>
      <c r="AJ5" s="2737"/>
    </row>
    <row r="6" spans="1:36" ht="15.75" thickBot="1">
      <c r="A6" s="2739" t="s">
        <v>2832</v>
      </c>
      <c r="B6" s="2740" t="s">
        <v>2833</v>
      </c>
      <c r="C6" s="914">
        <f>SUMIF(L1:L12,G2,M1:M12)</f>
        <v>9750</v>
      </c>
      <c r="D6" s="2741" t="s">
        <v>2834</v>
      </c>
      <c r="E6" s="2742"/>
      <c r="F6" s="2742"/>
      <c r="G6" s="2743"/>
      <c r="H6" s="2743"/>
      <c r="I6" s="2743"/>
      <c r="J6" s="2744"/>
      <c r="K6" s="1841"/>
      <c r="L6" s="2726" t="s">
        <v>2835</v>
      </c>
      <c r="M6" s="1080">
        <f>SUMPRODUCT((区片价!B110:B157=I2)*(区片价!C3:F3=E2)*(区片价!C110:F157))</f>
        <v>9750</v>
      </c>
      <c r="N6" s="1082">
        <f>SUMPRODUCT((因素修正幅度!B110:B157=I2)*(因素修正幅度!C3:F3=E2)*(因素修正幅度!C110:F157))</f>
        <v>0.126</v>
      </c>
      <c r="O6" s="1369"/>
      <c r="P6" s="1369"/>
      <c r="Q6" s="1369"/>
      <c r="R6" s="1601">
        <v>5</v>
      </c>
      <c r="S6" s="1601">
        <f>ROUND(IF(G3&gt;1,IF(R6&lt;7,SUMPRODUCT((B93:B98=R6)*(C92:N92=G2)*(C93:N98)),SUMIF(C92:N92,G2,C100:N100)),IF(R6&lt;7,SUMPRODUCT((B102:B107=R6)*(C92:N92=G2)*(C102:N107)),SUMIF(C92:N92,G2,C109:N109))),4)</f>
        <v>0.73709999999999998</v>
      </c>
      <c r="T6" s="1601">
        <f t="shared" ca="1" si="0"/>
        <v>9803</v>
      </c>
      <c r="U6" s="1602"/>
      <c r="V6" s="1601">
        <f t="shared" ca="1" si="1"/>
        <v>0</v>
      </c>
      <c r="W6" s="1605"/>
      <c r="X6" s="1605"/>
      <c r="Y6" s="1605"/>
      <c r="Z6" s="1605"/>
      <c r="AA6" s="1605"/>
      <c r="AB6" s="1605"/>
      <c r="AC6" s="2735"/>
      <c r="AD6" s="2736"/>
      <c r="AE6" s="2736"/>
      <c r="AF6" s="2736"/>
      <c r="AG6" s="2736"/>
      <c r="AH6" s="2736"/>
      <c r="AI6" s="2736"/>
      <c r="AJ6" s="2737"/>
    </row>
    <row r="7" spans="1:36" ht="24">
      <c r="A7" s="3328" t="str">
        <f>IF(E2="商业",IF(C8="不临58条商业街","",2),"")</f>
        <v/>
      </c>
      <c r="B7" s="2745" t="s">
        <v>2836</v>
      </c>
      <c r="C7" s="915" t="e">
        <f>IF(C8="不临58条商业街",1,ROUND(1+(1.6*E8+1.2*E9+0.8*E10+0.4*E11)*C9,4))</f>
        <v>#DIV/0!</v>
      </c>
      <c r="D7" s="2746" t="s">
        <v>2837</v>
      </c>
      <c r="E7" s="944"/>
      <c r="F7" s="2747"/>
      <c r="G7" s="2748"/>
      <c r="H7" s="2748"/>
      <c r="I7" s="2748"/>
      <c r="J7" s="2749"/>
      <c r="K7" s="1841"/>
      <c r="L7" s="2726" t="s">
        <v>2838</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0.6482</v>
      </c>
      <c r="T7" s="1601">
        <f t="shared" ca="1" si="0"/>
        <v>8621</v>
      </c>
      <c r="U7" s="1602"/>
      <c r="V7" s="1601">
        <f t="shared" ca="1" si="1"/>
        <v>0</v>
      </c>
      <c r="W7" s="1815" t="s">
        <v>2839</v>
      </c>
      <c r="X7" s="1603" t="str">
        <f>G2</f>
        <v>六级</v>
      </c>
      <c r="Y7" s="1603" t="s">
        <v>2840</v>
      </c>
      <c r="Z7" s="1604">
        <f>G3</f>
        <v>4.59</v>
      </c>
      <c r="AA7" s="1605"/>
      <c r="AB7" s="1605"/>
      <c r="AC7" s="1606"/>
      <c r="AD7" s="1607"/>
      <c r="AE7" s="1607"/>
      <c r="AF7" s="1607"/>
      <c r="AG7" s="1607"/>
      <c r="AH7" s="1607"/>
      <c r="AI7" s="1607"/>
      <c r="AJ7" s="1608"/>
    </row>
    <row r="8" spans="1:36" ht="15">
      <c r="A8" s="3329"/>
      <c r="B8" s="197" t="s">
        <v>2841</v>
      </c>
      <c r="C8" s="2750"/>
      <c r="D8" s="916" t="s">
        <v>139</v>
      </c>
      <c r="E8" s="917" t="e">
        <f>ROUND(C11/E7,4)</f>
        <v>#DIV/0!</v>
      </c>
      <c r="F8" s="2751" t="s">
        <v>2842</v>
      </c>
      <c r="G8" s="2752"/>
      <c r="H8" s="2752"/>
      <c r="I8" s="2752"/>
      <c r="J8" s="2753"/>
      <c r="K8" s="1369"/>
      <c r="L8" s="2726" t="s">
        <v>2843</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321" t="s">
        <v>2844</v>
      </c>
      <c r="X8" s="3322"/>
      <c r="Y8" s="1609" t="s">
        <v>2845</v>
      </c>
      <c r="Z8" s="1609" t="s">
        <v>2846</v>
      </c>
      <c r="AA8" s="1609" t="s">
        <v>2847</v>
      </c>
      <c r="AB8" s="1609" t="s">
        <v>2848</v>
      </c>
      <c r="AC8" s="1609" t="s">
        <v>2849</v>
      </c>
      <c r="AD8" s="1609" t="s">
        <v>2850</v>
      </c>
      <c r="AE8" s="1609" t="s">
        <v>2851</v>
      </c>
      <c r="AF8" s="1609" t="s">
        <v>2852</v>
      </c>
      <c r="AG8" s="1609" t="s">
        <v>2853</v>
      </c>
      <c r="AH8" s="1609" t="s">
        <v>2854</v>
      </c>
      <c r="AI8" s="1609" t="s">
        <v>2855</v>
      </c>
      <c r="AJ8" s="1609" t="s">
        <v>2856</v>
      </c>
    </row>
    <row r="9" spans="1:36" ht="15">
      <c r="A9" s="3329"/>
      <c r="B9" s="197" t="s">
        <v>2857</v>
      </c>
      <c r="C9" s="918">
        <f>SUMIF(修正!C59:C119,C8,修正!E59:E119)</f>
        <v>0</v>
      </c>
      <c r="D9" s="199" t="s">
        <v>140</v>
      </c>
      <c r="E9" s="199" t="e">
        <f>ROUND(C11/E7,4)</f>
        <v>#DIV/0!</v>
      </c>
      <c r="F9" s="2751" t="s">
        <v>2858</v>
      </c>
      <c r="G9" s="2752"/>
      <c r="H9" s="2752"/>
      <c r="I9" s="2752"/>
      <c r="J9" s="2753"/>
      <c r="K9" s="1369"/>
      <c r="L9" s="2726" t="s">
        <v>2859</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323" t="s">
        <v>2860</v>
      </c>
      <c r="X9" s="1610" t="s">
        <v>2861</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29"/>
      <c r="B10" s="197" t="s">
        <v>2862</v>
      </c>
      <c r="C10" s="199">
        <f>SUMIF(修正!C59:C119,C8,修正!F59:F119)</f>
        <v>0</v>
      </c>
      <c r="D10" s="199" t="s">
        <v>141</v>
      </c>
      <c r="E10" s="199" t="e">
        <f>ROUND(C11/E7,4)</f>
        <v>#DIV/0!</v>
      </c>
      <c r="F10" s="2751" t="s">
        <v>2863</v>
      </c>
      <c r="G10" s="2752"/>
      <c r="H10" s="2752"/>
      <c r="I10" s="2752"/>
      <c r="J10" s="2753"/>
      <c r="K10" s="1369"/>
      <c r="L10" s="2726" t="s">
        <v>2864</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323"/>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29"/>
      <c r="B11" s="2754" t="s">
        <v>2865</v>
      </c>
      <c r="C11" s="919">
        <f>C10/4</f>
        <v>0</v>
      </c>
      <c r="D11" s="919" t="s">
        <v>142</v>
      </c>
      <c r="E11" s="919" t="e">
        <f>ROUND(C11/E7,4)</f>
        <v>#DIV/0!</v>
      </c>
      <c r="F11" s="2755" t="s">
        <v>2866</v>
      </c>
      <c r="G11" s="2756"/>
      <c r="H11" s="2756"/>
      <c r="I11" s="2756"/>
      <c r="J11" s="2757"/>
      <c r="K11" s="1369"/>
      <c r="L11" s="2726" t="s">
        <v>2867</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323" t="s">
        <v>2868</v>
      </c>
      <c r="X11" s="1613" t="s">
        <v>2869</v>
      </c>
      <c r="Y11" s="1614">
        <f>$G$3</f>
        <v>4.59</v>
      </c>
      <c r="Z11" s="1614">
        <f t="shared" ref="Z11:AJ11" si="3">$G$3</f>
        <v>4.59</v>
      </c>
      <c r="AA11" s="1614">
        <f t="shared" si="3"/>
        <v>4.59</v>
      </c>
      <c r="AB11" s="1614">
        <f t="shared" si="3"/>
        <v>4.59</v>
      </c>
      <c r="AC11" s="1614">
        <f t="shared" si="3"/>
        <v>4.59</v>
      </c>
      <c r="AD11" s="1614">
        <f t="shared" si="3"/>
        <v>4.59</v>
      </c>
      <c r="AE11" s="1614">
        <f t="shared" si="3"/>
        <v>4.59</v>
      </c>
      <c r="AF11" s="1614">
        <f t="shared" si="3"/>
        <v>4.59</v>
      </c>
      <c r="AG11" s="1614">
        <f t="shared" si="3"/>
        <v>4.59</v>
      </c>
      <c r="AH11" s="1614">
        <f t="shared" si="3"/>
        <v>4.59</v>
      </c>
      <c r="AI11" s="1614">
        <f t="shared" si="3"/>
        <v>4.59</v>
      </c>
      <c r="AJ11" s="1614">
        <f t="shared" si="3"/>
        <v>4.59</v>
      </c>
    </row>
    <row r="12" spans="1:36" ht="25.5" thickBot="1">
      <c r="A12" s="3328" t="s">
        <v>2870</v>
      </c>
      <c r="B12" s="2758" t="s">
        <v>2871</v>
      </c>
      <c r="C12" s="915">
        <f>ROUND(C15*D15*E15*F15*G15*H15*I15*J15,4)</f>
        <v>1</v>
      </c>
      <c r="D12" s="2759" t="s">
        <v>2872</v>
      </c>
      <c r="E12" s="2760"/>
      <c r="F12" s="2760"/>
      <c r="G12" s="2761"/>
      <c r="H12" s="2761"/>
      <c r="I12" s="2761"/>
      <c r="J12" s="2762"/>
      <c r="K12" s="1369"/>
      <c r="L12" s="2763" t="s">
        <v>2873</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323"/>
      <c r="X12" s="1615" t="s">
        <v>2874</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30"/>
      <c r="B13" s="2764" t="s">
        <v>2875</v>
      </c>
      <c r="C13" s="2765" t="s">
        <v>2876</v>
      </c>
      <c r="D13" s="1807" t="s">
        <v>2877</v>
      </c>
      <c r="E13" s="1807" t="s">
        <v>2878</v>
      </c>
      <c r="F13" s="30" t="s">
        <v>2879</v>
      </c>
      <c r="G13" s="2766" t="s">
        <v>2880</v>
      </c>
      <c r="H13" s="2766" t="s">
        <v>2880</v>
      </c>
      <c r="I13" s="2766" t="s">
        <v>2880</v>
      </c>
      <c r="J13" s="2767" t="s">
        <v>2880</v>
      </c>
      <c r="K13" s="1369"/>
      <c r="L13" s="1369"/>
      <c r="M13" s="1369"/>
      <c r="N13" s="1369"/>
      <c r="O13" s="1369"/>
      <c r="P13" s="1369"/>
      <c r="Q13" s="1369"/>
      <c r="R13" s="1601">
        <v>12</v>
      </c>
      <c r="S13" s="1602"/>
      <c r="T13" s="1601">
        <f t="shared" ca="1" si="0"/>
        <v>0</v>
      </c>
      <c r="U13" s="1602"/>
      <c r="V13" s="1601">
        <f t="shared" ca="1" si="1"/>
        <v>0</v>
      </c>
      <c r="W13" s="3323"/>
      <c r="X13" s="1615"/>
      <c r="Y13" s="1612">
        <f>(-0.163*(Y12^2)-0.59*Y12+7617)*(10^(-4))/Y11</f>
        <v>0.16594771241830067</v>
      </c>
      <c r="Z13" s="1612">
        <f t="shared" ref="Z13:AJ13" si="5">(-0.163*(Z12^2)-0.59*Z12+7617)*(10^(-4))/Z11</f>
        <v>0.16594771241830067</v>
      </c>
      <c r="AA13" s="1612">
        <f t="shared" si="5"/>
        <v>0.16594771241830067</v>
      </c>
      <c r="AB13" s="1612">
        <f t="shared" si="5"/>
        <v>0.16594771241830067</v>
      </c>
      <c r="AC13" s="1612">
        <f t="shared" si="5"/>
        <v>0.16594771241830067</v>
      </c>
      <c r="AD13" s="1612">
        <f t="shared" si="5"/>
        <v>0.16594771241830067</v>
      </c>
      <c r="AE13" s="1612">
        <f t="shared" si="5"/>
        <v>0.16594771241830067</v>
      </c>
      <c r="AF13" s="1612">
        <f t="shared" si="5"/>
        <v>0.16594771241830067</v>
      </c>
      <c r="AG13" s="1612">
        <f t="shared" si="5"/>
        <v>0.16594771241830067</v>
      </c>
      <c r="AH13" s="1612">
        <f t="shared" si="5"/>
        <v>0.16594771241830067</v>
      </c>
      <c r="AI13" s="1612">
        <f t="shared" si="5"/>
        <v>0.16594771241830067</v>
      </c>
      <c r="AJ13" s="1612">
        <f t="shared" si="5"/>
        <v>0.16594771241830067</v>
      </c>
    </row>
    <row r="14" spans="1:36" ht="15">
      <c r="A14" s="3330"/>
      <c r="B14" s="2768"/>
      <c r="C14" s="2769"/>
      <c r="D14" s="2770"/>
      <c r="E14" s="2770"/>
      <c r="F14" s="2771"/>
      <c r="G14" s="2772" t="s">
        <v>2881</v>
      </c>
      <c r="H14" s="2773"/>
      <c r="I14" s="2774"/>
      <c r="J14" s="2775"/>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331"/>
      <c r="B15" s="2776" t="s">
        <v>2882</v>
      </c>
      <c r="C15" s="228">
        <f>IF(C14="有",1.1,1)</f>
        <v>1</v>
      </c>
      <c r="D15" s="228">
        <f>IF(D14="有",1.1,1)</f>
        <v>1</v>
      </c>
      <c r="E15" s="228">
        <f>IF(E14="有",1.1,1)</f>
        <v>1</v>
      </c>
      <c r="F15" s="228">
        <f>IF(F14="500米范围内",1.2,IF(F14="500-1000米",1.1,1))</f>
        <v>1</v>
      </c>
      <c r="G15" s="945">
        <v>1</v>
      </c>
      <c r="H15" s="945">
        <v>1</v>
      </c>
      <c r="I15" s="945">
        <v>1</v>
      </c>
      <c r="J15" s="946">
        <v>1</v>
      </c>
      <c r="K15" s="1369"/>
      <c r="L15" s="2777" t="s">
        <v>2818</v>
      </c>
      <c r="M15" s="916" t="s">
        <v>2883</v>
      </c>
      <c r="N15" s="916" t="s">
        <v>2884</v>
      </c>
      <c r="O15" s="916" t="s">
        <v>2885</v>
      </c>
      <c r="P15" s="2778" t="s">
        <v>2886</v>
      </c>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
      <c r="A16" s="3328" t="s">
        <v>2887</v>
      </c>
      <c r="B16" s="2745" t="s">
        <v>2888</v>
      </c>
      <c r="C16" s="1800">
        <f>ROUND(SUM(G17:J17)/C17,0)</f>
        <v>0</v>
      </c>
      <c r="D16" s="2779" t="s">
        <v>2889</v>
      </c>
      <c r="E16" s="2780"/>
      <c r="F16" s="2781"/>
      <c r="G16" s="2782"/>
      <c r="H16" s="2782"/>
      <c r="I16" s="2782"/>
      <c r="J16" s="2783"/>
      <c r="K16" s="1369"/>
      <c r="L16" s="2784" t="s">
        <v>2890</v>
      </c>
      <c r="M16" s="918">
        <v>0.25</v>
      </c>
      <c r="N16" s="918">
        <v>0.2</v>
      </c>
      <c r="O16" s="918">
        <v>0.15</v>
      </c>
      <c r="P16" s="1368">
        <v>0.1</v>
      </c>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13.5" thickBot="1">
      <c r="A17" s="3329"/>
      <c r="B17" s="2785" t="s">
        <v>2891</v>
      </c>
      <c r="C17" s="920">
        <f>SUMPRODUCT((修正!A2:A5=E2)*(修正!B1:M1=G2)*(修正!B2:M5))</f>
        <v>2.5</v>
      </c>
      <c r="D17" s="2786" t="s">
        <v>2892</v>
      </c>
      <c r="E17" s="919" t="str">
        <f>IF(OR(G2="八级",G2="九级",G2="十级",G2="十一级",G2="十二级"),"五通一平","七通一平")</f>
        <v>七通一平</v>
      </c>
      <c r="F17" s="920" t="s">
        <v>2893</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9"/>
      <c r="L17" s="2787" t="s">
        <v>2894</v>
      </c>
      <c r="M17" s="210">
        <f ca="1">ROUND($E$20*(1+M16),3)</f>
        <v>5.3999999999999999E-2</v>
      </c>
      <c r="N17" s="210">
        <f ca="1">ROUND($E$20*(1+N16),3)</f>
        <v>5.1999999999999998E-2</v>
      </c>
      <c r="O17" s="210">
        <f ca="1">ROUND($E$20*(1+O16),3)</f>
        <v>0.05</v>
      </c>
      <c r="P17" s="1372">
        <f ca="1">ROUND($E$20*(1+P16),3)</f>
        <v>4.8000000000000001E-2</v>
      </c>
      <c r="Q17" s="1369"/>
      <c r="R17" s="1369"/>
      <c r="S17" s="1369"/>
      <c r="T17" s="1369"/>
      <c r="U17" s="1369"/>
      <c r="V17" s="1369"/>
      <c r="W17" s="1369"/>
      <c r="X17" s="1369"/>
      <c r="Y17" s="1369"/>
      <c r="Z17" s="1370"/>
      <c r="AE17" s="2788"/>
      <c r="AF17" s="2788"/>
      <c r="AG17" s="2720"/>
      <c r="AH17" s="2720"/>
      <c r="AI17" s="2720"/>
      <c r="AJ17" s="2720"/>
    </row>
    <row r="18" spans="1:37" s="2738" customFormat="1" ht="15.75" thickBot="1">
      <c r="A18" s="2789" t="s">
        <v>808</v>
      </c>
      <c r="B18" s="2790" t="s">
        <v>2895</v>
      </c>
      <c r="C18" s="922">
        <f>SUMIF(修正!C18:C39,E3,修正!E18:E39)</f>
        <v>1</v>
      </c>
      <c r="D18" s="2791"/>
      <c r="E18" s="2792"/>
      <c r="F18" s="2793"/>
      <c r="G18" s="2794"/>
      <c r="H18" s="2794"/>
      <c r="I18" s="2794"/>
      <c r="J18" s="2795"/>
      <c r="K18" s="1376"/>
      <c r="O18" s="1374"/>
      <c r="P18" s="1374"/>
      <c r="Q18" s="1375"/>
      <c r="R18" s="1375"/>
      <c r="S18" s="1375"/>
      <c r="T18" s="1370"/>
      <c r="U18" s="1370"/>
      <c r="V18" s="1370"/>
      <c r="W18" s="1369"/>
      <c r="X18" s="1369"/>
      <c r="Y18" s="1369"/>
      <c r="Z18" s="1376"/>
      <c r="AA18" s="1377"/>
      <c r="AB18" s="1377"/>
      <c r="AC18" s="1377"/>
      <c r="AD18" s="1377"/>
      <c r="AE18" s="1371"/>
      <c r="AF18" s="1371"/>
      <c r="AG18" s="2796"/>
      <c r="AH18" s="2796"/>
      <c r="AI18" s="2796"/>
    </row>
    <row r="19" spans="1:37" s="2738" customFormat="1" ht="27.75" thickBot="1">
      <c r="A19" s="2789" t="s">
        <v>809</v>
      </c>
      <c r="B19" s="2790" t="s">
        <v>2896</v>
      </c>
      <c r="C19" s="923">
        <f>ROUND(IF(H19="按公示增长率计算",SUMPRODUCT((地价!A3:A22=YEAR(G19)&amp;"-"&amp;ROUNDUP(MONTH(G19)/3,0))*(地价!X2:AB2=E2)*(地价!X3:AB22)),IF(H19="地价指数",M20/M19,(1+I19)^O19)),4)</f>
        <v>1.2907</v>
      </c>
      <c r="D19" s="2797" t="s">
        <v>2897</v>
      </c>
      <c r="E19" s="924">
        <v>41640</v>
      </c>
      <c r="F19" s="2797" t="s">
        <v>2898</v>
      </c>
      <c r="G19" s="925">
        <f>'数据-取费表'!B2</f>
        <v>43252</v>
      </c>
      <c r="H19" s="2798" t="s">
        <v>3375</v>
      </c>
      <c r="I19" s="926" t="str">
        <f>IF(H19="季度增幅（自定义）",SUMIF(N21:N24,E2,O21:O24),"")</f>
        <v/>
      </c>
      <c r="J19" s="2795"/>
      <c r="K19" s="1376"/>
      <c r="L19" s="2799" t="s">
        <v>2899</v>
      </c>
      <c r="M19" s="1733">
        <f>ROUND(SUMIF(地价!B2:F2,E2,地价!B22:F22),0)</f>
        <v>258</v>
      </c>
      <c r="N19" s="2800" t="s">
        <v>2900</v>
      </c>
      <c r="O19" s="927">
        <f>ROUNDDOWN(DATEDIF(E19,G19,"M")/3,0)</f>
        <v>17</v>
      </c>
      <c r="P19" s="1373"/>
      <c r="Q19" s="1375"/>
      <c r="R19" s="1375"/>
      <c r="S19" s="1375"/>
      <c r="T19" s="1370"/>
      <c r="U19" s="1370"/>
      <c r="V19" s="1370"/>
      <c r="W19" s="1369"/>
      <c r="X19" s="1369"/>
      <c r="Y19" s="1369"/>
      <c r="Z19" s="1376"/>
      <c r="AA19" s="1377"/>
      <c r="AB19" s="1377"/>
      <c r="AC19" s="1377"/>
      <c r="AD19" s="1377"/>
      <c r="AE19" s="1377"/>
      <c r="AF19" s="2801"/>
      <c r="AG19" s="2802"/>
      <c r="AH19" s="2796"/>
      <c r="AI19" s="2803"/>
      <c r="AJ19" s="2803"/>
      <c r="AK19" s="2803"/>
    </row>
    <row r="20" spans="1:37" s="2738" customFormat="1" ht="27.75" thickBot="1">
      <c r="A20" s="2804" t="s">
        <v>810</v>
      </c>
      <c r="B20" s="2805" t="s">
        <v>2901</v>
      </c>
      <c r="C20" s="928">
        <f ca="1">ROUND(POWER(1+G20,J20-I20)*(POWER(1+G20,I20)-1)/(POWER(1+G20,J20)-1),4)</f>
        <v>0.95079999999999998</v>
      </c>
      <c r="D20" s="2806" t="s">
        <v>2902</v>
      </c>
      <c r="E20" s="1767">
        <f ca="1">存贷款利率!D4/100</f>
        <v>4.3499999999999997E-2</v>
      </c>
      <c r="F20" s="2806" t="s">
        <v>2894</v>
      </c>
      <c r="G20" s="933">
        <f ca="1">SUMIF(M15:P15,E2,M17:P17)</f>
        <v>5.1999999999999998E-2</v>
      </c>
      <c r="H20" s="2806" t="s">
        <v>2903</v>
      </c>
      <c r="I20" s="934">
        <f>SUMIF('数据-取费表'!C6:C15,E2,'数据-取费表'!F6:F15)/COUNTIF('数据-取费表'!C6:C15,E2)</f>
        <v>41.08</v>
      </c>
      <c r="J20" s="935">
        <f>IF(E2="住宅",70,IF(E2="商业",40,50))</f>
        <v>50</v>
      </c>
      <c r="K20" s="1376"/>
      <c r="L20" s="2807" t="s">
        <v>2904</v>
      </c>
      <c r="M20" s="1734">
        <f>ROUND(SUMPRODUCT((地价!A4:A22=YEAR(G19)&amp;"-"&amp;ROUNDUP(MONTH(G19)/3,0))*(地价!B2:F2=E2)*(地价!B4:F22)),0)</f>
        <v>333</v>
      </c>
      <c r="N20" s="2808" t="s">
        <v>2905</v>
      </c>
      <c r="O20" s="2809" t="s">
        <v>2906</v>
      </c>
      <c r="P20" s="2810" t="s">
        <v>2907</v>
      </c>
      <c r="R20" s="1375"/>
      <c r="S20" s="1375"/>
      <c r="T20" s="1370"/>
      <c r="U20" s="1370"/>
      <c r="V20" s="1370"/>
      <c r="W20" s="1369"/>
      <c r="X20" s="1369"/>
      <c r="Y20" s="1369"/>
      <c r="Z20" s="1376"/>
      <c r="AA20" s="1377"/>
      <c r="AB20" s="1377"/>
      <c r="AC20" s="1377"/>
      <c r="AD20" s="1377"/>
      <c r="AE20" s="1377"/>
      <c r="AF20" s="1377"/>
    </row>
    <row r="21" spans="1:37" s="2738" customFormat="1" ht="15">
      <c r="A21" s="2811" t="s">
        <v>811</v>
      </c>
      <c r="B21" s="2812" t="s">
        <v>3374</v>
      </c>
      <c r="C21" s="936">
        <f>IF(B21="容积率修正",IF(G3&lt;=10,D22,J22),C23)</f>
        <v>0.83620000000000005</v>
      </c>
      <c r="D21" s="2813"/>
      <c r="E21" s="2813"/>
      <c r="F21" s="2813"/>
      <c r="G21" s="2813"/>
      <c r="H21" s="2813"/>
      <c r="I21" s="2813"/>
      <c r="J21" s="2814"/>
      <c r="K21" s="1376"/>
      <c r="N21" s="2815" t="s">
        <v>2908</v>
      </c>
      <c r="O21" s="1560"/>
      <c r="P21" s="1561">
        <f>SUMPRODUCT((地价!A3:A22=YEAR(G19)&amp;"-"&amp;ROUNDUP(MONTH(G19)/3,0))*(地价!AD2:AH2=N21)*(地价!AD3:AH22))</f>
        <v>1.5699999999999999E-2</v>
      </c>
      <c r="R21" s="1375"/>
      <c r="S21" s="1375"/>
      <c r="T21" s="1370"/>
      <c r="U21" s="1370"/>
      <c r="V21" s="1370"/>
      <c r="W21" s="1369"/>
      <c r="X21" s="1369"/>
      <c r="Y21" s="1369"/>
      <c r="Z21" s="1376"/>
      <c r="AA21" s="1377"/>
      <c r="AB21" s="1377"/>
      <c r="AC21" s="1377"/>
      <c r="AD21" s="1377"/>
      <c r="AE21" s="1377"/>
      <c r="AF21" s="1377"/>
    </row>
    <row r="22" spans="1:37" s="2738" customFormat="1" ht="14.25">
      <c r="A22" s="2664" t="s">
        <v>2909</v>
      </c>
      <c r="B22" s="2816" t="s">
        <v>2910</v>
      </c>
      <c r="C22" s="1809" t="s">
        <v>2911</v>
      </c>
      <c r="D22" s="1809">
        <f>IF(E22=G22,F22,IF(G3&lt;=10,ROUND(F22+(H22-F22)*(G3-E22)/(G22-E22),4),"——"))</f>
        <v>0.83620000000000005</v>
      </c>
      <c r="E22" s="912">
        <f>ROUNDDOWN(G3,1)</f>
        <v>4.5</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0.84019999999999995</v>
      </c>
      <c r="G22" s="912">
        <f>ROUNDUP(G3,1)</f>
        <v>4.5999999999999996</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0.83579999999999999</v>
      </c>
      <c r="I22" s="1809" t="s">
        <v>155</v>
      </c>
      <c r="J22" s="937" t="str">
        <f>IF(G3&gt;10,D113,"——")</f>
        <v>——</v>
      </c>
      <c r="K22" s="1376"/>
      <c r="N22" s="2815" t="s">
        <v>2912</v>
      </c>
      <c r="O22" s="1560"/>
      <c r="P22" s="1561">
        <f>SUMPRODUCT((地价!A3:A22=YEAR(G19)&amp;"-"&amp;ROUNDUP(MONTH(G19)/3,0))*(地价!AD2:AH2=N22)*(地价!AD3:AH22))</f>
        <v>1.5699999999999999E-2</v>
      </c>
      <c r="R22" s="1375"/>
      <c r="S22" s="1375"/>
      <c r="T22" s="1370"/>
      <c r="U22" s="1370"/>
      <c r="V22" s="1370"/>
      <c r="W22" s="1369"/>
      <c r="X22" s="1369"/>
      <c r="Y22" s="1369"/>
      <c r="Z22" s="1376"/>
      <c r="AA22" s="1377"/>
      <c r="AB22" s="1377"/>
      <c r="AC22" s="1377"/>
      <c r="AD22" s="1377"/>
      <c r="AE22" s="1377"/>
      <c r="AF22" s="1377"/>
    </row>
    <row r="23" spans="1:37" ht="27.75" thickBot="1">
      <c r="A23" s="2664" t="s">
        <v>2913</v>
      </c>
      <c r="B23" s="2817" t="s">
        <v>2914</v>
      </c>
      <c r="C23" s="1012">
        <f>ROUND(IF(G3&gt;1,IF(I3&lt;7,SUMPRODUCT((B93:B98=I3)*(C92:N92=G2)*(C93:N98)),SUMIF(C92:N92,G2,C100:N100)),IF(I3&lt;7,SUMPRODUCT((B102:B107=I3)*(C92:N92=G2)*(C102:N107)),SUMIF(C92:N92,G2,C109:N109))),4)</f>
        <v>0</v>
      </c>
      <c r="D23" s="2773"/>
      <c r="E23" s="2773"/>
      <c r="F23" s="2818"/>
      <c r="G23" s="2819"/>
      <c r="H23" s="2820"/>
      <c r="I23" s="2821"/>
      <c r="J23" s="2822"/>
      <c r="K23" s="1369"/>
      <c r="N23" s="2815" t="s">
        <v>2915</v>
      </c>
      <c r="O23" s="1560"/>
      <c r="P23" s="1561">
        <f>SUMPRODUCT((地价!A3:A22=YEAR(G19)&amp;"-"&amp;ROUNDUP(MONTH(G19)/3,0))*(地价!AD2:AH2=N23)*(地价!AD3:AH22))</f>
        <v>2.5000000000000001E-2</v>
      </c>
      <c r="R23" s="1375"/>
      <c r="S23" s="1375"/>
      <c r="T23" s="1370"/>
      <c r="U23" s="1370"/>
      <c r="V23" s="1370"/>
      <c r="W23" s="1369"/>
      <c r="X23" s="1369"/>
      <c r="Y23" s="1369"/>
      <c r="Z23" s="1376"/>
      <c r="AA23" s="1377"/>
      <c r="AB23" s="1377"/>
      <c r="AC23" s="1377"/>
      <c r="AD23" s="1377"/>
      <c r="AK23" s="2796"/>
    </row>
    <row r="24" spans="1:37" s="2738" customFormat="1" ht="15.75" thickBot="1">
      <c r="A24" s="2804" t="s">
        <v>812</v>
      </c>
      <c r="B24" s="2790" t="s">
        <v>2916</v>
      </c>
      <c r="C24" s="923">
        <f>SUMIF(A45:A88,E2,B45:B88)</f>
        <v>1.1114999999999999</v>
      </c>
      <c r="D24" s="2793"/>
      <c r="E24" s="2823"/>
      <c r="F24" s="2823"/>
      <c r="G24" s="2823"/>
      <c r="H24" s="2823"/>
      <c r="I24" s="2823"/>
      <c r="J24" s="2824"/>
      <c r="K24" s="1376"/>
      <c r="N24" s="2825" t="s">
        <v>2917</v>
      </c>
      <c r="O24" s="1562"/>
      <c r="P24" s="1563">
        <f>SUMPRODUCT((地价!A3:A22=YEAR(G19)&amp;"-"&amp;ROUNDUP(MONTH(G19)/3,0))*(地价!AD2:AH2=N24)*(地价!AD3:AH22))</f>
        <v>1.35E-2</v>
      </c>
      <c r="R24" s="1375"/>
      <c r="S24" s="1375"/>
      <c r="T24" s="1370"/>
      <c r="U24" s="1370"/>
      <c r="V24" s="1370"/>
      <c r="W24" s="1369"/>
      <c r="X24" s="1369"/>
      <c r="Y24" s="1369"/>
      <c r="Z24" s="1376"/>
      <c r="AA24" s="1377"/>
      <c r="AB24" s="1377"/>
      <c r="AC24" s="1377"/>
      <c r="AD24" s="1377"/>
      <c r="AE24" s="1377"/>
      <c r="AF24" s="1377"/>
    </row>
    <row r="25" spans="1:37" ht="15.75" thickBot="1">
      <c r="A25" s="2804" t="s">
        <v>813</v>
      </c>
      <c r="B25" s="2826" t="s">
        <v>2918</v>
      </c>
      <c r="C25" s="929"/>
      <c r="D25" s="2748"/>
      <c r="E25" s="2748"/>
      <c r="F25" s="2827"/>
      <c r="G25" s="2748"/>
      <c r="H25" s="2748"/>
      <c r="I25" s="2748"/>
      <c r="J25" s="2749"/>
      <c r="K25" s="1369"/>
      <c r="N25" s="2828" t="s">
        <v>2919</v>
      </c>
      <c r="O25" s="1564"/>
      <c r="P25" s="1563">
        <f>SUMPRODUCT((地价!A3:A22=YEAR(G19)&amp;"-"&amp;ROUNDUP(MONTH(G19)/3,0))*(地价!AD2:AH2=N25)*(地价!AD3:AH22))</f>
        <v>2.2700000000000001E-2</v>
      </c>
      <c r="R25" s="1375"/>
      <c r="S25" s="1375"/>
      <c r="T25" s="1370"/>
      <c r="U25" s="1370"/>
      <c r="V25" s="1370"/>
      <c r="W25" s="1369"/>
      <c r="X25" s="1369"/>
      <c r="Y25" s="1369"/>
      <c r="Z25" s="1376"/>
      <c r="AA25" s="1377"/>
      <c r="AB25" s="1377"/>
      <c r="AC25" s="1377"/>
      <c r="AD25" s="1377"/>
    </row>
    <row r="26" spans="1:37" ht="15">
      <c r="A26" s="2829"/>
      <c r="B26" s="2816" t="s">
        <v>2920</v>
      </c>
      <c r="C26" s="205">
        <f ca="1">E29+SUM(E33:E39)</f>
        <v>0</v>
      </c>
      <c r="D26" s="2830"/>
      <c r="E26" s="2773"/>
      <c r="F26" s="2831"/>
      <c r="G26" s="2773"/>
      <c r="H26" s="2773"/>
      <c r="I26" s="2773"/>
      <c r="J26" s="2832"/>
      <c r="K26" s="1369"/>
      <c r="R26" s="1375"/>
      <c r="S26" s="1375"/>
      <c r="T26" s="1370"/>
      <c r="U26" s="1370"/>
      <c r="V26" s="1370"/>
      <c r="W26" s="1369"/>
      <c r="X26" s="1369"/>
      <c r="Y26" s="1369"/>
      <c r="Z26" s="1376"/>
      <c r="AA26" s="1377"/>
      <c r="AB26" s="1377"/>
      <c r="AC26" s="1377"/>
      <c r="AD26" s="1377"/>
    </row>
    <row r="27" spans="1:37" ht="15.75" thickBot="1">
      <c r="A27" s="2829"/>
      <c r="B27" s="2833" t="s">
        <v>2921</v>
      </c>
      <c r="C27" s="930" t="e">
        <f ca="1">E30+SUM(I33:I39)</f>
        <v>#DIV/0!</v>
      </c>
      <c r="D27" s="2834"/>
      <c r="E27" s="2835"/>
      <c r="F27" s="2836"/>
      <c r="G27" s="2835"/>
      <c r="H27" s="2835"/>
      <c r="I27" s="2835"/>
      <c r="J27" s="2837"/>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8"/>
      <c r="B28" s="2839" t="s">
        <v>2922</v>
      </c>
      <c r="C28" s="2840" t="s">
        <v>2923</v>
      </c>
      <c r="D28" s="2840" t="s">
        <v>2924</v>
      </c>
      <c r="E28" s="2841" t="s">
        <v>2925</v>
      </c>
      <c r="F28" s="2842"/>
      <c r="G28" s="2761"/>
      <c r="H28" s="2761"/>
      <c r="I28" s="2761"/>
      <c r="J28" s="2762"/>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3"/>
      <c r="B29" s="2844" t="s">
        <v>2926</v>
      </c>
      <c r="C29" s="205">
        <f ca="1">ROUND(C5*C18*C19*C20*C21*C24,0)</f>
        <v>11121</v>
      </c>
      <c r="D29" s="2845"/>
      <c r="E29" s="941">
        <f ca="1">ROUND(C29*D29/10000,0)</f>
        <v>0</v>
      </c>
      <c r="F29" s="2846" t="s">
        <v>2927</v>
      </c>
      <c r="G29" s="2847"/>
      <c r="H29" s="2847"/>
      <c r="I29" s="2847"/>
      <c r="J29" s="2848"/>
      <c r="K29" s="1369"/>
      <c r="L29" s="1369"/>
      <c r="M29" s="1369"/>
      <c r="N29" s="1369"/>
      <c r="O29" s="1374"/>
      <c r="P29" s="1374"/>
      <c r="Q29" s="1375"/>
      <c r="R29" s="1375"/>
      <c r="S29" s="1375"/>
      <c r="T29" s="1370"/>
      <c r="U29" s="1370"/>
      <c r="V29" s="1370"/>
      <c r="W29" s="1369"/>
      <c r="X29" s="1369"/>
      <c r="Y29" s="1369"/>
      <c r="Z29" s="1376"/>
      <c r="AA29" s="1377"/>
      <c r="AB29" s="1377"/>
      <c r="AC29" s="1377"/>
      <c r="AD29" s="1377"/>
      <c r="AE29" s="2788"/>
      <c r="AF29" s="2788"/>
      <c r="AG29" s="2720"/>
      <c r="AH29" s="2720"/>
      <c r="AI29" s="2720"/>
      <c r="AJ29" s="2720"/>
    </row>
    <row r="30" spans="1:37" ht="25.5" thickBot="1">
      <c r="A30" s="2849"/>
      <c r="B30" s="2850" t="s">
        <v>2928</v>
      </c>
      <c r="C30" s="228">
        <f ca="1">ROUND(IF(E2="工业",C29*M39,C29*M38),0)</f>
        <v>2780</v>
      </c>
      <c r="D30" s="2851"/>
      <c r="E30" s="941">
        <f ca="1">ROUND(C30*D30/10000,0)</f>
        <v>0</v>
      </c>
      <c r="F30" s="2852" t="s">
        <v>2929</v>
      </c>
      <c r="G30" s="2853"/>
      <c r="H30" s="2853"/>
      <c r="I30" s="2853"/>
      <c r="J30" s="2854"/>
      <c r="K30" s="1369"/>
      <c r="L30" s="1369"/>
      <c r="M30" s="1369"/>
      <c r="N30" s="1369"/>
      <c r="O30" s="1374"/>
      <c r="P30" s="1374"/>
      <c r="Q30" s="1375"/>
      <c r="R30" s="1375"/>
      <c r="S30" s="1375"/>
      <c r="T30" s="1370"/>
      <c r="U30" s="1370"/>
      <c r="V30" s="1370"/>
      <c r="W30" s="1369"/>
      <c r="X30" s="1369"/>
      <c r="Y30" s="1369"/>
      <c r="Z30" s="1376"/>
      <c r="AA30" s="1377"/>
      <c r="AB30" s="1377"/>
      <c r="AC30" s="1377"/>
      <c r="AD30" s="1377"/>
      <c r="AE30" s="2788"/>
      <c r="AF30" s="2788"/>
      <c r="AG30" s="2720"/>
      <c r="AH30" s="2720"/>
      <c r="AI30" s="2720"/>
      <c r="AJ30" s="2720"/>
    </row>
    <row r="31" spans="1:37" ht="14.25">
      <c r="A31" s="2855"/>
      <c r="B31" s="2856" t="s">
        <v>2930</v>
      </c>
      <c r="C31" s="2857" t="s">
        <v>2931</v>
      </c>
      <c r="D31" s="2761"/>
      <c r="E31" s="2857"/>
      <c r="F31" s="2857"/>
      <c r="G31" s="2759" t="s">
        <v>2932</v>
      </c>
      <c r="H31" s="2761"/>
      <c r="I31" s="2858"/>
      <c r="J31" s="2762"/>
      <c r="K31" s="1369"/>
      <c r="L31" s="1369"/>
      <c r="M31" s="1369"/>
      <c r="N31" s="1369"/>
      <c r="O31" s="1374"/>
      <c r="P31" s="1374"/>
      <c r="Q31" s="1375"/>
      <c r="R31" s="1375"/>
      <c r="S31" s="1375"/>
      <c r="T31" s="1370"/>
      <c r="U31" s="1370"/>
      <c r="V31" s="1370"/>
      <c r="W31" s="1369"/>
      <c r="X31" s="1369"/>
      <c r="Y31" s="1369"/>
      <c r="Z31" s="1376"/>
      <c r="AA31" s="1377"/>
      <c r="AB31" s="1377"/>
      <c r="AC31" s="1377"/>
      <c r="AD31" s="1377"/>
      <c r="AE31" s="2788"/>
      <c r="AF31" s="2788"/>
      <c r="AG31" s="2720"/>
      <c r="AH31" s="2720"/>
      <c r="AI31" s="2720"/>
      <c r="AJ31" s="2720"/>
    </row>
    <row r="32" spans="1:37" ht="24">
      <c r="A32" s="2843"/>
      <c r="B32" s="2859"/>
      <c r="C32" s="500" t="s">
        <v>2923</v>
      </c>
      <c r="D32" s="497" t="s">
        <v>2924</v>
      </c>
      <c r="E32" s="497" t="s">
        <v>2925</v>
      </c>
      <c r="F32" s="387" t="s">
        <v>2933</v>
      </c>
      <c r="G32" s="2860" t="s">
        <v>2923</v>
      </c>
      <c r="H32" s="2860" t="s">
        <v>2924</v>
      </c>
      <c r="I32" s="2860" t="s">
        <v>2925</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88"/>
      <c r="AF32" s="2788"/>
      <c r="AG32" s="2720"/>
      <c r="AH32" s="2720"/>
      <c r="AI32" s="2720"/>
      <c r="AJ32" s="2720"/>
    </row>
    <row r="33" spans="1:37" ht="36" customHeight="1">
      <c r="A33" s="3338" t="s">
        <v>2934</v>
      </c>
      <c r="B33" s="2861" t="s">
        <v>2935</v>
      </c>
      <c r="C33" s="205">
        <f ca="1">ROUND(D5*C19*C20*C24*F33,0)</f>
        <v>0</v>
      </c>
      <c r="D33" s="2845"/>
      <c r="E33" s="199">
        <f ca="1">ROUND(C33*D33/10000,0)</f>
        <v>0</v>
      </c>
      <c r="F33" s="199">
        <f>SUMIF(修正!A45:A56,G2,修正!B45:B56)</f>
        <v>0.7</v>
      </c>
      <c r="G33" s="199">
        <f t="shared" ref="G33:G39" ca="1" si="6">ROUND(IF(E2="工业",C33*$M$39,C33*$M$38),0)</f>
        <v>0</v>
      </c>
      <c r="H33" s="199">
        <f>D33</f>
        <v>0</v>
      </c>
      <c r="I33" s="199">
        <f ca="1">ROUND(G33*H33/10000,0)</f>
        <v>0</v>
      </c>
      <c r="J33" s="2862"/>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339"/>
      <c r="B34" s="2765" t="s">
        <v>2936</v>
      </c>
      <c r="C34" s="205">
        <f ca="1">ROUND(D5*C19*C20*C24*F34,0)</f>
        <v>0</v>
      </c>
      <c r="D34" s="2845"/>
      <c r="E34" s="199">
        <f t="shared" ref="E34:E39" ca="1" si="7">ROUND(C34*D34/10000,0)</f>
        <v>0</v>
      </c>
      <c r="F34" s="199">
        <f>SUMIF(修正!A45:A56,G2,修正!C45:C56)</f>
        <v>0.4</v>
      </c>
      <c r="G34" s="199">
        <f t="shared" ca="1" si="6"/>
        <v>0</v>
      </c>
      <c r="H34" s="199">
        <f t="shared" ref="H34:H39" si="8">D34</f>
        <v>0</v>
      </c>
      <c r="I34" s="199">
        <f t="shared" ref="I34:I39" ca="1" si="9">ROUND(G34*H34/10000,0)</f>
        <v>0</v>
      </c>
      <c r="J34" s="2862"/>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39"/>
      <c r="B35" s="2765" t="s">
        <v>2937</v>
      </c>
      <c r="C35" s="205">
        <f ca="1">ROUND(D5*C19*C20*C24*F35,0)</f>
        <v>0</v>
      </c>
      <c r="D35" s="2845"/>
      <c r="E35" s="199">
        <f t="shared" ca="1" si="7"/>
        <v>0</v>
      </c>
      <c r="F35" s="199">
        <f>SUMIF(修正!A45:A56,G2,修正!D45:D56)</f>
        <v>0.28000000000000003</v>
      </c>
      <c r="G35" s="199">
        <f t="shared" ca="1" si="6"/>
        <v>0</v>
      </c>
      <c r="H35" s="199">
        <f t="shared" si="8"/>
        <v>0</v>
      </c>
      <c r="I35" s="199">
        <f t="shared" ca="1" si="9"/>
        <v>0</v>
      </c>
      <c r="J35" s="2862"/>
      <c r="K35" s="1369"/>
      <c r="L35" s="1369"/>
      <c r="M35" s="1369"/>
      <c r="N35" s="1369"/>
      <c r="O35" s="1369"/>
      <c r="P35" s="1369"/>
      <c r="Q35" s="1369"/>
      <c r="R35" s="1369"/>
      <c r="S35" s="1369"/>
      <c r="T35" s="1369"/>
      <c r="U35" s="1369"/>
      <c r="V35" s="1369"/>
      <c r="W35" s="1369"/>
      <c r="X35" s="1369"/>
      <c r="Y35" s="1369"/>
      <c r="Z35" s="1370"/>
    </row>
    <row r="36" spans="1:37" ht="13.5" thickBot="1">
      <c r="A36" s="3340"/>
      <c r="B36" s="2765" t="s">
        <v>2938</v>
      </c>
      <c r="C36" s="205">
        <f ca="1">ROUND(D5*C19*C20*C24*F36,0)</f>
        <v>0</v>
      </c>
      <c r="D36" s="2845"/>
      <c r="E36" s="199">
        <f t="shared" ca="1" si="7"/>
        <v>0</v>
      </c>
      <c r="F36" s="199">
        <f>SUMIF(修正!A45:A56,G2,修正!E45:E56)</f>
        <v>0.25</v>
      </c>
      <c r="G36" s="199">
        <f t="shared" ca="1" si="6"/>
        <v>0</v>
      </c>
      <c r="H36" s="199">
        <f t="shared" si="8"/>
        <v>0</v>
      </c>
      <c r="I36" s="199">
        <f t="shared" ca="1" si="9"/>
        <v>0</v>
      </c>
      <c r="J36" s="2862"/>
      <c r="K36" s="1369"/>
      <c r="L36" s="2719"/>
      <c r="M36" s="2719"/>
      <c r="N36" s="1369"/>
      <c r="O36" s="1369"/>
      <c r="P36" s="1369"/>
      <c r="Q36" s="1369"/>
      <c r="R36" s="1369"/>
      <c r="S36" s="1369"/>
      <c r="T36" s="1369"/>
      <c r="U36" s="1369"/>
      <c r="V36" s="1369"/>
      <c r="W36" s="1369"/>
      <c r="X36" s="1369"/>
      <c r="Y36" s="1369"/>
      <c r="Z36" s="1370"/>
    </row>
    <row r="37" spans="1:37">
      <c r="A37" s="2863"/>
      <c r="B37" s="2765" t="s">
        <v>2939</v>
      </c>
      <c r="C37" s="199">
        <f ca="1">ROUND(C5*C19*C20*C24*F37,0)</f>
        <v>3325</v>
      </c>
      <c r="D37" s="2845"/>
      <c r="E37" s="199">
        <f t="shared" ca="1" si="7"/>
        <v>0</v>
      </c>
      <c r="F37" s="205">
        <f>SUMIF(修正!A45:A56,G2,修正!F45:F56)</f>
        <v>0.25</v>
      </c>
      <c r="G37" s="199">
        <f t="shared" ca="1" si="6"/>
        <v>831</v>
      </c>
      <c r="H37" s="199">
        <f t="shared" si="8"/>
        <v>0</v>
      </c>
      <c r="I37" s="199">
        <f t="shared" ca="1" si="9"/>
        <v>0</v>
      </c>
      <c r="J37" s="2862"/>
      <c r="K37" s="1369"/>
      <c r="L37" s="2864" t="s">
        <v>2940</v>
      </c>
      <c r="M37" s="2865"/>
      <c r="N37" s="1369"/>
      <c r="O37" s="1369"/>
      <c r="P37" s="1369"/>
      <c r="Q37" s="1369"/>
      <c r="R37" s="1369"/>
      <c r="S37" s="1369"/>
      <c r="T37" s="1369"/>
      <c r="U37" s="1369"/>
      <c r="V37" s="1369"/>
      <c r="W37" s="1369"/>
      <c r="X37" s="1369"/>
      <c r="Y37" s="1369"/>
      <c r="Z37" s="1370"/>
    </row>
    <row r="38" spans="1:37">
      <c r="A38" s="2863"/>
      <c r="B38" s="2765" t="s">
        <v>2941</v>
      </c>
      <c r="C38" s="199">
        <f ca="1">ROUND(C5*C19*C20*C24*F38,0)</f>
        <v>3325</v>
      </c>
      <c r="D38" s="2845">
        <f>'数据-基础表'!O5</f>
        <v>0</v>
      </c>
      <c r="E38" s="199">
        <f t="shared" ca="1" si="7"/>
        <v>0</v>
      </c>
      <c r="F38" s="205">
        <f>SUMIF(修正!A45:A56,G2,修正!G45:G56)</f>
        <v>0.25</v>
      </c>
      <c r="G38" s="199">
        <f t="shared" ca="1" si="6"/>
        <v>831</v>
      </c>
      <c r="H38" s="199">
        <f t="shared" si="8"/>
        <v>0</v>
      </c>
      <c r="I38" s="199">
        <f t="shared" ca="1" si="9"/>
        <v>0</v>
      </c>
      <c r="J38" s="2862"/>
      <c r="K38" s="1369"/>
      <c r="L38" s="1886" t="s">
        <v>2942</v>
      </c>
      <c r="M38" s="2866">
        <v>0.25</v>
      </c>
      <c r="N38" s="1369"/>
      <c r="O38" s="1369"/>
      <c r="P38" s="1369"/>
      <c r="Q38" s="1369"/>
      <c r="R38" s="1369"/>
      <c r="S38" s="1369"/>
      <c r="T38" s="1369"/>
      <c r="U38" s="1369"/>
      <c r="V38" s="1369"/>
      <c r="W38" s="1369"/>
      <c r="X38" s="1369"/>
      <c r="Y38" s="1369"/>
      <c r="Z38" s="1370"/>
    </row>
    <row r="39" spans="1:37" ht="13.5" thickBot="1">
      <c r="A39" s="2849"/>
      <c r="B39" s="2867" t="s">
        <v>2943</v>
      </c>
      <c r="C39" s="228">
        <f ca="1">ROUND(C5*C19*C20*C24*F39,0)</f>
        <v>2660</v>
      </c>
      <c r="D39" s="2851"/>
      <c r="E39" s="228">
        <f t="shared" ca="1" si="7"/>
        <v>0</v>
      </c>
      <c r="F39" s="931">
        <f>SUMIF(修正!A45:A56,G2,修正!H45:H56)</f>
        <v>0.2</v>
      </c>
      <c r="G39" s="228" t="e">
        <f t="shared" si="6"/>
        <v>#DIV/0!</v>
      </c>
      <c r="H39" s="228">
        <f t="shared" si="8"/>
        <v>0</v>
      </c>
      <c r="I39" s="228" t="e">
        <f t="shared" si="9"/>
        <v>#DIV/0!</v>
      </c>
      <c r="J39" s="2868"/>
      <c r="K39" s="1369"/>
      <c r="L39" s="2869" t="s">
        <v>2886</v>
      </c>
      <c r="M39" s="2870">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71"/>
      <c r="Z41" s="1370"/>
      <c r="AA41" s="1370"/>
      <c r="AB41" s="1370"/>
      <c r="AC41" s="1370"/>
      <c r="AD41" s="1370"/>
      <c r="AE41" s="1370"/>
      <c r="AF41" s="1370"/>
      <c r="AG41" s="1370"/>
      <c r="AH41" s="1370"/>
      <c r="AI41" s="1370"/>
      <c r="AJ41" s="1370"/>
    </row>
    <row r="42" spans="1:37" s="1369" customFormat="1">
      <c r="A42" s="1370"/>
      <c r="B42" s="2871"/>
      <c r="Z42" s="1370"/>
      <c r="AA42" s="1370"/>
      <c r="AB42" s="1370"/>
      <c r="AC42" s="1370"/>
      <c r="AD42" s="1370"/>
      <c r="AE42" s="1370"/>
      <c r="AF42" s="1370"/>
      <c r="AG42" s="1370"/>
      <c r="AH42" s="1370"/>
      <c r="AI42" s="1370"/>
      <c r="AJ42" s="1370"/>
    </row>
    <row r="43" spans="1:37" s="1369" customFormat="1">
      <c r="A43" s="1370"/>
      <c r="B43" s="2871"/>
      <c r="Z43" s="1370"/>
      <c r="AA43" s="1370"/>
      <c r="AB43" s="1370"/>
      <c r="AC43" s="1370"/>
      <c r="AD43" s="1370"/>
      <c r="AE43" s="1370"/>
      <c r="AF43" s="1370"/>
      <c r="AG43" s="1370"/>
      <c r="AH43" s="1370"/>
      <c r="AI43" s="1370"/>
      <c r="AJ43" s="1370"/>
    </row>
    <row r="44" spans="1:37" s="1369" customFormat="1">
      <c r="A44" s="1370"/>
      <c r="B44" s="2871"/>
      <c r="Z44" s="1370"/>
      <c r="AA44" s="1370"/>
      <c r="AB44" s="1370"/>
      <c r="AC44" s="1370"/>
      <c r="AD44" s="1370"/>
      <c r="AE44" s="1370"/>
      <c r="AF44" s="1370"/>
      <c r="AG44" s="1370"/>
      <c r="AH44" s="1370"/>
      <c r="AI44" s="1370"/>
      <c r="AJ44" s="1370"/>
    </row>
    <row r="45" spans="1:37" s="1369" customFormat="1" ht="15.75" thickBot="1">
      <c r="A45" s="2872" t="s">
        <v>2944</v>
      </c>
      <c r="B45" s="2873"/>
      <c r="C45" s="7"/>
      <c r="D45" s="7"/>
      <c r="E45" s="7"/>
      <c r="F45" s="6"/>
      <c r="G45" s="6"/>
      <c r="H45" s="6"/>
      <c r="I45" s="7"/>
      <c r="J45" s="7"/>
      <c r="K45" s="7"/>
      <c r="L45" s="7"/>
      <c r="M45" s="7"/>
      <c r="N45" s="2788"/>
      <c r="Z45" s="1370"/>
      <c r="AA45" s="1370"/>
      <c r="AB45" s="1370"/>
      <c r="AC45" s="1370"/>
      <c r="AD45" s="1370"/>
      <c r="AE45" s="1370"/>
      <c r="AF45" s="1370"/>
      <c r="AG45" s="1370"/>
      <c r="AH45" s="1370"/>
      <c r="AI45" s="1370"/>
      <c r="AJ45" s="1370"/>
    </row>
    <row r="46" spans="1:37" s="1369" customFormat="1" ht="15">
      <c r="A46" s="2874" t="s">
        <v>2945</v>
      </c>
      <c r="B46" s="2875">
        <f>1+E48</f>
        <v>1</v>
      </c>
      <c r="C46" s="2876"/>
      <c r="D46" s="810"/>
      <c r="E46" s="811"/>
      <c r="F46" s="2877"/>
      <c r="G46" s="6"/>
      <c r="H46" s="7"/>
      <c r="I46" s="7"/>
      <c r="J46" s="7"/>
      <c r="K46" s="7"/>
      <c r="L46" s="7"/>
      <c r="M46" s="7"/>
      <c r="N46" s="2788"/>
      <c r="Z46" s="1370"/>
      <c r="AA46" s="1370"/>
      <c r="AB46" s="1370"/>
      <c r="AC46" s="1370"/>
      <c r="AD46" s="1370"/>
      <c r="AE46" s="1370"/>
      <c r="AF46" s="1370"/>
      <c r="AG46" s="1370"/>
      <c r="AH46" s="1370"/>
      <c r="AI46" s="1370"/>
      <c r="AJ46" s="1370"/>
    </row>
    <row r="47" spans="1:37" s="1369" customFormat="1" ht="24.75">
      <c r="A47" s="2878" t="s">
        <v>2946</v>
      </c>
      <c r="B47" s="1808" t="s">
        <v>2947</v>
      </c>
      <c r="C47" s="1808" t="s">
        <v>2948</v>
      </c>
      <c r="D47" s="1808" t="s">
        <v>2949</v>
      </c>
      <c r="E47" s="815" t="s">
        <v>2950</v>
      </c>
      <c r="F47" s="2879" t="s">
        <v>2951</v>
      </c>
      <c r="G47" s="1808" t="s">
        <v>754</v>
      </c>
      <c r="H47" s="2880" t="s">
        <v>2952</v>
      </c>
      <c r="I47" s="1808" t="s">
        <v>2953</v>
      </c>
      <c r="J47" s="602" t="s">
        <v>2601</v>
      </c>
      <c r="K47" s="602" t="s">
        <v>2602</v>
      </c>
      <c r="L47" s="602" t="s">
        <v>2603</v>
      </c>
      <c r="M47" s="602" t="s">
        <v>2604</v>
      </c>
      <c r="N47" s="602" t="s">
        <v>2605</v>
      </c>
      <c r="AA47" s="1370"/>
      <c r="AB47" s="1370"/>
      <c r="AC47" s="1370"/>
      <c r="AD47" s="1370"/>
      <c r="AE47" s="1370"/>
      <c r="AF47" s="1370"/>
      <c r="AG47" s="1370"/>
      <c r="AH47" s="1370"/>
      <c r="AI47" s="1370"/>
      <c r="AJ47" s="1370"/>
      <c r="AK47" s="1370"/>
    </row>
    <row r="48" spans="1:37" s="1369" customFormat="1" ht="38.25">
      <c r="A48" s="2878" t="s">
        <v>2954</v>
      </c>
      <c r="B48" s="2881" t="str">
        <f>估价对象房地状况!C4</f>
        <v>估价对象位于XX商圈，周边商业氛围成熟，人流量大，商业繁华度好</v>
      </c>
      <c r="C48" s="2770"/>
      <c r="D48" s="1285">
        <f t="shared" ref="D48:D56" si="10">SUMIF($J$47:$N$47,C48,J48:N48)</f>
        <v>0</v>
      </c>
      <c r="E48" s="817">
        <f>ROUND(SUM(D48:D56),4)</f>
        <v>0</v>
      </c>
      <c r="F48" s="2501" t="str">
        <f>IF(E2="商业",SUMIF(L1:L12,G2,N1:N12),"——")</f>
        <v>——</v>
      </c>
      <c r="G48" s="1283"/>
      <c r="H48" s="1287" t="str">
        <f t="shared" ref="H48:H56" si="11">IFERROR(ROUNDDOWN($F$48*I48/2,4),"——")</f>
        <v>——</v>
      </c>
      <c r="I48" s="816">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8" t="s">
        <v>2955</v>
      </c>
      <c r="B49" s="2882" t="str">
        <f>估价对象房地状况!C18</f>
        <v>估价对象周边道路状况、公共交通通达情况、停车便捷程度，综合评价交通便捷度较好</v>
      </c>
      <c r="C49" s="2770"/>
      <c r="D49" s="1285">
        <f t="shared" si="10"/>
        <v>0</v>
      </c>
      <c r="E49" s="818"/>
      <c r="F49" s="2501"/>
      <c r="G49" s="1283"/>
      <c r="H49" s="1287" t="str">
        <f t="shared" si="11"/>
        <v>——</v>
      </c>
      <c r="I49" s="816">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8" t="s">
        <v>2956</v>
      </c>
      <c r="B50" s="2882">
        <f>估价对象房地状况!C19</f>
        <v>0</v>
      </c>
      <c r="C50" s="2770"/>
      <c r="D50" s="1285">
        <f t="shared" si="10"/>
        <v>0</v>
      </c>
      <c r="E50" s="818"/>
      <c r="F50" s="2501"/>
      <c r="G50" s="1283"/>
      <c r="H50" s="1287" t="str">
        <f t="shared" si="11"/>
        <v>——</v>
      </c>
      <c r="I50" s="816">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8" t="s">
        <v>2957</v>
      </c>
      <c r="B51" s="2883" t="s">
        <v>2958</v>
      </c>
      <c r="C51" s="2770"/>
      <c r="D51" s="1285">
        <f t="shared" si="10"/>
        <v>0</v>
      </c>
      <c r="E51" s="818"/>
      <c r="F51" s="2501"/>
      <c r="G51" s="1283"/>
      <c r="H51" s="1287" t="str">
        <f t="shared" si="11"/>
        <v>——</v>
      </c>
      <c r="I51" s="816">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8" t="s">
        <v>2959</v>
      </c>
      <c r="B52" s="2882">
        <f>估价对象房地状况!C24</f>
        <v>0</v>
      </c>
      <c r="C52" s="2770"/>
      <c r="D52" s="1285">
        <f t="shared" si="10"/>
        <v>0</v>
      </c>
      <c r="E52" s="818"/>
      <c r="F52" s="2501"/>
      <c r="G52" s="1283"/>
      <c r="H52" s="1287" t="str">
        <f t="shared" si="11"/>
        <v>——</v>
      </c>
      <c r="I52" s="816">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8" t="s">
        <v>2960</v>
      </c>
      <c r="B53" s="2884" t="s">
        <v>2961</v>
      </c>
      <c r="C53" s="2770"/>
      <c r="D53" s="1285">
        <f t="shared" si="10"/>
        <v>0</v>
      </c>
      <c r="E53" s="818"/>
      <c r="F53" s="2501"/>
      <c r="G53" s="1283"/>
      <c r="H53" s="1287" t="str">
        <f t="shared" si="11"/>
        <v>——</v>
      </c>
      <c r="I53" s="816">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85" t="s">
        <v>2962</v>
      </c>
      <c r="B54" s="1724" t="str">
        <f>估价对象房地状况!C21</f>
        <v>估价对象所在区域公共配套设施齐备情况</v>
      </c>
      <c r="C54" s="2770"/>
      <c r="D54" s="1285">
        <f t="shared" si="10"/>
        <v>0</v>
      </c>
      <c r="E54" s="818"/>
      <c r="F54" s="2501"/>
      <c r="G54" s="1283"/>
      <c r="H54" s="1287" t="str">
        <f t="shared" si="11"/>
        <v>——</v>
      </c>
      <c r="I54" s="816">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85" t="s">
        <v>2963</v>
      </c>
      <c r="B55" s="2882" t="str">
        <f>估价对象房地状况!C22</f>
        <v>估价对象所在区域基础设施水平</v>
      </c>
      <c r="C55" s="2770"/>
      <c r="D55" s="1285">
        <f t="shared" si="10"/>
        <v>0</v>
      </c>
      <c r="E55" s="818"/>
      <c r="F55" s="2501"/>
      <c r="G55" s="1283"/>
      <c r="H55" s="1287" t="str">
        <f t="shared" si="11"/>
        <v>——</v>
      </c>
      <c r="I55" s="816">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86" t="s">
        <v>2964</v>
      </c>
      <c r="B56" s="2887" t="str">
        <f>估价对象房地状况!C20</f>
        <v>区域自然环境：；人文环境；综合评价环境状况一般</v>
      </c>
      <c r="C56" s="2770"/>
      <c r="D56" s="1285">
        <f t="shared" si="10"/>
        <v>0</v>
      </c>
      <c r="E56" s="821"/>
      <c r="F56" s="2501"/>
      <c r="G56" s="1283"/>
      <c r="H56" s="1287" t="str">
        <f t="shared" si="11"/>
        <v>——</v>
      </c>
      <c r="I56" s="820">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74" t="s">
        <v>2965</v>
      </c>
      <c r="B57" s="2875">
        <f>1+E59</f>
        <v>1.1114999999999999</v>
      </c>
      <c r="C57" s="810"/>
      <c r="D57" s="810"/>
      <c r="E57" s="811"/>
      <c r="F57" s="2877"/>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8" t="s">
        <v>2946</v>
      </c>
      <c r="B58" s="1808"/>
      <c r="C58" s="1808" t="s">
        <v>2948</v>
      </c>
      <c r="D58" s="1808" t="s">
        <v>2949</v>
      </c>
      <c r="E58" s="815" t="s">
        <v>2950</v>
      </c>
      <c r="F58" s="2879" t="s">
        <v>2966</v>
      </c>
      <c r="G58" s="1808" t="s">
        <v>754</v>
      </c>
      <c r="H58" s="2880" t="s">
        <v>2952</v>
      </c>
      <c r="I58" s="1808" t="s">
        <v>2953</v>
      </c>
      <c r="J58" s="602" t="s">
        <v>2601</v>
      </c>
      <c r="K58" s="602" t="s">
        <v>2602</v>
      </c>
      <c r="L58" s="602" t="s">
        <v>2603</v>
      </c>
      <c r="M58" s="602" t="s">
        <v>2604</v>
      </c>
      <c r="N58" s="602" t="s">
        <v>2605</v>
      </c>
      <c r="AA58" s="1370"/>
      <c r="AB58" s="1370"/>
      <c r="AC58" s="1370"/>
      <c r="AD58" s="1370"/>
      <c r="AE58" s="1370"/>
      <c r="AF58" s="1370"/>
      <c r="AG58" s="1370"/>
      <c r="AH58" s="1370"/>
      <c r="AI58" s="1370"/>
      <c r="AJ58" s="1370"/>
      <c r="AK58" s="1370"/>
    </row>
    <row r="59" spans="1:37" s="1369" customFormat="1" ht="38.25">
      <c r="A59" s="2878" t="s">
        <v>2967</v>
      </c>
      <c r="B59" s="2881" t="str">
        <f>估价对象房地状况!C17</f>
        <v>估价对象位于XX商圈，周边办公楼项目较多，入驻率高，办公集聚程度较好</v>
      </c>
      <c r="C59" s="2770" t="s">
        <v>3292</v>
      </c>
      <c r="D59" s="1285">
        <f t="shared" ref="D59:D67" si="15">SUMIF($J$58:$N$58,C59,J59:N59)</f>
        <v>3.0200000000000001E-2</v>
      </c>
      <c r="E59" s="817">
        <f>ROUND(SUM(D59:D67),4)</f>
        <v>0.1115</v>
      </c>
      <c r="F59" s="2501">
        <f>IF(E2="办公",SUMIF(L1:L12,G2,N1:N12),"——")</f>
        <v>0.126</v>
      </c>
      <c r="G59" s="1283">
        <v>1.5100000000000001E-2</v>
      </c>
      <c r="H59" s="1287">
        <f t="shared" ref="H59:H67" si="16">IFERROR(ROUNDDOWN($F$59*I59/2,4),"——")</f>
        <v>1.5100000000000001E-2</v>
      </c>
      <c r="I59" s="816">
        <v>0.24</v>
      </c>
      <c r="J59" s="1284">
        <f t="shared" ref="J59:J67" si="17">K59+$G59</f>
        <v>3.0200000000000001E-2</v>
      </c>
      <c r="K59" s="1284">
        <f t="shared" ref="K59:K67" si="18">$L59+$G59</f>
        <v>1.5100000000000001E-2</v>
      </c>
      <c r="L59" s="1284">
        <v>0</v>
      </c>
      <c r="M59" s="1284">
        <f t="shared" ref="M59:N67" si="19">L59-$G59</f>
        <v>-1.5100000000000001E-2</v>
      </c>
      <c r="N59" s="1284">
        <f t="shared" si="19"/>
        <v>-3.0200000000000001E-2</v>
      </c>
      <c r="AA59" s="1370"/>
      <c r="AB59" s="1370"/>
      <c r="AC59" s="1370"/>
      <c r="AD59" s="1370"/>
      <c r="AE59" s="1370"/>
      <c r="AF59" s="1370"/>
      <c r="AG59" s="1370"/>
      <c r="AH59" s="1370"/>
      <c r="AI59" s="1370"/>
      <c r="AJ59" s="1370"/>
      <c r="AK59" s="1370"/>
    </row>
    <row r="60" spans="1:37" s="1369" customFormat="1" ht="51">
      <c r="A60" s="2878" t="s">
        <v>2955</v>
      </c>
      <c r="B60" s="2882" t="str">
        <f>估价对象房地状况!C18</f>
        <v>估价对象周边道路状况、公共交通通达情况、停车便捷程度，综合评价交通便捷度较好</v>
      </c>
      <c r="C60" s="2770" t="s">
        <v>3292</v>
      </c>
      <c r="D60" s="1285">
        <f t="shared" si="15"/>
        <v>3.78E-2</v>
      </c>
      <c r="E60" s="818"/>
      <c r="F60" s="2501"/>
      <c r="G60" s="1283">
        <v>1.89E-2</v>
      </c>
      <c r="H60" s="1287">
        <f t="shared" si="16"/>
        <v>1.89E-2</v>
      </c>
      <c r="I60" s="816">
        <v>0.3</v>
      </c>
      <c r="J60" s="1284">
        <f t="shared" si="17"/>
        <v>3.78E-2</v>
      </c>
      <c r="K60" s="1284">
        <f t="shared" si="18"/>
        <v>1.89E-2</v>
      </c>
      <c r="L60" s="1284">
        <v>0</v>
      </c>
      <c r="M60" s="1284">
        <f t="shared" si="19"/>
        <v>-1.89E-2</v>
      </c>
      <c r="N60" s="1284">
        <f t="shared" si="19"/>
        <v>-3.78E-2</v>
      </c>
      <c r="AA60" s="1370"/>
      <c r="AB60" s="1370"/>
      <c r="AC60" s="1370"/>
      <c r="AD60" s="1370"/>
      <c r="AE60" s="1370"/>
      <c r="AF60" s="1370"/>
      <c r="AG60" s="1370"/>
      <c r="AH60" s="1370"/>
      <c r="AI60" s="1370"/>
      <c r="AJ60" s="1370"/>
      <c r="AK60" s="1370"/>
    </row>
    <row r="61" spans="1:37" s="1369" customFormat="1" ht="24">
      <c r="A61" s="2878" t="s">
        <v>2956</v>
      </c>
      <c r="B61" s="2882">
        <f>估价对象房地状况!C19</f>
        <v>0</v>
      </c>
      <c r="C61" s="2770" t="s">
        <v>3293</v>
      </c>
      <c r="D61" s="1285">
        <f t="shared" si="15"/>
        <v>5.0000000000000001E-3</v>
      </c>
      <c r="E61" s="818"/>
      <c r="F61" s="2501"/>
      <c r="G61" s="1283">
        <v>5.0000000000000001E-3</v>
      </c>
      <c r="H61" s="1287">
        <f t="shared" si="16"/>
        <v>5.0000000000000001E-3</v>
      </c>
      <c r="I61" s="816">
        <v>0.08</v>
      </c>
      <c r="J61" s="1284">
        <f t="shared" si="17"/>
        <v>0.01</v>
      </c>
      <c r="K61" s="1284">
        <f t="shared" si="18"/>
        <v>5.0000000000000001E-3</v>
      </c>
      <c r="L61" s="1284">
        <v>0</v>
      </c>
      <c r="M61" s="1284">
        <f t="shared" si="19"/>
        <v>-5.0000000000000001E-3</v>
      </c>
      <c r="N61" s="1284">
        <f t="shared" si="19"/>
        <v>-0.01</v>
      </c>
      <c r="AA61" s="1370"/>
      <c r="AB61" s="1370"/>
      <c r="AC61" s="1370"/>
      <c r="AD61" s="1370"/>
      <c r="AE61" s="1370"/>
      <c r="AF61" s="1370"/>
      <c r="AG61" s="1370"/>
      <c r="AH61" s="1370"/>
      <c r="AI61" s="1370"/>
      <c r="AJ61" s="1370"/>
      <c r="AK61" s="1370"/>
    </row>
    <row r="62" spans="1:37" s="1369" customFormat="1" ht="36.75">
      <c r="A62" s="2878" t="s">
        <v>2957</v>
      </c>
      <c r="B62" s="2883" t="s">
        <v>2958</v>
      </c>
      <c r="C62" s="2770" t="s">
        <v>3293</v>
      </c>
      <c r="D62" s="1285">
        <f t="shared" si="15"/>
        <v>2.5000000000000001E-3</v>
      </c>
      <c r="E62" s="818"/>
      <c r="F62" s="2501"/>
      <c r="G62" s="1283">
        <v>2.5000000000000001E-3</v>
      </c>
      <c r="H62" s="1287">
        <f t="shared" si="16"/>
        <v>2.5000000000000001E-3</v>
      </c>
      <c r="I62" s="816">
        <v>0.04</v>
      </c>
      <c r="J62" s="1284">
        <f t="shared" si="17"/>
        <v>5.0000000000000001E-3</v>
      </c>
      <c r="K62" s="1284">
        <f t="shared" si="18"/>
        <v>2.5000000000000001E-3</v>
      </c>
      <c r="L62" s="1284">
        <v>0</v>
      </c>
      <c r="M62" s="1284">
        <f t="shared" si="19"/>
        <v>-2.5000000000000001E-3</v>
      </c>
      <c r="N62" s="1284">
        <f t="shared" si="19"/>
        <v>-5.0000000000000001E-3</v>
      </c>
      <c r="AA62" s="1370"/>
      <c r="AB62" s="1370"/>
      <c r="AC62" s="1370"/>
      <c r="AD62" s="1370"/>
      <c r="AE62" s="1370"/>
      <c r="AF62" s="1370"/>
      <c r="AG62" s="1370"/>
      <c r="AH62" s="1370"/>
      <c r="AI62" s="1370"/>
      <c r="AJ62" s="1370"/>
      <c r="AK62" s="1370"/>
    </row>
    <row r="63" spans="1:37" s="1369" customFormat="1" ht="24">
      <c r="A63" s="2878" t="s">
        <v>2959</v>
      </c>
      <c r="B63" s="2882">
        <f>估价对象房地状况!C24</f>
        <v>0</v>
      </c>
      <c r="C63" s="2770" t="s">
        <v>3295</v>
      </c>
      <c r="D63" s="1285">
        <f t="shared" si="15"/>
        <v>0</v>
      </c>
      <c r="E63" s="818"/>
      <c r="F63" s="2501"/>
      <c r="G63" s="1283">
        <v>3.0999999999999999E-3</v>
      </c>
      <c r="H63" s="1287">
        <f t="shared" si="16"/>
        <v>3.0999999999999999E-3</v>
      </c>
      <c r="I63" s="816">
        <v>0.05</v>
      </c>
      <c r="J63" s="1284">
        <f t="shared" si="17"/>
        <v>6.1999999999999998E-3</v>
      </c>
      <c r="K63" s="1284">
        <f t="shared" si="18"/>
        <v>3.0999999999999999E-3</v>
      </c>
      <c r="L63" s="1284">
        <v>0</v>
      </c>
      <c r="M63" s="1284">
        <f t="shared" si="19"/>
        <v>-3.0999999999999999E-3</v>
      </c>
      <c r="N63" s="1284">
        <f t="shared" si="19"/>
        <v>-6.1999999999999998E-3</v>
      </c>
      <c r="AA63" s="1370"/>
      <c r="AB63" s="1370"/>
      <c r="AC63" s="1370"/>
      <c r="AD63" s="1370"/>
      <c r="AE63" s="1370"/>
      <c r="AF63" s="1370"/>
      <c r="AG63" s="1370"/>
      <c r="AH63" s="1370"/>
      <c r="AI63" s="1370"/>
      <c r="AJ63" s="1370"/>
      <c r="AK63" s="1370"/>
    </row>
    <row r="64" spans="1:37" s="1369" customFormat="1" ht="24">
      <c r="A64" s="2878" t="s">
        <v>2960</v>
      </c>
      <c r="B64" s="2884" t="s">
        <v>2961</v>
      </c>
      <c r="C64" s="2770" t="s">
        <v>3292</v>
      </c>
      <c r="D64" s="1285">
        <f t="shared" si="15"/>
        <v>6.1999999999999998E-3</v>
      </c>
      <c r="E64" s="818"/>
      <c r="F64" s="2501"/>
      <c r="G64" s="1283">
        <v>3.0999999999999999E-3</v>
      </c>
      <c r="H64" s="1287">
        <f t="shared" si="16"/>
        <v>3.0999999999999999E-3</v>
      </c>
      <c r="I64" s="816">
        <v>0.05</v>
      </c>
      <c r="J64" s="1284">
        <f t="shared" si="17"/>
        <v>6.1999999999999998E-3</v>
      </c>
      <c r="K64" s="1284">
        <f t="shared" si="18"/>
        <v>3.0999999999999999E-3</v>
      </c>
      <c r="L64" s="1284">
        <v>0</v>
      </c>
      <c r="M64" s="1284">
        <f t="shared" si="19"/>
        <v>-3.0999999999999999E-3</v>
      </c>
      <c r="N64" s="1284">
        <f t="shared" si="19"/>
        <v>-6.1999999999999998E-3</v>
      </c>
      <c r="AA64" s="1370"/>
      <c r="AB64" s="1370"/>
      <c r="AC64" s="1370"/>
      <c r="AD64" s="1370"/>
      <c r="AE64" s="1370"/>
      <c r="AF64" s="1370"/>
      <c r="AG64" s="1370"/>
      <c r="AH64" s="1370"/>
      <c r="AI64" s="1370"/>
      <c r="AJ64" s="1370"/>
      <c r="AK64" s="1370"/>
    </row>
    <row r="65" spans="1:37" s="1369" customFormat="1" ht="25.5">
      <c r="A65" s="2878" t="s">
        <v>2962</v>
      </c>
      <c r="B65" s="1724" t="str">
        <f>估价对象房地状况!C21</f>
        <v>估价对象所在区域公共配套设施齐备情况</v>
      </c>
      <c r="C65" s="2770" t="s">
        <v>3292</v>
      </c>
      <c r="D65" s="1285">
        <f t="shared" si="15"/>
        <v>7.4000000000000003E-3</v>
      </c>
      <c r="E65" s="818"/>
      <c r="F65" s="2501"/>
      <c r="G65" s="1283">
        <v>3.7000000000000002E-3</v>
      </c>
      <c r="H65" s="1287">
        <f t="shared" si="16"/>
        <v>3.7000000000000002E-3</v>
      </c>
      <c r="I65" s="816">
        <v>0.06</v>
      </c>
      <c r="J65" s="1284">
        <f t="shared" si="17"/>
        <v>7.4000000000000003E-3</v>
      </c>
      <c r="K65" s="1284">
        <f t="shared" si="18"/>
        <v>3.7000000000000002E-3</v>
      </c>
      <c r="L65" s="1284">
        <v>0</v>
      </c>
      <c r="M65" s="1284">
        <f t="shared" si="19"/>
        <v>-3.7000000000000002E-3</v>
      </c>
      <c r="N65" s="1284">
        <f t="shared" si="19"/>
        <v>-7.4000000000000003E-3</v>
      </c>
      <c r="AA65" s="1370"/>
      <c r="AB65" s="1370"/>
      <c r="AC65" s="1370"/>
      <c r="AD65" s="1370"/>
      <c r="AE65" s="1370"/>
      <c r="AF65" s="1370"/>
      <c r="AG65" s="1370"/>
      <c r="AH65" s="1370"/>
      <c r="AI65" s="1370"/>
      <c r="AJ65" s="1370"/>
      <c r="AK65" s="1370"/>
    </row>
    <row r="66" spans="1:37" s="1369" customFormat="1" ht="25.5">
      <c r="A66" s="2878" t="s">
        <v>2963</v>
      </c>
      <c r="B66" s="1724" t="str">
        <f>估价对象房地状况!C22</f>
        <v>估价对象所在区域基础设施水平</v>
      </c>
      <c r="C66" s="2770" t="s">
        <v>3292</v>
      </c>
      <c r="D66" s="1285">
        <f t="shared" si="15"/>
        <v>1.4999999999999999E-2</v>
      </c>
      <c r="E66" s="818"/>
      <c r="F66" s="2501"/>
      <c r="G66" s="1283">
        <v>7.4999999999999997E-3</v>
      </c>
      <c r="H66" s="1287">
        <f t="shared" si="16"/>
        <v>7.4999999999999997E-3</v>
      </c>
      <c r="I66" s="816">
        <v>0.12</v>
      </c>
      <c r="J66" s="1284">
        <f t="shared" si="17"/>
        <v>1.4999999999999999E-2</v>
      </c>
      <c r="K66" s="1284">
        <f t="shared" si="18"/>
        <v>7.4999999999999997E-3</v>
      </c>
      <c r="L66" s="1284">
        <v>0</v>
      </c>
      <c r="M66" s="1284">
        <f t="shared" si="19"/>
        <v>-7.4999999999999997E-3</v>
      </c>
      <c r="N66" s="1284">
        <f t="shared" si="19"/>
        <v>-1.4999999999999999E-2</v>
      </c>
      <c r="AA66" s="1370"/>
      <c r="AB66" s="1370"/>
      <c r="AC66" s="1370"/>
      <c r="AD66" s="1370"/>
      <c r="AE66" s="1370"/>
      <c r="AF66" s="1370"/>
      <c r="AG66" s="1370"/>
      <c r="AH66" s="1370"/>
      <c r="AI66" s="1370"/>
      <c r="AJ66" s="1370"/>
      <c r="AK66" s="1370"/>
    </row>
    <row r="67" spans="1:37" s="1369" customFormat="1" ht="39" thickBot="1">
      <c r="A67" s="2886" t="s">
        <v>2964</v>
      </c>
      <c r="B67" s="2888" t="str">
        <f>估价对象房地状况!C20</f>
        <v>区域自然环境：；人文环境；综合评价环境状况一般</v>
      </c>
      <c r="C67" s="2770" t="s">
        <v>3292</v>
      </c>
      <c r="D67" s="1285">
        <f t="shared" si="15"/>
        <v>7.4000000000000003E-3</v>
      </c>
      <c r="E67" s="821"/>
      <c r="F67" s="2501"/>
      <c r="G67" s="1283">
        <v>3.7000000000000002E-3</v>
      </c>
      <c r="H67" s="1287">
        <f t="shared" si="16"/>
        <v>3.7000000000000002E-3</v>
      </c>
      <c r="I67" s="820">
        <v>0.06</v>
      </c>
      <c r="J67" s="1284">
        <f t="shared" si="17"/>
        <v>7.4000000000000003E-3</v>
      </c>
      <c r="K67" s="1284">
        <f t="shared" si="18"/>
        <v>3.7000000000000002E-3</v>
      </c>
      <c r="L67" s="1284">
        <v>0</v>
      </c>
      <c r="M67" s="1284">
        <f t="shared" si="19"/>
        <v>-3.7000000000000002E-3</v>
      </c>
      <c r="N67" s="1284">
        <f t="shared" si="19"/>
        <v>-7.4000000000000003E-3</v>
      </c>
      <c r="AA67" s="1370"/>
      <c r="AB67" s="1370"/>
      <c r="AC67" s="1370"/>
      <c r="AD67" s="1370"/>
      <c r="AE67" s="1370"/>
      <c r="AF67" s="1370"/>
      <c r="AG67" s="1370"/>
      <c r="AH67" s="1370"/>
      <c r="AI67" s="1370"/>
      <c r="AJ67" s="1370"/>
      <c r="AK67" s="1370"/>
    </row>
    <row r="68" spans="1:37" s="1369" customFormat="1" ht="15">
      <c r="A68" s="2874" t="s">
        <v>2968</v>
      </c>
      <c r="B68" s="2875">
        <f>1+E70</f>
        <v>1</v>
      </c>
      <c r="C68" s="810"/>
      <c r="D68" s="810"/>
      <c r="E68" s="811"/>
      <c r="F68" s="2877"/>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8" t="s">
        <v>2946</v>
      </c>
      <c r="B69" s="1808"/>
      <c r="C69" s="1808" t="s">
        <v>2948</v>
      </c>
      <c r="D69" s="1808" t="s">
        <v>2949</v>
      </c>
      <c r="E69" s="815" t="s">
        <v>2950</v>
      </c>
      <c r="F69" s="2879" t="s">
        <v>2966</v>
      </c>
      <c r="G69" s="1808" t="s">
        <v>754</v>
      </c>
      <c r="H69" s="2880" t="s">
        <v>2952</v>
      </c>
      <c r="I69" s="1808" t="s">
        <v>2953</v>
      </c>
      <c r="J69" s="602" t="s">
        <v>2601</v>
      </c>
      <c r="K69" s="602" t="s">
        <v>2602</v>
      </c>
      <c r="L69" s="602" t="s">
        <v>2603</v>
      </c>
      <c r="M69" s="602" t="s">
        <v>2604</v>
      </c>
      <c r="N69" s="602" t="s">
        <v>2605</v>
      </c>
      <c r="AA69" s="1370"/>
      <c r="AB69" s="1370"/>
      <c r="AC69" s="1370"/>
      <c r="AD69" s="1370"/>
      <c r="AE69" s="1370"/>
      <c r="AF69" s="1370"/>
      <c r="AG69" s="1370"/>
      <c r="AH69" s="1370"/>
      <c r="AI69" s="1370"/>
      <c r="AJ69" s="1370"/>
      <c r="AK69" s="1370"/>
    </row>
    <row r="70" spans="1:37" s="1369" customFormat="1" ht="51">
      <c r="A70" s="2878" t="s">
        <v>2969</v>
      </c>
      <c r="B70" s="2881" t="str">
        <f>估价对象房地状况!C15</f>
        <v>估价对象周边居住用地比例、居住小区规模和社区发展完善程度，综合评价居住社区成熟度一般</v>
      </c>
      <c r="C70" s="2770"/>
      <c r="D70" s="1285">
        <f t="shared" ref="D70:D78" si="20">SUMIF($J$69:$N$69,C70,J70:N70)</f>
        <v>0</v>
      </c>
      <c r="E70" s="817">
        <f>ROUND(SUM(D70:D78),4)</f>
        <v>0</v>
      </c>
      <c r="F70" s="2501" t="str">
        <f>IF(E2="住宅",SUMIF(L1:L12,G2,N1:N12),"——")</f>
        <v>——</v>
      </c>
      <c r="G70" s="1283"/>
      <c r="H70" s="1287" t="str">
        <f t="shared" ref="H70:H78" si="21">IFERROR(ROUNDDOWN($F$70*I70/2,4),"——")</f>
        <v>——</v>
      </c>
      <c r="I70" s="816">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8" t="s">
        <v>2955</v>
      </c>
      <c r="B71" s="2882" t="str">
        <f>估价对象房地状况!C18</f>
        <v>估价对象周边道路状况、公共交通通达情况、停车便捷程度，综合评价交通便捷度较好</v>
      </c>
      <c r="C71" s="2770"/>
      <c r="D71" s="1285">
        <f t="shared" si="20"/>
        <v>0</v>
      </c>
      <c r="E71" s="822"/>
      <c r="F71" s="2501"/>
      <c r="G71" s="1283"/>
      <c r="H71" s="1287" t="str">
        <f t="shared" si="21"/>
        <v>——</v>
      </c>
      <c r="I71" s="816">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8" t="s">
        <v>2956</v>
      </c>
      <c r="B72" s="2882">
        <f>估价对象房地状况!C19</f>
        <v>0</v>
      </c>
      <c r="C72" s="2770"/>
      <c r="D72" s="1285">
        <f t="shared" si="20"/>
        <v>0</v>
      </c>
      <c r="E72" s="822"/>
      <c r="F72" s="2501"/>
      <c r="G72" s="1283"/>
      <c r="H72" s="1287" t="str">
        <f t="shared" si="21"/>
        <v>——</v>
      </c>
      <c r="I72" s="816">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8" t="s">
        <v>2970</v>
      </c>
      <c r="B73" s="2882">
        <f>估价对象房地状况!C24</f>
        <v>0</v>
      </c>
      <c r="C73" s="2770"/>
      <c r="D73" s="1285">
        <f t="shared" si="20"/>
        <v>0</v>
      </c>
      <c r="E73" s="822"/>
      <c r="F73" s="2501"/>
      <c r="G73" s="1283"/>
      <c r="H73" s="1287" t="str">
        <f t="shared" si="21"/>
        <v>——</v>
      </c>
      <c r="I73" s="816">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8" t="s">
        <v>2962</v>
      </c>
      <c r="B74" s="1724" t="str">
        <f>估价对象房地状况!C21</f>
        <v>估价对象所在区域公共配套设施齐备情况</v>
      </c>
      <c r="C74" s="2770"/>
      <c r="D74" s="1285">
        <f t="shared" si="20"/>
        <v>0</v>
      </c>
      <c r="E74" s="822"/>
      <c r="F74" s="2501"/>
      <c r="G74" s="1283"/>
      <c r="H74" s="1287" t="str">
        <f t="shared" si="21"/>
        <v>——</v>
      </c>
      <c r="I74" s="816">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8" t="s">
        <v>2963</v>
      </c>
      <c r="B75" s="1724" t="str">
        <f>估价对象房地状况!C22</f>
        <v>估价对象所在区域基础设施水平</v>
      </c>
      <c r="C75" s="2770"/>
      <c r="D75" s="1285">
        <f t="shared" si="20"/>
        <v>0</v>
      </c>
      <c r="E75" s="822"/>
      <c r="F75" s="2501"/>
      <c r="G75" s="1283"/>
      <c r="H75" s="1287" t="str">
        <f t="shared" si="21"/>
        <v>——</v>
      </c>
      <c r="I75" s="816">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9" customFormat="1" ht="24">
      <c r="A76" s="2878" t="s">
        <v>2960</v>
      </c>
      <c r="B76" s="2884" t="s">
        <v>2961</v>
      </c>
      <c r="C76" s="2770"/>
      <c r="D76" s="1285">
        <f t="shared" si="20"/>
        <v>0</v>
      </c>
      <c r="E76" s="822"/>
      <c r="F76" s="2501"/>
      <c r="G76" s="1283"/>
      <c r="H76" s="1287" t="str">
        <f t="shared" si="21"/>
        <v>——</v>
      </c>
      <c r="I76" s="816">
        <v>0.05</v>
      </c>
      <c r="J76" s="1284">
        <f t="shared" si="22"/>
        <v>0</v>
      </c>
      <c r="K76" s="1284">
        <f t="shared" si="23"/>
        <v>0</v>
      </c>
      <c r="L76" s="1284">
        <v>0</v>
      </c>
      <c r="M76" s="1284">
        <f t="shared" si="24"/>
        <v>0</v>
      </c>
      <c r="N76" s="1284">
        <f t="shared" si="24"/>
        <v>0</v>
      </c>
      <c r="AA76" s="2889"/>
      <c r="AB76" s="1370"/>
      <c r="AC76" s="1370"/>
      <c r="AD76" s="1370"/>
      <c r="AE76" s="1370"/>
      <c r="AF76" s="1370"/>
      <c r="AG76" s="1370"/>
      <c r="AH76" s="2889"/>
      <c r="AI76" s="2889"/>
      <c r="AJ76" s="2889"/>
      <c r="AK76" s="2889"/>
    </row>
    <row r="77" spans="1:37" ht="38.25">
      <c r="A77" s="2878" t="s">
        <v>2964</v>
      </c>
      <c r="B77" s="2881" t="str">
        <f>估价对象房地状况!C20</f>
        <v>区域自然环境：；人文环境；综合评价环境状况一般</v>
      </c>
      <c r="C77" s="2770"/>
      <c r="D77" s="1285">
        <f t="shared" si="20"/>
        <v>0</v>
      </c>
      <c r="E77" s="822"/>
      <c r="F77" s="2501"/>
      <c r="G77" s="1283"/>
      <c r="H77" s="1287" t="str">
        <f t="shared" si="21"/>
        <v>——</v>
      </c>
      <c r="I77" s="816">
        <v>0.15</v>
      </c>
      <c r="J77" s="1284">
        <f t="shared" si="22"/>
        <v>0</v>
      </c>
      <c r="K77" s="1284">
        <f t="shared" si="23"/>
        <v>0</v>
      </c>
      <c r="L77" s="1284">
        <v>0</v>
      </c>
      <c r="M77" s="1284">
        <f t="shared" si="24"/>
        <v>0</v>
      </c>
      <c r="N77" s="1284">
        <f t="shared" si="24"/>
        <v>0</v>
      </c>
      <c r="Z77" s="2720"/>
      <c r="AA77" s="2796"/>
      <c r="AG77" s="1371"/>
      <c r="AK77" s="2796"/>
    </row>
    <row r="78" spans="1:37" ht="24.75" thickBot="1">
      <c r="A78" s="2886" t="s">
        <v>2971</v>
      </c>
      <c r="B78" s="2890"/>
      <c r="C78" s="2770"/>
      <c r="D78" s="1285">
        <f t="shared" si="20"/>
        <v>0</v>
      </c>
      <c r="E78" s="823"/>
      <c r="F78" s="2501"/>
      <c r="G78" s="1283"/>
      <c r="H78" s="1287" t="str">
        <f t="shared" si="21"/>
        <v>——</v>
      </c>
      <c r="I78" s="820">
        <v>0.04</v>
      </c>
      <c r="J78" s="1284">
        <f t="shared" si="22"/>
        <v>0</v>
      </c>
      <c r="K78" s="1284">
        <f t="shared" si="23"/>
        <v>0</v>
      </c>
      <c r="L78" s="1284">
        <v>0</v>
      </c>
      <c r="M78" s="1284">
        <f t="shared" si="24"/>
        <v>0</v>
      </c>
      <c r="N78" s="1284">
        <f t="shared" si="24"/>
        <v>0</v>
      </c>
      <c r="Z78" s="2720"/>
      <c r="AA78" s="2796"/>
      <c r="AG78" s="1371"/>
      <c r="AK78" s="2796"/>
    </row>
    <row r="79" spans="1:37" ht="15">
      <c r="A79" s="2874" t="s">
        <v>2972</v>
      </c>
      <c r="B79" s="2875">
        <f>1+E81</f>
        <v>1</v>
      </c>
      <c r="C79" s="810"/>
      <c r="D79" s="810"/>
      <c r="E79" s="811"/>
      <c r="F79" s="2877"/>
      <c r="G79" s="6"/>
      <c r="H79" s="6"/>
      <c r="I79" s="6"/>
      <c r="J79" s="7"/>
      <c r="K79" s="7"/>
      <c r="L79" s="7"/>
      <c r="M79" s="7"/>
      <c r="N79" s="7"/>
      <c r="Z79" s="2720"/>
      <c r="AA79" s="2796"/>
      <c r="AG79" s="1371"/>
      <c r="AK79" s="2796"/>
    </row>
    <row r="80" spans="1:37" ht="24.75">
      <c r="A80" s="2878" t="s">
        <v>2946</v>
      </c>
      <c r="B80" s="1808"/>
      <c r="C80" s="1808" t="s">
        <v>2948</v>
      </c>
      <c r="D80" s="1808" t="s">
        <v>2949</v>
      </c>
      <c r="E80" s="815" t="s">
        <v>2950</v>
      </c>
      <c r="F80" s="2879" t="s">
        <v>2966</v>
      </c>
      <c r="G80" s="1808" t="s">
        <v>754</v>
      </c>
      <c r="H80" s="2880" t="s">
        <v>2952</v>
      </c>
      <c r="I80" s="1808" t="s">
        <v>2953</v>
      </c>
      <c r="J80" s="602" t="s">
        <v>2601</v>
      </c>
      <c r="K80" s="602" t="s">
        <v>2602</v>
      </c>
      <c r="L80" s="602" t="s">
        <v>2603</v>
      </c>
      <c r="M80" s="602" t="s">
        <v>2604</v>
      </c>
      <c r="N80" s="602" t="s">
        <v>2605</v>
      </c>
      <c r="Z80" s="2720"/>
      <c r="AA80" s="2796"/>
      <c r="AG80" s="1371"/>
      <c r="AK80" s="2796"/>
    </row>
    <row r="81" spans="1:37" ht="38.25">
      <c r="A81" s="2878" t="s">
        <v>2973</v>
      </c>
      <c r="B81" s="2882" t="str">
        <f>估价对象房地状况!G15</f>
        <v>估价对象位于XX开发区，园区建设成熟度XX，产业集聚程度XX</v>
      </c>
      <c r="C81" s="2770"/>
      <c r="D81" s="1285">
        <f t="shared" ref="D81:D88" si="25">SUMIF($J$80:$N$80,C81,J81:N81)</f>
        <v>0</v>
      </c>
      <c r="E81" s="817">
        <f>ROUND(SUM(D81:D88),4)</f>
        <v>0</v>
      </c>
      <c r="F81" s="2501" t="str">
        <f>IF(E2="工业",SUMIF(L1:L12,G2,N1:N12),"——")</f>
        <v>——</v>
      </c>
      <c r="G81" s="1283"/>
      <c r="H81" s="1287" t="str">
        <f t="shared" ref="H81:H88" si="26">IFERROR(ROUNDDOWN($F$81*I81/2,4),"——")</f>
        <v>——</v>
      </c>
      <c r="I81" s="816">
        <v>0.26</v>
      </c>
      <c r="J81" s="1284">
        <f t="shared" ref="J81:J88" si="27">K81+$G81</f>
        <v>0</v>
      </c>
      <c r="K81" s="1284">
        <f t="shared" ref="K81:K88" si="28">$L81+$G81</f>
        <v>0</v>
      </c>
      <c r="L81" s="1284">
        <v>0</v>
      </c>
      <c r="M81" s="1284">
        <f t="shared" ref="M81:N88" si="29">L81-$G81</f>
        <v>0</v>
      </c>
      <c r="N81" s="1284">
        <f t="shared" si="29"/>
        <v>0</v>
      </c>
      <c r="Z81" s="2720"/>
      <c r="AA81" s="2796"/>
      <c r="AG81" s="1371"/>
      <c r="AK81" s="2796"/>
    </row>
    <row r="82" spans="1:37" ht="51">
      <c r="A82" s="2878" t="s">
        <v>2955</v>
      </c>
      <c r="B82" s="2882" t="str">
        <f>估价对象房地状况!G16</f>
        <v>估价对象周边道路状况、公共交通通达情况、停车便捷程度，综合评价交通便捷度较好</v>
      </c>
      <c r="C82" s="2770"/>
      <c r="D82" s="1285">
        <f t="shared" si="25"/>
        <v>0</v>
      </c>
      <c r="E82" s="822"/>
      <c r="F82" s="2501"/>
      <c r="G82" s="1283"/>
      <c r="H82" s="1287" t="str">
        <f t="shared" si="26"/>
        <v>——</v>
      </c>
      <c r="I82" s="816">
        <v>0.33</v>
      </c>
      <c r="J82" s="1284">
        <f t="shared" si="27"/>
        <v>0</v>
      </c>
      <c r="K82" s="1284">
        <f t="shared" si="28"/>
        <v>0</v>
      </c>
      <c r="L82" s="1284">
        <v>0</v>
      </c>
      <c r="M82" s="1284">
        <f t="shared" si="29"/>
        <v>0</v>
      </c>
      <c r="N82" s="1284">
        <f t="shared" si="29"/>
        <v>0</v>
      </c>
      <c r="Z82" s="2720"/>
      <c r="AA82" s="2796"/>
      <c r="AG82" s="1371"/>
      <c r="AK82" s="2796"/>
    </row>
    <row r="83" spans="1:37" ht="24">
      <c r="A83" s="2878" t="s">
        <v>2956</v>
      </c>
      <c r="B83" s="2882">
        <f>估价对象房地状况!G17</f>
        <v>0</v>
      </c>
      <c r="C83" s="2770"/>
      <c r="D83" s="1285">
        <f t="shared" si="25"/>
        <v>0</v>
      </c>
      <c r="E83" s="822"/>
      <c r="F83" s="2501"/>
      <c r="G83" s="1283"/>
      <c r="H83" s="1287" t="str">
        <f t="shared" si="26"/>
        <v>——</v>
      </c>
      <c r="I83" s="816">
        <v>0.05</v>
      </c>
      <c r="J83" s="1284">
        <f t="shared" si="27"/>
        <v>0</v>
      </c>
      <c r="K83" s="1284">
        <f t="shared" si="28"/>
        <v>0</v>
      </c>
      <c r="L83" s="1284">
        <v>0</v>
      </c>
      <c r="M83" s="1284">
        <f t="shared" si="29"/>
        <v>0</v>
      </c>
      <c r="N83" s="1284">
        <f t="shared" si="29"/>
        <v>0</v>
      </c>
      <c r="Z83" s="2720"/>
      <c r="AA83" s="2796"/>
      <c r="AG83" s="1371"/>
      <c r="AK83" s="2796"/>
    </row>
    <row r="84" spans="1:37" ht="14.25">
      <c r="A84" s="2878" t="s">
        <v>2970</v>
      </c>
      <c r="B84" s="2882">
        <f>估价对象房地状况!G22</f>
        <v>0</v>
      </c>
      <c r="C84" s="2770"/>
      <c r="D84" s="1285">
        <f t="shared" si="25"/>
        <v>0</v>
      </c>
      <c r="E84" s="822"/>
      <c r="F84" s="2501"/>
      <c r="G84" s="1283"/>
      <c r="H84" s="1287" t="str">
        <f t="shared" si="26"/>
        <v>——</v>
      </c>
      <c r="I84" s="816">
        <v>0.04</v>
      </c>
      <c r="J84" s="1284">
        <f t="shared" si="27"/>
        <v>0</v>
      </c>
      <c r="K84" s="1284">
        <f t="shared" si="28"/>
        <v>0</v>
      </c>
      <c r="L84" s="1284">
        <v>0</v>
      </c>
      <c r="M84" s="1284">
        <f t="shared" si="29"/>
        <v>0</v>
      </c>
      <c r="N84" s="1284">
        <f t="shared" si="29"/>
        <v>0</v>
      </c>
      <c r="Z84" s="2720"/>
      <c r="AA84" s="2796"/>
      <c r="AG84" s="1371"/>
      <c r="AK84" s="2796"/>
    </row>
    <row r="85" spans="1:37" ht="25.5">
      <c r="A85" s="2878" t="s">
        <v>2962</v>
      </c>
      <c r="B85" s="1724" t="str">
        <f>估价对象房地状况!G19</f>
        <v>估价对象所在区域公共配套设施齐备情况</v>
      </c>
      <c r="C85" s="2770"/>
      <c r="D85" s="1285">
        <f t="shared" si="25"/>
        <v>0</v>
      </c>
      <c r="E85" s="822"/>
      <c r="F85" s="2501"/>
      <c r="G85" s="1283"/>
      <c r="H85" s="1287" t="str">
        <f t="shared" si="26"/>
        <v>——</v>
      </c>
      <c r="I85" s="816">
        <v>0.06</v>
      </c>
      <c r="J85" s="1284">
        <f t="shared" si="27"/>
        <v>0</v>
      </c>
      <c r="K85" s="1284">
        <f t="shared" si="28"/>
        <v>0</v>
      </c>
      <c r="L85" s="1284">
        <v>0</v>
      </c>
      <c r="M85" s="1284">
        <f t="shared" si="29"/>
        <v>0</v>
      </c>
      <c r="N85" s="1284">
        <f t="shared" si="29"/>
        <v>0</v>
      </c>
      <c r="Z85" s="2720"/>
      <c r="AA85" s="2796"/>
      <c r="AG85" s="1371"/>
      <c r="AK85" s="2796"/>
    </row>
    <row r="86" spans="1:37" ht="25.5">
      <c r="A86" s="2878" t="s">
        <v>2963</v>
      </c>
      <c r="B86" s="1724" t="str">
        <f>估价对象房地状况!G20</f>
        <v>估价对象所在区域基础设施水平</v>
      </c>
      <c r="C86" s="2770"/>
      <c r="D86" s="1285">
        <f t="shared" si="25"/>
        <v>0</v>
      </c>
      <c r="E86" s="822"/>
      <c r="F86" s="2501"/>
      <c r="G86" s="1283"/>
      <c r="H86" s="1287" t="str">
        <f t="shared" si="26"/>
        <v>——</v>
      </c>
      <c r="I86" s="816">
        <v>0.15</v>
      </c>
      <c r="J86" s="1284">
        <f t="shared" si="27"/>
        <v>0</v>
      </c>
      <c r="K86" s="1284">
        <f t="shared" si="28"/>
        <v>0</v>
      </c>
      <c r="L86" s="1284">
        <v>0</v>
      </c>
      <c r="M86" s="1284">
        <f t="shared" si="29"/>
        <v>0</v>
      </c>
      <c r="N86" s="1284">
        <f t="shared" si="29"/>
        <v>0</v>
      </c>
      <c r="Z86" s="2720"/>
      <c r="AA86" s="2796"/>
      <c r="AG86" s="1371"/>
      <c r="AK86" s="2796"/>
    </row>
    <row r="87" spans="1:37" ht="24">
      <c r="A87" s="2878" t="s">
        <v>2960</v>
      </c>
      <c r="B87" s="2884" t="s">
        <v>2974</v>
      </c>
      <c r="C87" s="2770"/>
      <c r="D87" s="1285">
        <f t="shared" si="25"/>
        <v>0</v>
      </c>
      <c r="E87" s="822"/>
      <c r="F87" s="2501"/>
      <c r="G87" s="1283"/>
      <c r="H87" s="1287" t="str">
        <f t="shared" si="26"/>
        <v>——</v>
      </c>
      <c r="I87" s="816">
        <v>0.05</v>
      </c>
      <c r="J87" s="1284">
        <f t="shared" si="27"/>
        <v>0</v>
      </c>
      <c r="K87" s="1284">
        <f t="shared" si="28"/>
        <v>0</v>
      </c>
      <c r="L87" s="1284">
        <v>0</v>
      </c>
      <c r="M87" s="1284">
        <f t="shared" si="29"/>
        <v>0</v>
      </c>
      <c r="N87" s="1284">
        <f t="shared" si="29"/>
        <v>0</v>
      </c>
      <c r="Z87" s="2720"/>
      <c r="AA87" s="2796"/>
      <c r="AG87" s="1371"/>
      <c r="AK87" s="2796"/>
    </row>
    <row r="88" spans="1:37" ht="39" thickBot="1">
      <c r="A88" s="2886" t="s">
        <v>2975</v>
      </c>
      <c r="B88" s="2891" t="str">
        <f>估价对象房地状况!G18</f>
        <v>该园区内是否有污染型企业，绿化情况，卫生条件，整体环境状况判断</v>
      </c>
      <c r="C88" s="2770"/>
      <c r="D88" s="1285">
        <f t="shared" si="25"/>
        <v>0</v>
      </c>
      <c r="E88" s="823"/>
      <c r="F88" s="2501"/>
      <c r="G88" s="1283"/>
      <c r="H88" s="1287" t="str">
        <f t="shared" si="26"/>
        <v>——</v>
      </c>
      <c r="I88" s="820">
        <v>0.06</v>
      </c>
      <c r="J88" s="1284">
        <f t="shared" si="27"/>
        <v>0</v>
      </c>
      <c r="K88" s="1284">
        <f t="shared" si="28"/>
        <v>0</v>
      </c>
      <c r="L88" s="1284">
        <v>0</v>
      </c>
      <c r="M88" s="1284">
        <f t="shared" si="29"/>
        <v>0</v>
      </c>
      <c r="N88" s="1284">
        <f t="shared" si="29"/>
        <v>0</v>
      </c>
      <c r="Z88" s="2720"/>
      <c r="AA88" s="2796"/>
      <c r="AG88" s="1371"/>
      <c r="AK88" s="2796"/>
    </row>
    <row r="90" spans="1:37">
      <c r="A90" s="3332" t="s">
        <v>2976</v>
      </c>
      <c r="B90" s="3332"/>
      <c r="C90" s="3332"/>
      <c r="D90" s="3332"/>
      <c r="E90" s="3332"/>
      <c r="F90" s="3332"/>
      <c r="G90" s="3332"/>
      <c r="H90" s="3332"/>
      <c r="I90" s="3332"/>
      <c r="J90" s="3332"/>
      <c r="K90" s="2892"/>
      <c r="L90" s="2892"/>
      <c r="M90" s="2892"/>
      <c r="N90" s="2892"/>
    </row>
    <row r="91" spans="1:37">
      <c r="A91" s="3334" t="s">
        <v>2977</v>
      </c>
      <c r="B91" s="3334" t="s">
        <v>2978</v>
      </c>
      <c r="C91" s="2846" t="s">
        <v>2979</v>
      </c>
      <c r="D91" s="2847"/>
      <c r="E91" s="2847"/>
      <c r="F91" s="2847"/>
      <c r="G91" s="2847"/>
      <c r="H91" s="2847"/>
      <c r="I91" s="2847"/>
      <c r="J91" s="2893"/>
      <c r="K91" s="2894"/>
      <c r="L91" s="2894"/>
      <c r="M91" s="2894"/>
      <c r="N91" s="2894"/>
    </row>
    <row r="92" spans="1:37">
      <c r="A92" s="3334"/>
      <c r="B92" s="3334"/>
      <c r="C92" s="941" t="s">
        <v>2845</v>
      </c>
      <c r="D92" s="941" t="s">
        <v>2846</v>
      </c>
      <c r="E92" s="941" t="s">
        <v>2847</v>
      </c>
      <c r="F92" s="941" t="s">
        <v>2848</v>
      </c>
      <c r="G92" s="941" t="s">
        <v>2849</v>
      </c>
      <c r="H92" s="941" t="s">
        <v>2850</v>
      </c>
      <c r="I92" s="941" t="s">
        <v>2851</v>
      </c>
      <c r="J92" s="941" t="s">
        <v>2852</v>
      </c>
      <c r="K92" s="941" t="s">
        <v>2853</v>
      </c>
      <c r="L92" s="941" t="s">
        <v>2854</v>
      </c>
      <c r="M92" s="941" t="s">
        <v>2855</v>
      </c>
      <c r="N92" s="941" t="s">
        <v>2856</v>
      </c>
    </row>
    <row r="93" spans="1:37">
      <c r="A93" s="3335" t="s">
        <v>2980</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336"/>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336"/>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336"/>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336"/>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336"/>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336"/>
      <c r="B99" s="2895" t="s">
        <v>2861</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337"/>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335" t="s">
        <v>2981</v>
      </c>
      <c r="B101" s="2899" t="s">
        <v>2982</v>
      </c>
      <c r="C101" s="2900">
        <f>$G$3</f>
        <v>4.59</v>
      </c>
      <c r="D101" s="2900">
        <f t="shared" ref="D101:N101" si="31">$G$3</f>
        <v>4.59</v>
      </c>
      <c r="E101" s="2900">
        <f t="shared" si="31"/>
        <v>4.59</v>
      </c>
      <c r="F101" s="2900">
        <f t="shared" si="31"/>
        <v>4.59</v>
      </c>
      <c r="G101" s="2900">
        <f t="shared" si="31"/>
        <v>4.59</v>
      </c>
      <c r="H101" s="2900">
        <f t="shared" si="31"/>
        <v>4.59</v>
      </c>
      <c r="I101" s="2900">
        <f t="shared" si="31"/>
        <v>4.59</v>
      </c>
      <c r="J101" s="2900">
        <f t="shared" si="31"/>
        <v>4.59</v>
      </c>
      <c r="K101" s="2900">
        <f t="shared" si="31"/>
        <v>4.59</v>
      </c>
      <c r="L101" s="2900">
        <f t="shared" si="31"/>
        <v>4.59</v>
      </c>
      <c r="M101" s="2900">
        <f t="shared" si="31"/>
        <v>4.59</v>
      </c>
      <c r="N101" s="2900">
        <f t="shared" si="31"/>
        <v>4.59</v>
      </c>
    </row>
    <row r="102" spans="1:14">
      <c r="A102" s="3336"/>
      <c r="B102" s="2895">
        <v>1</v>
      </c>
      <c r="C102" s="2896">
        <f>1.9362/C101</f>
        <v>0.42183006535947715</v>
      </c>
      <c r="D102" s="2896">
        <f>1.9362/D101</f>
        <v>0.42183006535947715</v>
      </c>
      <c r="E102" s="2896">
        <f>1.8629/E101</f>
        <v>0.40586056644880175</v>
      </c>
      <c r="F102" s="2896">
        <f>1.8629/F101</f>
        <v>0.40586056644880175</v>
      </c>
      <c r="G102" s="2896">
        <f>1.8629/G101</f>
        <v>0.40586056644880175</v>
      </c>
      <c r="H102" s="2896">
        <f>1.8629/H101</f>
        <v>0.40586056644880175</v>
      </c>
      <c r="I102" s="2896">
        <f>1.8629/I101</f>
        <v>0.40586056644880175</v>
      </c>
      <c r="J102" s="2896">
        <f>1.942/J101</f>
        <v>0.42309368191721131</v>
      </c>
      <c r="K102" s="2896">
        <f>1.942/K101</f>
        <v>0.42309368191721131</v>
      </c>
      <c r="L102" s="2896">
        <f>1.942/L101</f>
        <v>0.42309368191721131</v>
      </c>
      <c r="M102" s="2896">
        <f>1.942/M101</f>
        <v>0.42309368191721131</v>
      </c>
      <c r="N102" s="2896">
        <f>1.942/N101</f>
        <v>0.42309368191721131</v>
      </c>
    </row>
    <row r="103" spans="1:14">
      <c r="A103" s="3336"/>
      <c r="B103" s="2895">
        <v>2</v>
      </c>
      <c r="C103" s="2896">
        <f>1.4198/C101</f>
        <v>0.30932461873638345</v>
      </c>
      <c r="D103" s="2896">
        <f>1.4198/D101</f>
        <v>0.30932461873638345</v>
      </c>
      <c r="E103" s="2896">
        <f>1.3372/E101</f>
        <v>0.29132897603485841</v>
      </c>
      <c r="F103" s="2896">
        <f>1.3372/F101</f>
        <v>0.29132897603485841</v>
      </c>
      <c r="G103" s="2896">
        <f>1.3372/G101</f>
        <v>0.29132897603485841</v>
      </c>
      <c r="H103" s="2896">
        <f>1.3372/H101</f>
        <v>0.29132897603485841</v>
      </c>
      <c r="I103" s="2896">
        <f>1.3372/I101</f>
        <v>0.29132897603485841</v>
      </c>
      <c r="J103" s="2896">
        <f>1.2799/J101</f>
        <v>0.27884531590413947</v>
      </c>
      <c r="K103" s="2896">
        <f>1.2799/K101</f>
        <v>0.27884531590413947</v>
      </c>
      <c r="L103" s="2896">
        <f>1.2799/L101</f>
        <v>0.27884531590413947</v>
      </c>
      <c r="M103" s="2896">
        <f>1.2799/M101</f>
        <v>0.27884531590413947</v>
      </c>
      <c r="N103" s="2896">
        <f>1.2799/N101</f>
        <v>0.27884531590413947</v>
      </c>
    </row>
    <row r="104" spans="1:14">
      <c r="A104" s="3336"/>
      <c r="B104" s="2895">
        <v>3</v>
      </c>
      <c r="C104" s="2896">
        <f>1.1594/C101</f>
        <v>0.25259259259259259</v>
      </c>
      <c r="D104" s="2896">
        <f>1.1594/D101</f>
        <v>0.25259259259259259</v>
      </c>
      <c r="E104" s="2896">
        <f>1.0788/E101</f>
        <v>0.23503267973856209</v>
      </c>
      <c r="F104" s="2896">
        <f>1.0788/F101</f>
        <v>0.23503267973856209</v>
      </c>
      <c r="G104" s="2896">
        <f>1.0788/G101</f>
        <v>0.23503267973856209</v>
      </c>
      <c r="H104" s="2896">
        <f>1.0788/H101</f>
        <v>0.23503267973856209</v>
      </c>
      <c r="I104" s="2896">
        <f>1.0788/I101</f>
        <v>0.23503267973856209</v>
      </c>
      <c r="J104" s="2896">
        <f>1.0072/J101</f>
        <v>0.21943355119825711</v>
      </c>
      <c r="K104" s="2896">
        <f>1.0072/K101</f>
        <v>0.21943355119825711</v>
      </c>
      <c r="L104" s="2896">
        <f>1.0072/L101</f>
        <v>0.21943355119825711</v>
      </c>
      <c r="M104" s="2896">
        <f>1.0072/M101</f>
        <v>0.21943355119825711</v>
      </c>
      <c r="N104" s="2896">
        <f>1.0072/N101</f>
        <v>0.21943355119825711</v>
      </c>
    </row>
    <row r="105" spans="1:14">
      <c r="A105" s="3336"/>
      <c r="B105" s="2895">
        <v>4</v>
      </c>
      <c r="C105" s="2896">
        <f>0.9622/C101</f>
        <v>0.20962962962962964</v>
      </c>
      <c r="D105" s="2896">
        <f>0.9622/D101</f>
        <v>0.20962962962962964</v>
      </c>
      <c r="E105" s="2896">
        <f>0.8656/E101</f>
        <v>0.18858387799564272</v>
      </c>
      <c r="F105" s="2896">
        <f>0.8656/F101</f>
        <v>0.18858387799564272</v>
      </c>
      <c r="G105" s="2896">
        <f>0.8656/G101</f>
        <v>0.18858387799564272</v>
      </c>
      <c r="H105" s="2896">
        <f>0.8656/H101</f>
        <v>0.18858387799564272</v>
      </c>
      <c r="I105" s="2896">
        <f>0.8656/I101</f>
        <v>0.18858387799564272</v>
      </c>
      <c r="J105" s="2896">
        <f>0.7525/J101</f>
        <v>0.16394335511982569</v>
      </c>
      <c r="K105" s="2896">
        <f>0.7525/K101</f>
        <v>0.16394335511982569</v>
      </c>
      <c r="L105" s="2896">
        <f>0.7525/L101</f>
        <v>0.16394335511982569</v>
      </c>
      <c r="M105" s="2896">
        <f>0.7525/M101</f>
        <v>0.16394335511982569</v>
      </c>
      <c r="N105" s="2896">
        <f>0.7525/N101</f>
        <v>0.16394335511982569</v>
      </c>
    </row>
    <row r="106" spans="1:14">
      <c r="A106" s="3336"/>
      <c r="B106" s="2895">
        <v>5</v>
      </c>
      <c r="C106" s="2896">
        <f>0.8417/C101</f>
        <v>0.18337690631808279</v>
      </c>
      <c r="D106" s="2896">
        <f>0.8417/D101</f>
        <v>0.18337690631808279</v>
      </c>
      <c r="E106" s="2896">
        <f>0.7371/E101</f>
        <v>0.16058823529411764</v>
      </c>
      <c r="F106" s="2896">
        <f>0.7371/F101</f>
        <v>0.16058823529411764</v>
      </c>
      <c r="G106" s="2896">
        <f>0.7371/G101</f>
        <v>0.16058823529411764</v>
      </c>
      <c r="H106" s="2896">
        <f>0.7371/H101</f>
        <v>0.16058823529411764</v>
      </c>
      <c r="I106" s="2896">
        <f>0.7371/I101</f>
        <v>0.16058823529411764</v>
      </c>
      <c r="J106" s="2896">
        <f>0.5659/J101</f>
        <v>0.12328976034858387</v>
      </c>
      <c r="K106" s="2896">
        <f>0.5659/K101</f>
        <v>0.12328976034858387</v>
      </c>
      <c r="L106" s="2896">
        <f>0.5659/L101</f>
        <v>0.12328976034858387</v>
      </c>
      <c r="M106" s="2896">
        <f>0.5659/M101</f>
        <v>0.12328976034858387</v>
      </c>
      <c r="N106" s="2896">
        <f>0.5659/N101</f>
        <v>0.12328976034858387</v>
      </c>
    </row>
    <row r="107" spans="1:14">
      <c r="A107" s="3336"/>
      <c r="B107" s="2895">
        <v>6</v>
      </c>
      <c r="C107" s="2896">
        <f>0.7608/C101</f>
        <v>0.1657516339869281</v>
      </c>
      <c r="D107" s="2896">
        <f>0.7608/D101</f>
        <v>0.1657516339869281</v>
      </c>
      <c r="E107" s="2896">
        <f>0.6482/E101</f>
        <v>0.14122004357298476</v>
      </c>
      <c r="F107" s="2896">
        <f>0.6482/F101</f>
        <v>0.14122004357298476</v>
      </c>
      <c r="G107" s="2896">
        <f>0.6482/G101</f>
        <v>0.14122004357298476</v>
      </c>
      <c r="H107" s="2896">
        <f>0.6482/H101</f>
        <v>0.14122004357298476</v>
      </c>
      <c r="I107" s="2896">
        <f>0.6482/I101</f>
        <v>0.14122004357298476</v>
      </c>
      <c r="J107" s="2896">
        <f>0.4525/J101</f>
        <v>9.8583877995642707E-2</v>
      </c>
      <c r="K107" s="2896">
        <f>0.4525/K101</f>
        <v>9.8583877995642707E-2</v>
      </c>
      <c r="L107" s="2896">
        <f>0.4525/L101</f>
        <v>9.8583877995642707E-2</v>
      </c>
      <c r="M107" s="2896">
        <f>0.4525/M101</f>
        <v>9.8583877995642707E-2</v>
      </c>
      <c r="N107" s="2896">
        <f>0.4525/N101</f>
        <v>9.8583877995642707E-2</v>
      </c>
    </row>
    <row r="108" spans="1:14">
      <c r="A108" s="3336"/>
      <c r="B108" s="3182" t="s">
        <v>2983</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337"/>
      <c r="B109" s="3183"/>
      <c r="C109" s="2898">
        <f>(-0.163*(C108^2)-0.59*C108+7617)*(10^(-4))/C101</f>
        <v>0.16594771241830067</v>
      </c>
      <c r="D109" s="2898">
        <f>(-0.163*(D108^2)-0.59*D108+7617)*(10^(-4))/D101</f>
        <v>0.16594771241830067</v>
      </c>
      <c r="E109" s="2898">
        <f>(-0.161*(E108^2)-7.509*E108+6533)*(10^(-4))/E101</f>
        <v>0.14233115468409585</v>
      </c>
      <c r="F109" s="2898">
        <f>(-0.161*(F108^2)-7.509*F108+6533)*(10^(-4))/F101</f>
        <v>0.14233115468409585</v>
      </c>
      <c r="G109" s="2898">
        <f>(-0.161*(G108^2)-7.509*G108+6533)*(10^(-4))/G101</f>
        <v>0.14233115468409585</v>
      </c>
      <c r="H109" s="2898">
        <f>(-0.161*(H108^2)-7.509*H108+6533)*(10^(-4))/H101</f>
        <v>0.14233115468409585</v>
      </c>
      <c r="I109" s="2898">
        <f>(-0.161*(I108^2)-7.509*I108+6533)*(10^(-4))/I101</f>
        <v>0.14233115468409585</v>
      </c>
      <c r="J109" s="2898">
        <f>(-0.214*(J108^2)-21.991*J108+4665)*(10^(-4))/J101</f>
        <v>0.10163398692810459</v>
      </c>
      <c r="K109" s="2898">
        <f>(-0.214*(K108^2)-21.991*K108+4665)*(10^(-4))/K101</f>
        <v>0.10163398692810459</v>
      </c>
      <c r="L109" s="2898">
        <f>(-0.214*(L108^2)-21.991*L108+4665)*(10^(-4))/L101</f>
        <v>0.10163398692810459</v>
      </c>
      <c r="M109" s="2898">
        <f>(-0.214*(M108^2)-21.991*M108+4665)*(10^(-4))/M101</f>
        <v>0.10163398692810459</v>
      </c>
      <c r="N109" s="2898">
        <f>(-0.214*(N108^2)-21.991*N108+4665)*(10^(-4))/N101</f>
        <v>0.10163398692810459</v>
      </c>
    </row>
    <row r="110" spans="1:14">
      <c r="A110" s="3333" t="s">
        <v>2984</v>
      </c>
      <c r="B110" s="3333"/>
      <c r="C110" s="3333"/>
      <c r="D110" s="3333"/>
      <c r="E110" s="3333"/>
      <c r="F110" s="3333"/>
      <c r="G110" s="3333"/>
      <c r="H110" s="3333"/>
      <c r="I110" s="3333"/>
      <c r="J110" s="3333"/>
      <c r="K110" s="2901"/>
      <c r="L110" s="2901"/>
      <c r="M110" s="2901"/>
      <c r="N110" s="2901"/>
    </row>
    <row r="112" spans="1:14" ht="13.5" thickBot="1"/>
    <row r="113" spans="1:13" ht="25.5" thickBot="1">
      <c r="A113" s="899" t="s">
        <v>2985</v>
      </c>
      <c r="B113" s="1286">
        <f>G3</f>
        <v>4.59</v>
      </c>
      <c r="C113" s="900" t="s">
        <v>2986</v>
      </c>
      <c r="D113" s="901">
        <f>SUMPRODUCT((A115:A118=F113)*(B114:M114=H113)*B115:M118)</f>
        <v>0.79700000000000004</v>
      </c>
      <c r="E113" s="2724" t="s">
        <v>2818</v>
      </c>
      <c r="F113" s="2903" t="str">
        <f>E2</f>
        <v>办公</v>
      </c>
      <c r="G113" s="2724" t="s">
        <v>2819</v>
      </c>
      <c r="H113" s="2903" t="str">
        <f>G2</f>
        <v>六级</v>
      </c>
      <c r="I113" s="2724"/>
      <c r="J113" s="2904"/>
      <c r="K113" s="2904"/>
      <c r="L113" s="2904"/>
      <c r="M113" s="2904"/>
    </row>
    <row r="114" spans="1:13">
      <c r="A114" s="904"/>
      <c r="B114" s="2905" t="s">
        <v>2987</v>
      </c>
      <c r="C114" s="2905" t="s">
        <v>2988</v>
      </c>
      <c r="D114" s="2905" t="s">
        <v>2989</v>
      </c>
      <c r="E114" s="2906" t="s">
        <v>2990</v>
      </c>
      <c r="F114" s="2906" t="s">
        <v>2991</v>
      </c>
      <c r="G114" s="2906" t="s">
        <v>2992</v>
      </c>
      <c r="H114" s="2907" t="s">
        <v>2993</v>
      </c>
      <c r="I114" s="2907" t="s">
        <v>2994</v>
      </c>
      <c r="J114" s="2908" t="s">
        <v>2995</v>
      </c>
      <c r="K114" s="2908" t="s">
        <v>2996</v>
      </c>
      <c r="L114" s="2908" t="s">
        <v>2997</v>
      </c>
      <c r="M114" s="2909" t="s">
        <v>2998</v>
      </c>
    </row>
    <row r="115" spans="1:13">
      <c r="A115" s="905" t="s">
        <v>2883</v>
      </c>
      <c r="B115" s="906">
        <f>ROUND(0.9335-0.0094*B113,4)</f>
        <v>0.89039999999999997</v>
      </c>
      <c r="C115" s="906">
        <f>B115</f>
        <v>0.89039999999999997</v>
      </c>
      <c r="D115" s="906">
        <f>ROUND(0.8331-0.0109*B113,4)</f>
        <v>0.78310000000000002</v>
      </c>
      <c r="E115" s="906">
        <f>D115</f>
        <v>0.78310000000000002</v>
      </c>
      <c r="F115" s="906">
        <f>E115</f>
        <v>0.78310000000000002</v>
      </c>
      <c r="G115" s="906">
        <f>F115</f>
        <v>0.78310000000000002</v>
      </c>
      <c r="H115" s="906">
        <f>G115</f>
        <v>0.78310000000000002</v>
      </c>
      <c r="I115" s="906">
        <f>ROUND(0.689-0.0155*B113,4)</f>
        <v>0.6179</v>
      </c>
      <c r="J115" s="906">
        <f t="shared" ref="J115:M118" si="33">I115</f>
        <v>0.6179</v>
      </c>
      <c r="K115" s="906">
        <f t="shared" si="33"/>
        <v>0.6179</v>
      </c>
      <c r="L115" s="906">
        <f t="shared" si="33"/>
        <v>0.6179</v>
      </c>
      <c r="M115" s="907">
        <f t="shared" si="33"/>
        <v>0.6179</v>
      </c>
    </row>
    <row r="116" spans="1:13">
      <c r="A116" s="905" t="s">
        <v>2884</v>
      </c>
      <c r="B116" s="906">
        <f>ROUND(0.949-0.012*B113,4)</f>
        <v>0.89390000000000003</v>
      </c>
      <c r="C116" s="906">
        <f>B116</f>
        <v>0.89390000000000003</v>
      </c>
      <c r="D116" s="906">
        <f>ROUND(0.8567-0.013*B113,4)</f>
        <v>0.79700000000000004</v>
      </c>
      <c r="E116" s="906">
        <f t="shared" ref="E116:H117" si="34">D116</f>
        <v>0.79700000000000004</v>
      </c>
      <c r="F116" s="906">
        <f t="shared" si="34"/>
        <v>0.79700000000000004</v>
      </c>
      <c r="G116" s="906">
        <f t="shared" si="34"/>
        <v>0.79700000000000004</v>
      </c>
      <c r="H116" s="906">
        <f t="shared" si="34"/>
        <v>0.79700000000000004</v>
      </c>
      <c r="I116" s="906">
        <f>ROUND(0.7694-0.014*B113,4)</f>
        <v>0.70509999999999995</v>
      </c>
      <c r="J116" s="906">
        <f t="shared" si="33"/>
        <v>0.70509999999999995</v>
      </c>
      <c r="K116" s="906">
        <f t="shared" si="33"/>
        <v>0.70509999999999995</v>
      </c>
      <c r="L116" s="906">
        <f t="shared" si="33"/>
        <v>0.70509999999999995</v>
      </c>
      <c r="M116" s="907">
        <f t="shared" si="33"/>
        <v>0.70509999999999995</v>
      </c>
    </row>
    <row r="117" spans="1:13">
      <c r="A117" s="905" t="s">
        <v>2885</v>
      </c>
      <c r="B117" s="906">
        <f>ROUND(0.8808-0.006*B113,4)</f>
        <v>0.85329999999999995</v>
      </c>
      <c r="C117" s="906">
        <f>B117</f>
        <v>0.85329999999999995</v>
      </c>
      <c r="D117" s="906">
        <f>ROUND(0.8748-0.008*B113,4)</f>
        <v>0.83809999999999996</v>
      </c>
      <c r="E117" s="906">
        <f t="shared" si="34"/>
        <v>0.83809999999999996</v>
      </c>
      <c r="F117" s="906">
        <f t="shared" si="34"/>
        <v>0.83809999999999996</v>
      </c>
      <c r="G117" s="906">
        <f t="shared" si="34"/>
        <v>0.83809999999999996</v>
      </c>
      <c r="H117" s="906">
        <f t="shared" si="34"/>
        <v>0.83809999999999996</v>
      </c>
      <c r="I117" s="906">
        <f>ROUND(0.7412-0.0095*B113,4)</f>
        <v>0.6976</v>
      </c>
      <c r="J117" s="906">
        <f t="shared" si="33"/>
        <v>0.6976</v>
      </c>
      <c r="K117" s="906">
        <f t="shared" si="33"/>
        <v>0.6976</v>
      </c>
      <c r="L117" s="906">
        <f t="shared" si="33"/>
        <v>0.6976</v>
      </c>
      <c r="M117" s="907">
        <f t="shared" si="33"/>
        <v>0.6976</v>
      </c>
    </row>
    <row r="118" spans="1:13" ht="13.5" thickBot="1">
      <c r="A118" s="713" t="s">
        <v>2886</v>
      </c>
      <c r="B118" s="908">
        <f>ROUND(0.7275-0.01*B113,4)</f>
        <v>0.68159999999999998</v>
      </c>
      <c r="C118" s="908">
        <f>B118</f>
        <v>0.68159999999999998</v>
      </c>
      <c r="D118" s="908">
        <f>ROUND(0.7043-0.012*B113,4)</f>
        <v>0.6492</v>
      </c>
      <c r="E118" s="908">
        <f>D118</f>
        <v>0.6492</v>
      </c>
      <c r="F118" s="908">
        <f>E118</f>
        <v>0.6492</v>
      </c>
      <c r="G118" s="908">
        <f>ROUND(0.6299-0.0122*B113,4)</f>
        <v>0.57389999999999997</v>
      </c>
      <c r="H118" s="908">
        <f>G118</f>
        <v>0.57389999999999997</v>
      </c>
      <c r="I118" s="908">
        <f>ROUND(0.5667-0.0136*B113,4)</f>
        <v>0.50429999999999997</v>
      </c>
      <c r="J118" s="908">
        <f t="shared" si="33"/>
        <v>0.50429999999999997</v>
      </c>
      <c r="K118" s="908">
        <f t="shared" si="33"/>
        <v>0.50429999999999997</v>
      </c>
      <c r="L118" s="908">
        <f t="shared" si="33"/>
        <v>0.50429999999999997</v>
      </c>
      <c r="M118" s="909">
        <f t="shared" si="33"/>
        <v>0.50429999999999997</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341" t="s">
        <v>183</v>
      </c>
      <c r="B18" s="878" t="s">
        <v>560</v>
      </c>
      <c r="C18" s="879" t="s">
        <v>561</v>
      </c>
      <c r="D18" s="880"/>
      <c r="E18" s="878">
        <v>1</v>
      </c>
      <c r="F18" s="881" t="s">
        <v>562</v>
      </c>
      <c r="G18" s="882"/>
      <c r="H18" s="874"/>
      <c r="I18" s="874"/>
    </row>
    <row r="19" spans="1:9" s="883" customFormat="1" ht="19.5" customHeight="1">
      <c r="A19" s="3341"/>
      <c r="B19" s="3341" t="s">
        <v>563</v>
      </c>
      <c r="C19" s="879" t="s">
        <v>564</v>
      </c>
      <c r="D19" s="880"/>
      <c r="E19" s="878">
        <v>0.9</v>
      </c>
      <c r="F19" s="881" t="s">
        <v>565</v>
      </c>
      <c r="G19" s="882"/>
      <c r="H19" s="874"/>
      <c r="I19" s="874"/>
    </row>
    <row r="20" spans="1:9" s="883" customFormat="1" ht="19.5" customHeight="1">
      <c r="A20" s="3341"/>
      <c r="B20" s="3341"/>
      <c r="C20" s="879" t="s">
        <v>566</v>
      </c>
      <c r="D20" s="880"/>
      <c r="E20" s="878">
        <v>1.1000000000000001</v>
      </c>
      <c r="F20" s="881" t="s">
        <v>567</v>
      </c>
      <c r="G20" s="882"/>
      <c r="H20" s="874"/>
      <c r="I20" s="874"/>
    </row>
    <row r="21" spans="1:9" s="883" customFormat="1" ht="19.5" customHeight="1">
      <c r="A21" s="3341"/>
      <c r="B21" s="3341"/>
      <c r="C21" s="879" t="s">
        <v>568</v>
      </c>
      <c r="D21" s="880"/>
      <c r="E21" s="878">
        <v>0.8</v>
      </c>
      <c r="F21" s="881" t="s">
        <v>569</v>
      </c>
      <c r="G21" s="882"/>
      <c r="H21" s="874"/>
      <c r="I21" s="874"/>
    </row>
    <row r="22" spans="1:9" s="883" customFormat="1" ht="19.5" customHeight="1">
      <c r="A22" s="3341"/>
      <c r="B22" s="3341"/>
      <c r="C22" s="879" t="s">
        <v>570</v>
      </c>
      <c r="D22" s="880"/>
      <c r="E22" s="878">
        <v>0.5</v>
      </c>
      <c r="F22" s="881"/>
      <c r="G22" s="882"/>
      <c r="H22" s="874"/>
      <c r="I22" s="874"/>
    </row>
    <row r="23" spans="1:9" s="883" customFormat="1" ht="19.5" customHeight="1">
      <c r="A23" s="3341" t="s">
        <v>184</v>
      </c>
      <c r="B23" s="878" t="s">
        <v>560</v>
      </c>
      <c r="C23" s="879" t="s">
        <v>571</v>
      </c>
      <c r="D23" s="880"/>
      <c r="E23" s="878">
        <v>1</v>
      </c>
      <c r="F23" s="881" t="s">
        <v>572</v>
      </c>
      <c r="G23" s="882"/>
      <c r="H23" s="874"/>
      <c r="I23" s="874"/>
    </row>
    <row r="24" spans="1:9" s="883" customFormat="1" ht="19.5" customHeight="1">
      <c r="A24" s="3341"/>
      <c r="B24" s="3341" t="s">
        <v>563</v>
      </c>
      <c r="C24" s="879" t="s">
        <v>573</v>
      </c>
      <c r="D24" s="880"/>
      <c r="E24" s="878">
        <v>0.5</v>
      </c>
      <c r="F24" s="881"/>
      <c r="G24" s="882"/>
      <c r="H24" s="874"/>
      <c r="I24" s="874"/>
    </row>
    <row r="25" spans="1:9" s="883" customFormat="1" ht="19.5" customHeight="1">
      <c r="A25" s="3341"/>
      <c r="B25" s="3341"/>
      <c r="C25" s="879" t="s">
        <v>574</v>
      </c>
      <c r="D25" s="880"/>
      <c r="E25" s="878">
        <v>1.1000000000000001</v>
      </c>
      <c r="F25" s="881"/>
      <c r="G25" s="882"/>
      <c r="H25" s="874"/>
      <c r="I25" s="874"/>
    </row>
    <row r="26" spans="1:9" s="883" customFormat="1" ht="19.5" customHeight="1">
      <c r="A26" s="3341"/>
      <c r="B26" s="3341"/>
      <c r="C26" s="879" t="s">
        <v>575</v>
      </c>
      <c r="D26" s="880"/>
      <c r="E26" s="878">
        <v>1.1000000000000001</v>
      </c>
      <c r="F26" s="881"/>
      <c r="G26" s="882"/>
      <c r="H26" s="874"/>
      <c r="I26" s="874"/>
    </row>
    <row r="27" spans="1:9" s="883" customFormat="1" ht="19.5" customHeight="1">
      <c r="A27" s="3341"/>
      <c r="B27" s="3341"/>
      <c r="C27" s="879" t="s">
        <v>576</v>
      </c>
      <c r="D27" s="880"/>
      <c r="E27" s="878">
        <v>0.9</v>
      </c>
      <c r="F27" s="881" t="s">
        <v>577</v>
      </c>
      <c r="G27" s="882"/>
      <c r="H27" s="874"/>
      <c r="I27" s="874"/>
    </row>
    <row r="28" spans="1:9" s="883" customFormat="1" ht="19.5" customHeight="1">
      <c r="A28" s="3341"/>
      <c r="B28" s="3341"/>
      <c r="C28" s="879" t="s">
        <v>578</v>
      </c>
      <c r="D28" s="880"/>
      <c r="E28" s="878">
        <v>0.9</v>
      </c>
      <c r="F28" s="881" t="s">
        <v>579</v>
      </c>
      <c r="G28" s="882"/>
      <c r="H28" s="874"/>
      <c r="I28" s="874"/>
    </row>
    <row r="29" spans="1:9" s="883" customFormat="1" ht="19.5" customHeight="1">
      <c r="A29" s="3341"/>
      <c r="B29" s="3341"/>
      <c r="C29" s="879" t="s">
        <v>580</v>
      </c>
      <c r="D29" s="880"/>
      <c r="E29" s="878">
        <v>0.9</v>
      </c>
      <c r="F29" s="881" t="s">
        <v>581</v>
      </c>
      <c r="G29" s="882"/>
      <c r="H29" s="874"/>
      <c r="I29" s="874"/>
    </row>
    <row r="30" spans="1:9" s="883" customFormat="1" ht="19.5" customHeight="1">
      <c r="A30" s="3341"/>
      <c r="B30" s="3341"/>
      <c r="C30" s="879" t="s">
        <v>582</v>
      </c>
      <c r="D30" s="880"/>
      <c r="E30" s="878">
        <v>0.9</v>
      </c>
      <c r="F30" s="881" t="s">
        <v>583</v>
      </c>
      <c r="G30" s="882"/>
      <c r="H30" s="874"/>
      <c r="I30" s="874"/>
    </row>
    <row r="31" spans="1:9" s="883" customFormat="1" ht="19.5" customHeight="1">
      <c r="A31" s="3341"/>
      <c r="B31" s="3341"/>
      <c r="C31" s="879" t="s">
        <v>584</v>
      </c>
      <c r="D31" s="880"/>
      <c r="E31" s="878">
        <v>0.8</v>
      </c>
      <c r="F31" s="881" t="s">
        <v>585</v>
      </c>
      <c r="G31" s="882"/>
      <c r="H31" s="874"/>
      <c r="I31" s="874"/>
    </row>
    <row r="32" spans="1:9" s="883" customFormat="1" ht="19.5" customHeight="1">
      <c r="A32" s="3341"/>
      <c r="B32" s="3341"/>
      <c r="C32" s="879" t="s">
        <v>586</v>
      </c>
      <c r="D32" s="880"/>
      <c r="E32" s="878">
        <v>0.8</v>
      </c>
      <c r="F32" s="881" t="s">
        <v>587</v>
      </c>
      <c r="G32" s="882"/>
      <c r="H32" s="874"/>
      <c r="I32" s="874"/>
    </row>
    <row r="33" spans="1:9" s="883" customFormat="1" ht="19.5" customHeight="1">
      <c r="A33" s="3341" t="s">
        <v>185</v>
      </c>
      <c r="B33" s="878" t="s">
        <v>560</v>
      </c>
      <c r="C33" s="879" t="s">
        <v>588</v>
      </c>
      <c r="D33" s="880"/>
      <c r="E33" s="878">
        <v>1</v>
      </c>
      <c r="F33" s="881" t="s">
        <v>589</v>
      </c>
      <c r="G33" s="882"/>
      <c r="H33" s="874"/>
      <c r="I33" s="874"/>
    </row>
    <row r="34" spans="1:9" s="883" customFormat="1" ht="19.5" customHeight="1">
      <c r="A34" s="3341"/>
      <c r="B34" s="878" t="s">
        <v>563</v>
      </c>
      <c r="C34" s="879" t="s">
        <v>590</v>
      </c>
      <c r="D34" s="880"/>
      <c r="E34" s="878">
        <v>1.5</v>
      </c>
      <c r="F34" s="881" t="s">
        <v>591</v>
      </c>
      <c r="G34" s="882"/>
      <c r="H34" s="874"/>
      <c r="I34" s="874"/>
    </row>
    <row r="35" spans="1:9" s="883" customFormat="1" ht="19.5" customHeight="1">
      <c r="A35" s="3341" t="s">
        <v>186</v>
      </c>
      <c r="B35" s="878" t="s">
        <v>560</v>
      </c>
      <c r="C35" s="879" t="s">
        <v>592</v>
      </c>
      <c r="D35" s="880"/>
      <c r="E35" s="878">
        <v>1</v>
      </c>
      <c r="F35" s="881" t="s">
        <v>593</v>
      </c>
      <c r="G35" s="882"/>
      <c r="H35" s="874"/>
      <c r="I35" s="874"/>
    </row>
    <row r="36" spans="1:9" s="883" customFormat="1" ht="19.5" customHeight="1">
      <c r="A36" s="3341"/>
      <c r="B36" s="3341" t="s">
        <v>563</v>
      </c>
      <c r="C36" s="879" t="s">
        <v>594</v>
      </c>
      <c r="D36" s="880"/>
      <c r="E36" s="878">
        <v>1</v>
      </c>
      <c r="F36" s="881" t="s">
        <v>595</v>
      </c>
      <c r="G36" s="882"/>
      <c r="H36" s="874"/>
      <c r="I36" s="874"/>
    </row>
    <row r="37" spans="1:9" s="883" customFormat="1" ht="19.5" customHeight="1">
      <c r="A37" s="3341"/>
      <c r="B37" s="3341"/>
      <c r="C37" s="879" t="s">
        <v>596</v>
      </c>
      <c r="D37" s="880"/>
      <c r="E37" s="878">
        <v>1.5</v>
      </c>
      <c r="F37" s="881" t="s">
        <v>597</v>
      </c>
      <c r="G37" s="882"/>
      <c r="H37" s="874"/>
      <c r="I37" s="874"/>
    </row>
    <row r="38" spans="1:9" s="883" customFormat="1" ht="19.5" customHeight="1">
      <c r="A38" s="3341"/>
      <c r="B38" s="3341"/>
      <c r="C38" s="879" t="s">
        <v>598</v>
      </c>
      <c r="D38" s="880"/>
      <c r="E38" s="878">
        <v>1</v>
      </c>
      <c r="F38" s="881" t="s">
        <v>599</v>
      </c>
      <c r="G38" s="882"/>
      <c r="H38" s="874"/>
      <c r="I38" s="874"/>
    </row>
    <row r="39" spans="1:9" s="883" customFormat="1" ht="19.5" customHeight="1">
      <c r="A39" s="3341"/>
      <c r="B39" s="3341"/>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341" t="s">
        <v>614</v>
      </c>
      <c r="C61" s="814" t="s">
        <v>615</v>
      </c>
      <c r="D61" s="814" t="s">
        <v>616</v>
      </c>
      <c r="E61" s="891">
        <v>0.5</v>
      </c>
      <c r="F61" s="878">
        <v>80</v>
      </c>
    </row>
    <row r="62" spans="1:8" s="874" customFormat="1" ht="24">
      <c r="A62" s="878">
        <v>2</v>
      </c>
      <c r="B62" s="3341"/>
      <c r="C62" s="814" t="s">
        <v>617</v>
      </c>
      <c r="D62" s="814" t="s">
        <v>618</v>
      </c>
      <c r="E62" s="891">
        <v>0.5</v>
      </c>
      <c r="F62" s="878">
        <v>80</v>
      </c>
    </row>
    <row r="63" spans="1:8" s="874" customFormat="1" ht="36">
      <c r="A63" s="878">
        <v>3</v>
      </c>
      <c r="B63" s="3341"/>
      <c r="C63" s="814" t="s">
        <v>619</v>
      </c>
      <c r="D63" s="814" t="s">
        <v>620</v>
      </c>
      <c r="E63" s="891">
        <v>0.5</v>
      </c>
      <c r="F63" s="878">
        <v>80</v>
      </c>
    </row>
    <row r="64" spans="1:8" s="874" customFormat="1" ht="36">
      <c r="A64" s="878">
        <v>4</v>
      </c>
      <c r="B64" s="3341"/>
      <c r="C64" s="814" t="s">
        <v>621</v>
      </c>
      <c r="D64" s="814" t="s">
        <v>622</v>
      </c>
      <c r="E64" s="891">
        <v>0.4</v>
      </c>
      <c r="F64" s="878">
        <v>60</v>
      </c>
    </row>
    <row r="65" spans="1:6" s="874" customFormat="1" ht="36">
      <c r="A65" s="878">
        <v>5</v>
      </c>
      <c r="B65" s="3341"/>
      <c r="C65" s="814" t="s">
        <v>623</v>
      </c>
      <c r="D65" s="814" t="s">
        <v>624</v>
      </c>
      <c r="E65" s="891">
        <v>0.2</v>
      </c>
      <c r="F65" s="878">
        <v>30</v>
      </c>
    </row>
    <row r="66" spans="1:6" s="874" customFormat="1" ht="36">
      <c r="A66" s="878">
        <v>6</v>
      </c>
      <c r="B66" s="3341"/>
      <c r="C66" s="814" t="s">
        <v>625</v>
      </c>
      <c r="D66" s="814" t="s">
        <v>626</v>
      </c>
      <c r="E66" s="891">
        <v>0.3</v>
      </c>
      <c r="F66" s="878">
        <v>50</v>
      </c>
    </row>
    <row r="67" spans="1:6" s="874" customFormat="1" ht="36">
      <c r="A67" s="878">
        <v>7</v>
      </c>
      <c r="B67" s="3341"/>
      <c r="C67" s="814" t="s">
        <v>627</v>
      </c>
      <c r="D67" s="814" t="s">
        <v>628</v>
      </c>
      <c r="E67" s="891">
        <v>0.2</v>
      </c>
      <c r="F67" s="878">
        <v>30</v>
      </c>
    </row>
    <row r="68" spans="1:6" s="874" customFormat="1" ht="36">
      <c r="A68" s="878">
        <v>8</v>
      </c>
      <c r="B68" s="3341"/>
      <c r="C68" s="814" t="s">
        <v>629</v>
      </c>
      <c r="D68" s="814" t="s">
        <v>630</v>
      </c>
      <c r="E68" s="891">
        <v>0.2</v>
      </c>
      <c r="F68" s="878">
        <v>30</v>
      </c>
    </row>
    <row r="69" spans="1:6" s="874" customFormat="1" ht="36">
      <c r="A69" s="878">
        <v>9</v>
      </c>
      <c r="B69" s="3341"/>
      <c r="C69" s="814" t="s">
        <v>631</v>
      </c>
      <c r="D69" s="814" t="s">
        <v>632</v>
      </c>
      <c r="E69" s="891">
        <v>0.2</v>
      </c>
      <c r="F69" s="878">
        <v>30</v>
      </c>
    </row>
    <row r="70" spans="1:6" s="874" customFormat="1" ht="48">
      <c r="A70" s="878">
        <v>10</v>
      </c>
      <c r="B70" s="3341"/>
      <c r="C70" s="814" t="s">
        <v>633</v>
      </c>
      <c r="D70" s="814" t="s">
        <v>634</v>
      </c>
      <c r="E70" s="891">
        <v>0.2</v>
      </c>
      <c r="F70" s="878">
        <v>30</v>
      </c>
    </row>
    <row r="71" spans="1:6" s="874" customFormat="1" ht="48">
      <c r="A71" s="878">
        <v>11</v>
      </c>
      <c r="B71" s="3341"/>
      <c r="C71" s="814" t="s">
        <v>635</v>
      </c>
      <c r="D71" s="814" t="s">
        <v>636</v>
      </c>
      <c r="E71" s="891">
        <v>0.2</v>
      </c>
      <c r="F71" s="878">
        <v>30</v>
      </c>
    </row>
    <row r="72" spans="1:6" s="874" customFormat="1" ht="36">
      <c r="A72" s="878">
        <v>12</v>
      </c>
      <c r="B72" s="3341"/>
      <c r="C72" s="814" t="s">
        <v>637</v>
      </c>
      <c r="D72" s="814" t="s">
        <v>638</v>
      </c>
      <c r="E72" s="891">
        <v>0.5</v>
      </c>
      <c r="F72" s="878">
        <v>80</v>
      </c>
    </row>
    <row r="73" spans="1:6" s="874" customFormat="1" ht="24">
      <c r="A73" s="878">
        <v>13</v>
      </c>
      <c r="B73" s="3341"/>
      <c r="C73" s="814" t="s">
        <v>639</v>
      </c>
      <c r="D73" s="814" t="s">
        <v>640</v>
      </c>
      <c r="E73" s="891">
        <v>0.4</v>
      </c>
      <c r="F73" s="878">
        <v>60</v>
      </c>
    </row>
    <row r="74" spans="1:6" s="874" customFormat="1" ht="24">
      <c r="A74" s="878">
        <v>14</v>
      </c>
      <c r="B74" s="3341"/>
      <c r="C74" s="814" t="s">
        <v>641</v>
      </c>
      <c r="D74" s="814" t="s">
        <v>642</v>
      </c>
      <c r="E74" s="891">
        <v>0.2</v>
      </c>
      <c r="F74" s="878">
        <v>30</v>
      </c>
    </row>
    <row r="75" spans="1:6" s="874" customFormat="1" ht="24">
      <c r="A75" s="878">
        <v>15</v>
      </c>
      <c r="B75" s="3341"/>
      <c r="C75" s="814" t="s">
        <v>643</v>
      </c>
      <c r="D75" s="814" t="s">
        <v>644</v>
      </c>
      <c r="E75" s="891">
        <v>0.2</v>
      </c>
      <c r="F75" s="878">
        <v>30</v>
      </c>
    </row>
    <row r="76" spans="1:6" s="874" customFormat="1" ht="24">
      <c r="A76" s="878">
        <v>16</v>
      </c>
      <c r="B76" s="3341" t="s">
        <v>645</v>
      </c>
      <c r="C76" s="814" t="s">
        <v>646</v>
      </c>
      <c r="D76" s="814" t="s">
        <v>647</v>
      </c>
      <c r="E76" s="891">
        <v>0.5</v>
      </c>
      <c r="F76" s="878">
        <v>80</v>
      </c>
    </row>
    <row r="77" spans="1:6" s="874" customFormat="1" ht="24">
      <c r="A77" s="878">
        <v>17</v>
      </c>
      <c r="B77" s="3341"/>
      <c r="C77" s="814" t="s">
        <v>648</v>
      </c>
      <c r="D77" s="814" t="s">
        <v>649</v>
      </c>
      <c r="E77" s="891">
        <v>0.5</v>
      </c>
      <c r="F77" s="878">
        <v>80</v>
      </c>
    </row>
    <row r="78" spans="1:6" s="874" customFormat="1" ht="24">
      <c r="A78" s="878">
        <v>18</v>
      </c>
      <c r="B78" s="3341"/>
      <c r="C78" s="814" t="s">
        <v>650</v>
      </c>
      <c r="D78" s="814" t="s">
        <v>651</v>
      </c>
      <c r="E78" s="891">
        <v>0.2</v>
      </c>
      <c r="F78" s="878">
        <v>30</v>
      </c>
    </row>
    <row r="79" spans="1:6" s="874" customFormat="1" ht="24">
      <c r="A79" s="878">
        <v>19</v>
      </c>
      <c r="B79" s="3341"/>
      <c r="C79" s="814" t="s">
        <v>652</v>
      </c>
      <c r="D79" s="814" t="s">
        <v>653</v>
      </c>
      <c r="E79" s="891">
        <v>0.5</v>
      </c>
      <c r="F79" s="878">
        <v>80</v>
      </c>
    </row>
    <row r="80" spans="1:6" s="874" customFormat="1" ht="36">
      <c r="A80" s="878">
        <v>20</v>
      </c>
      <c r="B80" s="3341"/>
      <c r="C80" s="814" t="s">
        <v>654</v>
      </c>
      <c r="D80" s="814" t="s">
        <v>655</v>
      </c>
      <c r="E80" s="891">
        <v>0.2</v>
      </c>
      <c r="F80" s="878">
        <v>30</v>
      </c>
    </row>
    <row r="81" spans="1:6" s="874" customFormat="1" ht="36">
      <c r="A81" s="878">
        <v>21</v>
      </c>
      <c r="B81" s="3341"/>
      <c r="C81" s="814" t="s">
        <v>656</v>
      </c>
      <c r="D81" s="814" t="s">
        <v>657</v>
      </c>
      <c r="E81" s="891">
        <v>0.2</v>
      </c>
      <c r="F81" s="878">
        <v>30</v>
      </c>
    </row>
    <row r="82" spans="1:6" s="874" customFormat="1" ht="48">
      <c r="A82" s="878">
        <v>22</v>
      </c>
      <c r="B82" s="3341"/>
      <c r="C82" s="814" t="s">
        <v>658</v>
      </c>
      <c r="D82" s="814" t="s">
        <v>659</v>
      </c>
      <c r="E82" s="891">
        <v>0.2</v>
      </c>
      <c r="F82" s="878">
        <v>30</v>
      </c>
    </row>
    <row r="83" spans="1:6" s="874" customFormat="1" ht="48">
      <c r="A83" s="878">
        <v>23</v>
      </c>
      <c r="B83" s="3341"/>
      <c r="C83" s="814" t="s">
        <v>660</v>
      </c>
      <c r="D83" s="814" t="s">
        <v>661</v>
      </c>
      <c r="E83" s="891">
        <v>0.2</v>
      </c>
      <c r="F83" s="878">
        <v>30</v>
      </c>
    </row>
    <row r="84" spans="1:6" s="874" customFormat="1" ht="36">
      <c r="A84" s="878">
        <v>24</v>
      </c>
      <c r="B84" s="3341"/>
      <c r="C84" s="814" t="s">
        <v>662</v>
      </c>
      <c r="D84" s="814" t="s">
        <v>663</v>
      </c>
      <c r="E84" s="891">
        <v>0.2</v>
      </c>
      <c r="F84" s="878">
        <v>30</v>
      </c>
    </row>
    <row r="85" spans="1:6" s="874" customFormat="1" ht="36">
      <c r="A85" s="878">
        <v>25</v>
      </c>
      <c r="B85" s="3341"/>
      <c r="C85" s="814" t="s">
        <v>664</v>
      </c>
      <c r="D85" s="814" t="s">
        <v>665</v>
      </c>
      <c r="E85" s="891">
        <v>0.5</v>
      </c>
      <c r="F85" s="878">
        <v>80</v>
      </c>
    </row>
    <row r="86" spans="1:6" s="874" customFormat="1" ht="36">
      <c r="A86" s="878">
        <v>26</v>
      </c>
      <c r="B86" s="3341"/>
      <c r="C86" s="814" t="s">
        <v>666</v>
      </c>
      <c r="D86" s="814" t="s">
        <v>667</v>
      </c>
      <c r="E86" s="891">
        <v>0.2</v>
      </c>
      <c r="F86" s="878">
        <v>30</v>
      </c>
    </row>
    <row r="87" spans="1:6" s="874" customFormat="1" ht="36">
      <c r="A87" s="878">
        <v>27</v>
      </c>
      <c r="B87" s="3341"/>
      <c r="C87" s="814" t="s">
        <v>668</v>
      </c>
      <c r="D87" s="814" t="s">
        <v>669</v>
      </c>
      <c r="E87" s="891">
        <v>0.2</v>
      </c>
      <c r="F87" s="878">
        <v>30</v>
      </c>
    </row>
    <row r="88" spans="1:6" s="874" customFormat="1" ht="36">
      <c r="A88" s="878">
        <v>28</v>
      </c>
      <c r="B88" s="3341"/>
      <c r="C88" s="814" t="s">
        <v>670</v>
      </c>
      <c r="D88" s="814" t="s">
        <v>671</v>
      </c>
      <c r="E88" s="891">
        <v>0.2</v>
      </c>
      <c r="F88" s="878">
        <v>30</v>
      </c>
    </row>
    <row r="89" spans="1:6" s="874" customFormat="1" ht="24">
      <c r="A89" s="878">
        <v>29</v>
      </c>
      <c r="B89" s="3341"/>
      <c r="C89" s="814" t="s">
        <v>672</v>
      </c>
      <c r="D89" s="814" t="s">
        <v>673</v>
      </c>
      <c r="E89" s="891">
        <v>0.2</v>
      </c>
      <c r="F89" s="878">
        <v>30</v>
      </c>
    </row>
    <row r="90" spans="1:6" s="874" customFormat="1" ht="24">
      <c r="A90" s="878">
        <v>30</v>
      </c>
      <c r="B90" s="3341"/>
      <c r="C90" s="814" t="s">
        <v>674</v>
      </c>
      <c r="D90" s="814" t="s">
        <v>675</v>
      </c>
      <c r="E90" s="891">
        <v>0.2</v>
      </c>
      <c r="F90" s="878">
        <v>30</v>
      </c>
    </row>
    <row r="91" spans="1:6" s="874" customFormat="1" ht="36">
      <c r="A91" s="878">
        <v>31</v>
      </c>
      <c r="B91" s="3341"/>
      <c r="C91" s="814" t="s">
        <v>676</v>
      </c>
      <c r="D91" s="814" t="s">
        <v>677</v>
      </c>
      <c r="E91" s="891">
        <v>0.2</v>
      </c>
      <c r="F91" s="878">
        <v>30</v>
      </c>
    </row>
    <row r="92" spans="1:6" s="874" customFormat="1" ht="24">
      <c r="A92" s="878">
        <v>32</v>
      </c>
      <c r="B92" s="3341" t="s">
        <v>678</v>
      </c>
      <c r="C92" s="878" t="s">
        <v>679</v>
      </c>
      <c r="D92" s="814" t="s">
        <v>680</v>
      </c>
      <c r="E92" s="891">
        <v>0.2</v>
      </c>
      <c r="F92" s="878">
        <v>30</v>
      </c>
    </row>
    <row r="93" spans="1:6" s="874" customFormat="1" ht="36">
      <c r="A93" s="878">
        <v>33</v>
      </c>
      <c r="B93" s="3341"/>
      <c r="C93" s="878" t="s">
        <v>681</v>
      </c>
      <c r="D93" s="814" t="s">
        <v>682</v>
      </c>
      <c r="E93" s="891">
        <v>0.2</v>
      </c>
      <c r="F93" s="878">
        <v>30</v>
      </c>
    </row>
    <row r="94" spans="1:6" s="874" customFormat="1" ht="48">
      <c r="A94" s="878">
        <v>34</v>
      </c>
      <c r="B94" s="3341"/>
      <c r="C94" s="878" t="s">
        <v>683</v>
      </c>
      <c r="D94" s="814" t="s">
        <v>684</v>
      </c>
      <c r="E94" s="891">
        <v>0.2</v>
      </c>
      <c r="F94" s="878">
        <v>30</v>
      </c>
    </row>
    <row r="95" spans="1:6" s="874" customFormat="1" ht="36">
      <c r="A95" s="878">
        <v>35</v>
      </c>
      <c r="B95" s="3341"/>
      <c r="C95" s="878" t="s">
        <v>685</v>
      </c>
      <c r="D95" s="814" t="s">
        <v>686</v>
      </c>
      <c r="E95" s="891">
        <v>0.2</v>
      </c>
      <c r="F95" s="878">
        <v>30</v>
      </c>
    </row>
    <row r="96" spans="1:6" s="874" customFormat="1" ht="48">
      <c r="A96" s="878">
        <v>36</v>
      </c>
      <c r="B96" s="3341"/>
      <c r="C96" s="814" t="s">
        <v>687</v>
      </c>
      <c r="D96" s="814" t="s">
        <v>688</v>
      </c>
      <c r="E96" s="891">
        <v>0.2</v>
      </c>
      <c r="F96" s="878">
        <v>30</v>
      </c>
    </row>
    <row r="97" spans="1:6" s="874" customFormat="1" ht="36">
      <c r="A97" s="878">
        <v>37</v>
      </c>
      <c r="B97" s="3341"/>
      <c r="C97" s="878" t="s">
        <v>689</v>
      </c>
      <c r="D97" s="814" t="s">
        <v>690</v>
      </c>
      <c r="E97" s="891">
        <v>0.2</v>
      </c>
      <c r="F97" s="878">
        <v>30</v>
      </c>
    </row>
    <row r="98" spans="1:6" s="874" customFormat="1" ht="36">
      <c r="A98" s="878">
        <v>38</v>
      </c>
      <c r="B98" s="3341"/>
      <c r="C98" s="878" t="s">
        <v>691</v>
      </c>
      <c r="D98" s="814" t="s">
        <v>692</v>
      </c>
      <c r="E98" s="891">
        <v>0.2</v>
      </c>
      <c r="F98" s="878">
        <v>30</v>
      </c>
    </row>
    <row r="99" spans="1:6" s="874" customFormat="1" ht="36">
      <c r="A99" s="878">
        <v>39</v>
      </c>
      <c r="B99" s="3341" t="s">
        <v>693</v>
      </c>
      <c r="C99" s="878" t="s">
        <v>694</v>
      </c>
      <c r="D99" s="814" t="s">
        <v>695</v>
      </c>
      <c r="E99" s="891">
        <v>0.3</v>
      </c>
      <c r="F99" s="878">
        <v>50</v>
      </c>
    </row>
    <row r="100" spans="1:6" s="874" customFormat="1" ht="24">
      <c r="A100" s="878">
        <v>40</v>
      </c>
      <c r="B100" s="3341"/>
      <c r="C100" s="878" t="s">
        <v>696</v>
      </c>
      <c r="D100" s="814" t="s">
        <v>697</v>
      </c>
      <c r="E100" s="891">
        <v>0.2</v>
      </c>
      <c r="F100" s="878">
        <v>30</v>
      </c>
    </row>
    <row r="101" spans="1:6" s="874" customFormat="1" ht="36">
      <c r="A101" s="878">
        <v>41</v>
      </c>
      <c r="B101" s="3341"/>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341" t="s">
        <v>708</v>
      </c>
      <c r="C105" s="878" t="s">
        <v>709</v>
      </c>
      <c r="D105" s="814" t="s">
        <v>710</v>
      </c>
      <c r="E105" s="891">
        <v>0.2</v>
      </c>
      <c r="F105" s="878">
        <v>30</v>
      </c>
    </row>
    <row r="106" spans="1:6" s="874" customFormat="1" ht="36">
      <c r="A106" s="878">
        <v>46</v>
      </c>
      <c r="B106" s="3341"/>
      <c r="C106" s="878" t="s">
        <v>711</v>
      </c>
      <c r="D106" s="814" t="s">
        <v>712</v>
      </c>
      <c r="E106" s="891">
        <v>0.2</v>
      </c>
      <c r="F106" s="878">
        <v>30</v>
      </c>
    </row>
    <row r="107" spans="1:6" s="874" customFormat="1" ht="36">
      <c r="A107" s="878">
        <v>47</v>
      </c>
      <c r="B107" s="3341" t="s">
        <v>713</v>
      </c>
      <c r="C107" s="878" t="s">
        <v>714</v>
      </c>
      <c r="D107" s="814" t="s">
        <v>715</v>
      </c>
      <c r="E107" s="891">
        <v>0.3</v>
      </c>
      <c r="F107" s="878">
        <v>50</v>
      </c>
    </row>
    <row r="108" spans="1:6" s="874" customFormat="1" ht="36">
      <c r="A108" s="878">
        <v>48</v>
      </c>
      <c r="B108" s="3341"/>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341" t="s">
        <v>724</v>
      </c>
      <c r="C111" s="878" t="s">
        <v>725</v>
      </c>
      <c r="D111" s="814" t="s">
        <v>726</v>
      </c>
      <c r="E111" s="891">
        <v>0.2</v>
      </c>
      <c r="F111" s="878">
        <v>30</v>
      </c>
    </row>
    <row r="112" spans="1:6" s="874" customFormat="1" ht="24">
      <c r="A112" s="878">
        <v>52</v>
      </c>
      <c r="B112" s="3341"/>
      <c r="C112" s="878" t="s">
        <v>727</v>
      </c>
      <c r="D112" s="814" t="s">
        <v>728</v>
      </c>
      <c r="E112" s="891">
        <v>0.2</v>
      </c>
      <c r="F112" s="878">
        <v>30</v>
      </c>
    </row>
    <row r="113" spans="1:6" s="874" customFormat="1" ht="24">
      <c r="A113" s="878">
        <v>53</v>
      </c>
      <c r="B113" s="3341"/>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341" t="s">
        <v>737</v>
      </c>
      <c r="C116" s="878" t="s">
        <v>738</v>
      </c>
      <c r="D116" s="814" t="s">
        <v>739</v>
      </c>
      <c r="E116" s="891">
        <v>0.2</v>
      </c>
      <c r="F116" s="878">
        <v>30</v>
      </c>
    </row>
    <row r="117" spans="1:6" ht="36">
      <c r="A117" s="878">
        <v>57</v>
      </c>
      <c r="B117" s="3341"/>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0.84019999999999995</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1" t="s">
        <v>3007</v>
      </c>
    </row>
    <row r="2" spans="1:5" ht="15.75">
      <c r="A2" s="2910" t="s">
        <v>2999</v>
      </c>
      <c r="B2" s="2911">
        <f ca="1">SUMIF(B6:B13,"&lt;&gt;#ref!",B6:B13)</f>
        <v>0</v>
      </c>
      <c r="C2" s="2910" t="s">
        <v>3000</v>
      </c>
      <c r="D2" s="2910" t="s">
        <v>3001</v>
      </c>
      <c r="E2" s="2911">
        <f ca="1">SUMIF(E6:E13,"&lt;&gt;#ref!",E6:E13)</f>
        <v>0</v>
      </c>
    </row>
    <row r="3" spans="1:5" ht="15.75">
      <c r="A3" s="2910" t="s">
        <v>3002</v>
      </c>
      <c r="B3" s="2911" t="e">
        <f ca="1">ROUND(B2*10000/E2,0)</f>
        <v>#DIV/0!</v>
      </c>
      <c r="C3" s="2910" t="s">
        <v>3008</v>
      </c>
      <c r="D3" s="2912"/>
      <c r="E3" s="2912"/>
    </row>
    <row r="4" spans="1:5" ht="15.75">
      <c r="A4" s="2913"/>
      <c r="B4" s="2912"/>
      <c r="C4" s="2912"/>
      <c r="D4" s="2912"/>
      <c r="E4" s="2912"/>
    </row>
    <row r="5" spans="1:5" ht="28.5">
      <c r="A5" s="2914" t="s">
        <v>3003</v>
      </c>
      <c r="B5" s="2910" t="s">
        <v>3004</v>
      </c>
      <c r="C5" s="2911"/>
      <c r="D5" s="2912"/>
      <c r="E5" s="2910" t="s">
        <v>3005</v>
      </c>
    </row>
    <row r="6" spans="1:5" ht="15.75">
      <c r="A6" s="2915" t="s">
        <v>3006</v>
      </c>
      <c r="B6" s="2911">
        <f ca="1">SUMIF(INDIRECT("'"&amp;A6&amp;"'"&amp;"!A:A"),"总价",INDIRECT("'"&amp;A6&amp;"'"&amp;"!B:B"))</f>
        <v>0</v>
      </c>
      <c r="C6" s="2910" t="s">
        <v>3000</v>
      </c>
      <c r="D6" s="2912"/>
      <c r="E6" s="2575">
        <f ca="1">SUMIF(INDIRECT("'"&amp;A6&amp;"'"&amp;"!C:C"),"建筑面积",INDIRECT("'"&amp;A6&amp;"'"&amp;"!D:D"))</f>
        <v>0</v>
      </c>
    </row>
    <row r="7" spans="1:5" ht="15.75">
      <c r="A7" s="2915"/>
      <c r="B7" s="2911" t="e">
        <f ca="1">SUMIF(INDIRECT("'"&amp;A7&amp;"'"&amp;"!A:A"),"总价",INDIRECT("'"&amp;A7&amp;"'"&amp;"!B:B"))</f>
        <v>#REF!</v>
      </c>
      <c r="C7" s="2910" t="s">
        <v>3000</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3000</v>
      </c>
      <c r="D8" s="2912"/>
      <c r="E8" s="2575" t="e">
        <f t="shared" ca="1" si="0"/>
        <v>#REF!</v>
      </c>
    </row>
    <row r="9" spans="1:5" ht="15.75">
      <c r="A9" s="2915"/>
      <c r="B9" s="2911" t="e">
        <f t="shared" ca="1" si="1"/>
        <v>#REF!</v>
      </c>
      <c r="C9" s="2910" t="s">
        <v>3000</v>
      </c>
      <c r="D9" s="2912"/>
      <c r="E9" s="2575" t="e">
        <f t="shared" ca="1" si="0"/>
        <v>#REF!</v>
      </c>
    </row>
    <row r="10" spans="1:5" ht="15.75">
      <c r="A10" s="2915"/>
      <c r="B10" s="2911" t="e">
        <f t="shared" ca="1" si="1"/>
        <v>#REF!</v>
      </c>
      <c r="C10" s="2910" t="s">
        <v>3000</v>
      </c>
      <c r="D10" s="2912"/>
      <c r="E10" s="2575" t="e">
        <f t="shared" ca="1" si="0"/>
        <v>#REF!</v>
      </c>
    </row>
    <row r="11" spans="1:5" ht="15.75">
      <c r="A11" s="2915"/>
      <c r="B11" s="2911" t="e">
        <f t="shared" ca="1" si="1"/>
        <v>#REF!</v>
      </c>
      <c r="C11" s="2910" t="s">
        <v>3000</v>
      </c>
      <c r="D11" s="2912"/>
      <c r="E11" s="2575" t="e">
        <f t="shared" ca="1" si="0"/>
        <v>#REF!</v>
      </c>
    </row>
    <row r="12" spans="1:5" ht="15.75">
      <c r="A12" s="2915"/>
      <c r="B12" s="2911" t="e">
        <f t="shared" ca="1" si="1"/>
        <v>#REF!</v>
      </c>
      <c r="C12" s="2910" t="s">
        <v>3000</v>
      </c>
      <c r="D12" s="2912"/>
      <c r="E12" s="2575" t="e">
        <f t="shared" ca="1" si="0"/>
        <v>#REF!</v>
      </c>
    </row>
    <row r="13" spans="1:5" ht="15.75">
      <c r="A13" s="2915"/>
      <c r="B13" s="2911" t="e">
        <f t="shared" ca="1" si="1"/>
        <v>#REF!</v>
      </c>
      <c r="C13" s="2910" t="s">
        <v>3000</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47" t="s">
        <v>1150</v>
      </c>
      <c r="C1" s="3347"/>
      <c r="D1" s="3347"/>
      <c r="E1" s="3347"/>
      <c r="F1" s="3347"/>
      <c r="G1" s="3346" t="s">
        <v>1151</v>
      </c>
      <c r="H1" s="3346"/>
      <c r="I1" s="3346"/>
      <c r="J1" s="3346"/>
      <c r="K1" s="3346"/>
      <c r="L1" s="3346"/>
      <c r="N1" s="3346" t="s">
        <v>1152</v>
      </c>
      <c r="O1" s="3346"/>
      <c r="P1" s="3346"/>
      <c r="Q1" s="3346"/>
      <c r="R1" s="1445"/>
      <c r="S1" s="3346" t="s">
        <v>1153</v>
      </c>
      <c r="T1" s="3346"/>
      <c r="U1" s="3346"/>
      <c r="V1" s="3346"/>
      <c r="X1" s="3345" t="s">
        <v>1154</v>
      </c>
      <c r="Y1" s="3346"/>
      <c r="Z1" s="3346"/>
      <c r="AA1" s="3346"/>
      <c r="AB1" s="3346"/>
      <c r="AD1" s="3345" t="s">
        <v>1155</v>
      </c>
      <c r="AE1" s="3346"/>
      <c r="AF1" s="3346"/>
      <c r="AG1" s="3346"/>
      <c r="AH1" s="3346"/>
    </row>
    <row r="2" spans="1:34" s="1446" customFormat="1" ht="14.25" thickBot="1">
      <c r="B2" s="1447" t="s">
        <v>1156</v>
      </c>
      <c r="C2" s="1447" t="s">
        <v>1157</v>
      </c>
      <c r="D2" s="1448" t="s">
        <v>1158</v>
      </c>
      <c r="E2" s="1448" t="s">
        <v>1159</v>
      </c>
      <c r="F2" s="1447" t="s">
        <v>1160</v>
      </c>
      <c r="G2" s="1449"/>
      <c r="H2" s="1450"/>
      <c r="I2" s="1447" t="s">
        <v>1156</v>
      </c>
      <c r="J2" s="1448" t="s">
        <v>1385</v>
      </c>
      <c r="K2" s="1448" t="s">
        <v>751</v>
      </c>
      <c r="L2" s="1447" t="s">
        <v>1160</v>
      </c>
      <c r="N2" s="1447" t="s">
        <v>1156</v>
      </c>
      <c r="O2" s="1448" t="s">
        <v>1385</v>
      </c>
      <c r="P2" s="1448" t="s">
        <v>751</v>
      </c>
      <c r="Q2" s="1447" t="s">
        <v>1160</v>
      </c>
      <c r="R2" s="1451"/>
      <c r="S2" s="1447" t="s">
        <v>1156</v>
      </c>
      <c r="T2" s="1448" t="s">
        <v>1385</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2929" customFormat="1" ht="14.25">
      <c r="A3" s="2938" t="s">
        <v>3042</v>
      </c>
      <c r="B3" s="2930"/>
      <c r="C3" s="2930"/>
      <c r="D3" s="2931"/>
      <c r="E3" s="2931"/>
      <c r="F3" s="2930"/>
      <c r="G3" s="2932"/>
      <c r="H3" s="2933"/>
      <c r="I3" s="2934">
        <f>ROUND(AVERAGE($I7:$I22),2)</f>
        <v>2.4500000000000002</v>
      </c>
      <c r="J3" s="2934">
        <f>ROUND(AVERAGE($J7:$J22),2)</f>
        <v>1.65</v>
      </c>
      <c r="K3" s="2934">
        <f>ROUND(AVERAGE($K7:$K22),2)</f>
        <v>2.71</v>
      </c>
      <c r="L3" s="2934">
        <f>ROUND(AVERAGE($L7:$L22),2)</f>
        <v>1.39</v>
      </c>
      <c r="N3" s="2932"/>
      <c r="O3" s="2935"/>
      <c r="P3" s="2935"/>
      <c r="Q3" s="2935"/>
      <c r="R3" s="2935"/>
      <c r="S3" s="2932"/>
      <c r="T3" s="2935"/>
      <c r="U3" s="2935"/>
      <c r="V3" s="2935"/>
      <c r="W3" s="2927"/>
      <c r="X3" s="2936">
        <f>ROUND(SUMPRODUCT(PRODUCT(1+N3:N$21)),4)</f>
        <v>1.4517</v>
      </c>
      <c r="Y3" s="2936">
        <f>ROUND(SUMPRODUCT(PRODUCT(1+O3:O$21)),4)</f>
        <v>1.2928999999999999</v>
      </c>
      <c r="Z3" s="2936">
        <f t="shared" ref="Z3:Z19" si="0">Y3</f>
        <v>1.2928999999999999</v>
      </c>
      <c r="AA3" s="2936">
        <f>ROUND(SUMPRODUCT(PRODUCT(1+P3:P$21)),4)</f>
        <v>1.5068999999999999</v>
      </c>
      <c r="AB3" s="2936">
        <f>ROUND(SUMPRODUCT(PRODUCT(1+Q3:Q$21)),4)</f>
        <v>1.2557</v>
      </c>
      <c r="AD3" s="2937">
        <f>ROUND(AVERAGE(I3:I$22)/100,4)</f>
        <v>2.2800000000000001E-2</v>
      </c>
      <c r="AE3" s="2937">
        <f>ROUND(AVERAGE(J3:J$22)/100,4)</f>
        <v>1.5699999999999999E-2</v>
      </c>
      <c r="AF3" s="2937">
        <f t="shared" ref="AF3:AF20" si="1">AE3</f>
        <v>1.5699999999999999E-2</v>
      </c>
      <c r="AG3" s="2937">
        <f>ROUND(AVERAGE(K3:K$22)/100,4)</f>
        <v>2.5100000000000001E-2</v>
      </c>
      <c r="AH3" s="2937">
        <f>ROUND(AVERAGE(L3:L$22)/100,4)</f>
        <v>1.35E-2</v>
      </c>
    </row>
    <row r="4" spans="1:34" s="1452" customFormat="1" ht="14.25">
      <c r="B4" s="1453"/>
      <c r="C4" s="1453"/>
      <c r="D4" s="1454"/>
      <c r="E4" s="1454"/>
      <c r="F4" s="1453"/>
      <c r="G4" s="1455"/>
      <c r="H4" s="1456"/>
      <c r="I4" s="2923"/>
      <c r="J4" s="2923"/>
      <c r="K4" s="2923"/>
      <c r="L4" s="2923"/>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3048</v>
      </c>
      <c r="B5" s="1790">
        <f t="shared" ref="B5" si="2">B6*(1+N5)</f>
        <v>446.46299999999997</v>
      </c>
      <c r="C5" s="1790">
        <f t="shared" ref="C5" si="3">C6*(1+O5)</f>
        <v>333.27840000000003</v>
      </c>
      <c r="D5" s="1790">
        <f t="shared" ref="D5" si="4">C5</f>
        <v>333.27840000000003</v>
      </c>
      <c r="E5" s="1790">
        <f t="shared" ref="E5" si="5">E6*(1+P5)</f>
        <v>637.28279999999995</v>
      </c>
      <c r="F5" s="1790">
        <f t="shared" ref="F5" si="6">F6*(1+Q5)</f>
        <v>288.68830000000003</v>
      </c>
      <c r="G5" s="2939">
        <v>2018</v>
      </c>
      <c r="H5" s="1729">
        <v>2</v>
      </c>
      <c r="I5" s="2924">
        <v>0</v>
      </c>
      <c r="J5" s="2924">
        <v>0</v>
      </c>
      <c r="K5" s="2924">
        <v>0</v>
      </c>
      <c r="L5" s="2924">
        <v>0</v>
      </c>
      <c r="N5" s="1466">
        <f t="shared" ref="N5" si="7">I5/100</f>
        <v>0</v>
      </c>
      <c r="O5" s="1466">
        <f t="shared" ref="O5" si="8">J5/100</f>
        <v>0</v>
      </c>
      <c r="P5" s="1466">
        <f t="shared" ref="P5" si="9">K5/100</f>
        <v>0</v>
      </c>
      <c r="Q5" s="1466">
        <f t="shared" ref="Q5" si="10">L5/100</f>
        <v>0</v>
      </c>
      <c r="R5" s="1731"/>
      <c r="S5" s="1732"/>
      <c r="T5" s="1731"/>
      <c r="U5" s="1731"/>
      <c r="V5" s="1731"/>
      <c r="W5" s="2928" t="s">
        <v>3043</v>
      </c>
      <c r="X5" s="1725">
        <f>ROUND(SUMPRODUCT(PRODUCT(1+N5:N$21)),4)</f>
        <v>1.4517</v>
      </c>
      <c r="Y5" s="1725">
        <f>ROUND(SUMPRODUCT(PRODUCT(1+O5:O$21)),4)</f>
        <v>1.2928999999999999</v>
      </c>
      <c r="Z5" s="1725">
        <f t="shared" ref="Z5" si="11">Y5</f>
        <v>1.2928999999999999</v>
      </c>
      <c r="AA5" s="1725">
        <f>ROUND(SUMPRODUCT(PRODUCT(1+P5:P$21)),4)</f>
        <v>1.5068999999999999</v>
      </c>
      <c r="AB5" s="1725">
        <f>ROUND(SUMPRODUCT(PRODUCT(1+Q5:Q$21)),4)</f>
        <v>1.2557</v>
      </c>
      <c r="AD5" s="1467">
        <f>ROUND(AVERAGE(I5:I$22)/100,4)</f>
        <v>2.2700000000000001E-2</v>
      </c>
      <c r="AE5" s="1467">
        <f>ROUND(AVERAGE(J5:J$22)/100,4)</f>
        <v>1.5699999999999999E-2</v>
      </c>
      <c r="AF5" s="1467">
        <f t="shared" ref="AF5" si="12">AE5</f>
        <v>1.5699999999999999E-2</v>
      </c>
      <c r="AG5" s="1467">
        <f>ROUND(AVERAGE(K5:K$22)/100,4)</f>
        <v>2.5000000000000001E-2</v>
      </c>
      <c r="AH5" s="1467">
        <f>ROUND(AVERAGE(L5:L$22)/100,4)</f>
        <v>1.35E-2</v>
      </c>
    </row>
    <row r="6" spans="1:34" s="1465" customFormat="1" ht="13.5" thickBot="1">
      <c r="A6" s="1460" t="s">
        <v>3041</v>
      </c>
      <c r="B6" s="1476">
        <f t="shared" ref="B6" si="13">B7*(1+N6)</f>
        <v>446.46299999999997</v>
      </c>
      <c r="C6" s="1476">
        <f t="shared" ref="C6" si="14">C7*(1+O6)</f>
        <v>333.27840000000003</v>
      </c>
      <c r="D6" s="1476">
        <f t="shared" ref="D6" si="15">C6</f>
        <v>333.27840000000003</v>
      </c>
      <c r="E6" s="1476">
        <f t="shared" ref="E6" si="16">E7*(1+P6)</f>
        <v>637.28279999999995</v>
      </c>
      <c r="F6" s="1476">
        <f t="shared" ref="F6" si="17">F7*(1+Q6)</f>
        <v>288.68830000000003</v>
      </c>
      <c r="G6" s="2940">
        <v>2018</v>
      </c>
      <c r="H6" s="1463">
        <v>1</v>
      </c>
      <c r="I6" s="1463">
        <v>1.7</v>
      </c>
      <c r="J6" s="1463">
        <v>1.92</v>
      </c>
      <c r="K6" s="1463">
        <v>1.64</v>
      </c>
      <c r="L6" s="1477">
        <v>2.0099999999999998</v>
      </c>
      <c r="M6" s="1470"/>
      <c r="N6" s="1471">
        <f t="shared" ref="N6:N11" si="18">I6/100</f>
        <v>1.7000000000000001E-2</v>
      </c>
      <c r="O6" s="1472">
        <f t="shared" ref="O6" si="19">J6/100</f>
        <v>1.9199999999999998E-2</v>
      </c>
      <c r="P6" s="1472">
        <f t="shared" ref="P6" si="20">K6/100</f>
        <v>1.6399999999999998E-2</v>
      </c>
      <c r="Q6" s="1472">
        <f t="shared" ref="Q6" si="21">L6/100</f>
        <v>2.0099999999999996E-2</v>
      </c>
      <c r="R6" s="1473"/>
      <c r="S6" s="1471">
        <f>B6/B7-1</f>
        <v>1.6999999999999904E-2</v>
      </c>
      <c r="T6" s="1472">
        <f t="shared" ref="T6" si="22">C6/C7-1</f>
        <v>1.9200000000000106E-2</v>
      </c>
      <c r="U6" s="1472">
        <f t="shared" ref="U6" si="23">D6/D7-1</f>
        <v>1.9200000000000106E-2</v>
      </c>
      <c r="V6" s="1472">
        <f t="shared" ref="V6" si="24">E6/E7-1</f>
        <v>1.639999999999997E-2</v>
      </c>
      <c r="W6" s="1789"/>
      <c r="X6" s="1787">
        <f>ROUND(SUMPRODUCT(PRODUCT(1+N6:N$21)),4)</f>
        <v>1.4517</v>
      </c>
      <c r="Y6" s="1787">
        <f>ROUND(SUMPRODUCT(PRODUCT(1+O6:O$21)),4)</f>
        <v>1.2928999999999999</v>
      </c>
      <c r="Z6" s="1787">
        <f t="shared" ref="Z6" si="25">Y6</f>
        <v>1.2928999999999999</v>
      </c>
      <c r="AA6" s="1787">
        <f>ROUND(SUMPRODUCT(PRODUCT(1+P6:P$21)),4)</f>
        <v>1.5068999999999999</v>
      </c>
      <c r="AB6" s="1787">
        <f>ROUND(SUMPRODUCT(PRODUCT(1+Q6:Q$21)),4)</f>
        <v>1.2557</v>
      </c>
      <c r="AC6" s="1789"/>
      <c r="AD6" s="1788">
        <f>ROUND(AVERAGE(I6:I$22)/100,4)</f>
        <v>2.4E-2</v>
      </c>
      <c r="AE6" s="1788">
        <f>ROUND(AVERAGE(J6:J$22)/100,4)</f>
        <v>1.66E-2</v>
      </c>
      <c r="AF6" s="1788">
        <f t="shared" ref="AF6" si="26">AE6</f>
        <v>1.66E-2</v>
      </c>
      <c r="AG6" s="1788">
        <f>ROUND(AVERAGE(K6:K$22)/100,4)</f>
        <v>2.6499999999999999E-2</v>
      </c>
      <c r="AH6" s="1788">
        <f>ROUND(AVERAGE(L6:L$22)/100,4)</f>
        <v>1.43E-2</v>
      </c>
    </row>
    <row r="7" spans="1:34">
      <c r="A7" s="1460" t="s">
        <v>3038</v>
      </c>
      <c r="B7" s="1468">
        <v>439</v>
      </c>
      <c r="C7" s="1468">
        <v>327</v>
      </c>
      <c r="D7" s="1468">
        <f>C7</f>
        <v>327</v>
      </c>
      <c r="E7" s="1468">
        <v>627</v>
      </c>
      <c r="F7" s="1469">
        <v>283</v>
      </c>
      <c r="G7" s="2926">
        <v>2017</v>
      </c>
      <c r="H7" s="1461">
        <v>4</v>
      </c>
      <c r="I7" s="1461">
        <v>1.71</v>
      </c>
      <c r="J7" s="1461">
        <v>1.78</v>
      </c>
      <c r="K7" s="1461">
        <v>1.71</v>
      </c>
      <c r="L7" s="1462">
        <v>1.43</v>
      </c>
      <c r="N7" s="1471">
        <f t="shared" si="18"/>
        <v>1.7100000000000001E-2</v>
      </c>
      <c r="O7" s="1472">
        <f t="shared" ref="O7" si="27">J7/100</f>
        <v>1.78E-2</v>
      </c>
      <c r="P7" s="1472">
        <f t="shared" ref="P7" si="28">K7/100</f>
        <v>1.7100000000000001E-2</v>
      </c>
      <c r="Q7" s="1472">
        <f t="shared" ref="Q7" si="29">L7/100</f>
        <v>1.43E-2</v>
      </c>
      <c r="R7" s="1473"/>
      <c r="S7" s="1474"/>
      <c r="T7" s="1475"/>
      <c r="U7" s="1475"/>
      <c r="V7" s="1475"/>
      <c r="X7" s="1458">
        <f>ROUND(SUMPRODUCT(PRODUCT(1+N7:N$21)),4)</f>
        <v>1.4274</v>
      </c>
      <c r="Y7" s="1458">
        <f>ROUND(SUMPRODUCT(PRODUCT(1+O7:O$21)),4)</f>
        <v>1.2685</v>
      </c>
      <c r="Z7" s="1458">
        <f t="shared" si="0"/>
        <v>1.2685</v>
      </c>
      <c r="AA7" s="1458">
        <f>ROUND(SUMPRODUCT(PRODUCT(1+P7:P$21)),4)</f>
        <v>1.4825999999999999</v>
      </c>
      <c r="AB7" s="1458">
        <f>ROUND(SUMPRODUCT(PRODUCT(1+Q7:Q$21)),4)</f>
        <v>1.2309000000000001</v>
      </c>
      <c r="AD7" s="1459">
        <f>ROUND(AVERAGE(I7:I$22)/100,4)</f>
        <v>2.4500000000000001E-2</v>
      </c>
      <c r="AE7" s="1459">
        <f>ROUND(AVERAGE(J7:J$22)/100,4)</f>
        <v>1.6500000000000001E-2</v>
      </c>
      <c r="AF7" s="1459">
        <f t="shared" si="1"/>
        <v>1.6500000000000001E-2</v>
      </c>
      <c r="AG7" s="1459">
        <f>ROUND(AVERAGE(K7:K$22)/100,4)</f>
        <v>2.7099999999999999E-2</v>
      </c>
      <c r="AH7" s="1459">
        <f>ROUND(AVERAGE(L7:L$22)/100,4)</f>
        <v>1.3899999999999999E-2</v>
      </c>
    </row>
    <row r="8" spans="1:34" s="1465" customFormat="1" ht="13.5" thickBot="1">
      <c r="A8" s="1460" t="s">
        <v>3039</v>
      </c>
      <c r="B8" s="1476">
        <f t="shared" ref="B8:B9" si="30">B9*(1+N8)</f>
        <v>431.80730811680002</v>
      </c>
      <c r="C8" s="1476">
        <f t="shared" ref="C8:C9" si="31">C9*(1+O8)</f>
        <v>320.57880516480003</v>
      </c>
      <c r="D8" s="1476">
        <f t="shared" ref="D8:D9" si="32">C8</f>
        <v>320.57880516480003</v>
      </c>
      <c r="E8" s="1476">
        <f t="shared" ref="E8:E9" si="33">E9*(1+P8)</f>
        <v>615.96110553196797</v>
      </c>
      <c r="F8" s="1476">
        <f t="shared" ref="F8:F9" si="34">F9*(1+Q8)</f>
        <v>279.46777300108801</v>
      </c>
      <c r="G8" s="2922"/>
      <c r="H8" s="1463">
        <v>3</v>
      </c>
      <c r="I8" s="1463">
        <v>2.98</v>
      </c>
      <c r="J8" s="1463">
        <v>2.11</v>
      </c>
      <c r="K8" s="1463">
        <v>3.24</v>
      </c>
      <c r="L8" s="1477">
        <v>1.72</v>
      </c>
      <c r="M8" s="1470"/>
      <c r="N8" s="1471">
        <f t="shared" si="18"/>
        <v>2.98E-2</v>
      </c>
      <c r="O8" s="1472">
        <f t="shared" ref="O8" si="35">J8/100</f>
        <v>2.1099999999999997E-2</v>
      </c>
      <c r="P8" s="1472">
        <f t="shared" ref="P8" si="36">K8/100</f>
        <v>3.2400000000000005E-2</v>
      </c>
      <c r="Q8" s="1472">
        <f t="shared" ref="Q8" si="37">L8/100</f>
        <v>1.72E-2</v>
      </c>
      <c r="R8" s="1473"/>
      <c r="S8" s="1471"/>
      <c r="T8" s="1472"/>
      <c r="U8" s="1472"/>
      <c r="V8" s="1472"/>
      <c r="W8" s="1789"/>
      <c r="X8" s="1787">
        <f>ROUND(SUMPRODUCT(PRODUCT(1+N8:N$21)),4)</f>
        <v>1.4034</v>
      </c>
      <c r="Y8" s="1787">
        <f>ROUND(SUMPRODUCT(PRODUCT(1+O8:O$21)),4)</f>
        <v>1.2463</v>
      </c>
      <c r="Z8" s="1787">
        <f t="shared" si="0"/>
        <v>1.2463</v>
      </c>
      <c r="AA8" s="1787">
        <f>ROUND(SUMPRODUCT(PRODUCT(1+P8:P$21)),4)</f>
        <v>1.4577</v>
      </c>
      <c r="AB8" s="1787">
        <f>ROUND(SUMPRODUCT(PRODUCT(1+Q8:Q$21)),4)</f>
        <v>1.2136</v>
      </c>
      <c r="AC8" s="1789"/>
      <c r="AD8" s="1788">
        <f>ROUND(AVERAGE(I8:I$22)/100,4)</f>
        <v>2.4899999999999999E-2</v>
      </c>
      <c r="AE8" s="1788">
        <f>ROUND(AVERAGE(J8:J$22)/100,4)</f>
        <v>1.6400000000000001E-2</v>
      </c>
      <c r="AF8" s="1788">
        <f t="shared" si="1"/>
        <v>1.6400000000000001E-2</v>
      </c>
      <c r="AG8" s="1788">
        <f>ROUND(AVERAGE(K8:K$22)/100,4)</f>
        <v>2.7799999999999998E-2</v>
      </c>
      <c r="AH8" s="1788">
        <f>ROUND(AVERAGE(L8:L$22)/100,4)</f>
        <v>1.3899999999999999E-2</v>
      </c>
    </row>
    <row r="9" spans="1:34" s="1730" customFormat="1">
      <c r="A9" s="1460" t="s">
        <v>1386</v>
      </c>
      <c r="B9" s="1476">
        <f t="shared" si="30"/>
        <v>419.31181600000002</v>
      </c>
      <c r="C9" s="1476">
        <f t="shared" si="31"/>
        <v>313.95436800000004</v>
      </c>
      <c r="D9" s="1476">
        <f t="shared" si="32"/>
        <v>313.95436800000004</v>
      </c>
      <c r="E9" s="1476">
        <f t="shared" si="33"/>
        <v>596.63028431999999</v>
      </c>
      <c r="F9" s="1476">
        <f t="shared" si="34"/>
        <v>274.74220703999998</v>
      </c>
      <c r="G9" s="2921"/>
      <c r="H9" s="1464">
        <v>2</v>
      </c>
      <c r="I9" s="1464">
        <v>3.4</v>
      </c>
      <c r="J9" s="1464">
        <v>2</v>
      </c>
      <c r="K9" s="1464">
        <v>3.82</v>
      </c>
      <c r="L9" s="1478">
        <v>1.68</v>
      </c>
      <c r="M9" s="1470"/>
      <c r="N9" s="1471">
        <f t="shared" si="18"/>
        <v>3.4000000000000002E-2</v>
      </c>
      <c r="O9" s="1472">
        <f t="shared" ref="O9" si="38">J9/100</f>
        <v>0.02</v>
      </c>
      <c r="P9" s="1472">
        <f t="shared" ref="P9" si="39">K9/100</f>
        <v>3.8199999999999998E-2</v>
      </c>
      <c r="Q9" s="1472">
        <f t="shared" ref="Q9" si="40">L9/100</f>
        <v>1.6799999999999999E-2</v>
      </c>
      <c r="R9" s="1473"/>
      <c r="S9" s="1474"/>
      <c r="T9" s="1475"/>
      <c r="U9" s="1475"/>
      <c r="V9" s="1475"/>
      <c r="W9" s="1452"/>
      <c r="X9" s="1787">
        <f>ROUND(SUMPRODUCT(PRODUCT(1+N9:N$21)),4)</f>
        <v>1.3628</v>
      </c>
      <c r="Y9" s="1787">
        <f>ROUND(SUMPRODUCT(PRODUCT(1+O9:O$21)),4)</f>
        <v>1.2205999999999999</v>
      </c>
      <c r="Z9" s="1787">
        <f t="shared" si="0"/>
        <v>1.2205999999999999</v>
      </c>
      <c r="AA9" s="1787">
        <f>ROUND(SUMPRODUCT(PRODUCT(1+P9:P$21)),4)</f>
        <v>1.4118999999999999</v>
      </c>
      <c r="AB9" s="1787">
        <f>ROUND(SUMPRODUCT(PRODUCT(1+Q9:Q$21)),4)</f>
        <v>1.1930000000000001</v>
      </c>
      <c r="AC9" s="1452"/>
      <c r="AD9" s="1788">
        <f>ROUND(AVERAGE(I9:I$22)/100,4)</f>
        <v>2.46E-2</v>
      </c>
      <c r="AE9" s="1788">
        <f>ROUND(AVERAGE(J9:J$22)/100,4)</f>
        <v>1.6E-2</v>
      </c>
      <c r="AF9" s="1788">
        <f t="shared" si="1"/>
        <v>1.6E-2</v>
      </c>
      <c r="AG9" s="1788">
        <f>ROUND(AVERAGE(K9:K$22)/100,4)</f>
        <v>2.75E-2</v>
      </c>
      <c r="AH9" s="1788">
        <f>ROUND(AVERAGE(L9:L$22)/100,4)</f>
        <v>1.37E-2</v>
      </c>
    </row>
    <row r="10" spans="1:34" s="1465" customFormat="1" ht="13.5" thickBot="1">
      <c r="A10" s="1460" t="s">
        <v>1161</v>
      </c>
      <c r="B10" s="1476">
        <f>B11*(1+N10)</f>
        <v>405.524</v>
      </c>
      <c r="C10" s="1476">
        <f>C11*(1+O10)</f>
        <v>307.79840000000002</v>
      </c>
      <c r="D10" s="1476">
        <f>C10</f>
        <v>307.79840000000002</v>
      </c>
      <c r="E10" s="1476">
        <f>E11*(1+P10)</f>
        <v>574.67759999999998</v>
      </c>
      <c r="F10" s="1476">
        <f>F11*(1+Q10)</f>
        <v>270.20280000000002</v>
      </c>
      <c r="G10" s="2922"/>
      <c r="H10" s="1463">
        <v>1</v>
      </c>
      <c r="I10" s="1463">
        <v>3.45</v>
      </c>
      <c r="J10" s="1463">
        <v>1.92</v>
      </c>
      <c r="K10" s="1463">
        <v>3.92</v>
      </c>
      <c r="L10" s="1477">
        <v>1.58</v>
      </c>
      <c r="M10" s="1470"/>
      <c r="N10" s="1471">
        <f t="shared" si="18"/>
        <v>3.4500000000000003E-2</v>
      </c>
      <c r="O10" s="1472">
        <f t="shared" ref="O10:Q25" si="41">J10/100</f>
        <v>1.9199999999999998E-2</v>
      </c>
      <c r="P10" s="1472">
        <f t="shared" si="41"/>
        <v>3.9199999999999999E-2</v>
      </c>
      <c r="Q10" s="1472">
        <f t="shared" si="41"/>
        <v>1.5800000000000002E-2</v>
      </c>
      <c r="R10" s="1473"/>
      <c r="S10" s="1471">
        <f>B10/B11-1</f>
        <v>3.4499999999999975E-2</v>
      </c>
      <c r="T10" s="1472">
        <f t="shared" ref="T10:V10" si="42">C10/C11-1</f>
        <v>1.9200000000000106E-2</v>
      </c>
      <c r="U10" s="1472">
        <f t="shared" si="42"/>
        <v>1.9200000000000106E-2</v>
      </c>
      <c r="V10" s="1472">
        <f t="shared" si="42"/>
        <v>3.9199999999999902E-2</v>
      </c>
      <c r="W10" s="1789"/>
      <c r="X10" s="1787">
        <f>ROUND(SUMPRODUCT(PRODUCT(1+N10:N$21)),4)</f>
        <v>1.3180000000000001</v>
      </c>
      <c r="Y10" s="1787">
        <f>ROUND(SUMPRODUCT(PRODUCT(1+O10:O$21)),4)</f>
        <v>1.1966000000000001</v>
      </c>
      <c r="Z10" s="1787">
        <f t="shared" si="0"/>
        <v>1.1966000000000001</v>
      </c>
      <c r="AA10" s="1787">
        <f>ROUND(SUMPRODUCT(PRODUCT(1+P10:P$21)),4)</f>
        <v>1.36</v>
      </c>
      <c r="AB10" s="1787">
        <f>ROUND(SUMPRODUCT(PRODUCT(1+Q10:Q$21)),4)</f>
        <v>1.1733</v>
      </c>
      <c r="AC10" s="1789"/>
      <c r="AD10" s="1788">
        <f>ROUND(AVERAGE(I10:I$22)/100,4)</f>
        <v>2.3900000000000001E-2</v>
      </c>
      <c r="AE10" s="1788">
        <f>ROUND(AVERAGE(J10:J$22)/100,4)</f>
        <v>1.5699999999999999E-2</v>
      </c>
      <c r="AF10" s="1788">
        <f t="shared" si="1"/>
        <v>1.5699999999999999E-2</v>
      </c>
      <c r="AG10" s="1788">
        <f>ROUND(AVERAGE(K10:K$22)/100,4)</f>
        <v>2.6599999999999999E-2</v>
      </c>
      <c r="AH10" s="1788">
        <f>ROUND(AVERAGE(L10:L$22)/100,4)</f>
        <v>1.34E-2</v>
      </c>
    </row>
    <row r="11" spans="1:34">
      <c r="A11" s="1460" t="s">
        <v>154</v>
      </c>
      <c r="B11" s="1468">
        <v>392</v>
      </c>
      <c r="C11" s="1468">
        <v>302</v>
      </c>
      <c r="D11" s="1468">
        <f>C11</f>
        <v>302</v>
      </c>
      <c r="E11" s="1468">
        <v>553</v>
      </c>
      <c r="F11" s="1469">
        <v>266</v>
      </c>
      <c r="G11" s="3348">
        <v>2016</v>
      </c>
      <c r="H11" s="1461">
        <v>4</v>
      </c>
      <c r="I11" s="1461">
        <v>4.5599999999999996</v>
      </c>
      <c r="J11" s="1461">
        <v>2.15</v>
      </c>
      <c r="K11" s="1461">
        <v>5.32</v>
      </c>
      <c r="L11" s="1462">
        <v>1.57</v>
      </c>
      <c r="N11" s="1471">
        <f t="shared" si="18"/>
        <v>4.5599999999999995E-2</v>
      </c>
      <c r="O11" s="1472">
        <f t="shared" si="41"/>
        <v>2.1499999999999998E-2</v>
      </c>
      <c r="P11" s="1472">
        <f t="shared" si="41"/>
        <v>5.3200000000000004E-2</v>
      </c>
      <c r="Q11" s="1472">
        <f t="shared" si="41"/>
        <v>1.5700000000000002E-2</v>
      </c>
      <c r="R11" s="1473"/>
      <c r="S11" s="1474"/>
      <c r="T11" s="1475"/>
      <c r="U11" s="1475"/>
      <c r="V11" s="1475"/>
      <c r="X11" s="1458">
        <f>ROUND(SUMPRODUCT(PRODUCT(1+N11:N$21)),4)</f>
        <v>1.274</v>
      </c>
      <c r="Y11" s="1458">
        <f>ROUND(SUMPRODUCT(PRODUCT(1+O11:O$21)),4)</f>
        <v>1.1740999999999999</v>
      </c>
      <c r="Z11" s="1458">
        <f t="shared" si="0"/>
        <v>1.1740999999999999</v>
      </c>
      <c r="AA11" s="1458">
        <f>ROUND(SUMPRODUCT(PRODUCT(1+P11:P$21)),4)</f>
        <v>1.3087</v>
      </c>
      <c r="AB11" s="1458">
        <f>ROUND(SUMPRODUCT(PRODUCT(1+Q11:Q$21)),4)</f>
        <v>1.1551</v>
      </c>
      <c r="AD11" s="1459">
        <f>ROUND(AVERAGE(I11:I$22)/100,4)</f>
        <v>2.3E-2</v>
      </c>
      <c r="AE11" s="1459">
        <f>ROUND(AVERAGE(J11:J$22)/100,4)</f>
        <v>1.55E-2</v>
      </c>
      <c r="AF11" s="1459">
        <f t="shared" si="1"/>
        <v>1.55E-2</v>
      </c>
      <c r="AG11" s="1459">
        <f>ROUND(AVERAGE(K11:K$22)/100,4)</f>
        <v>2.5600000000000001E-2</v>
      </c>
      <c r="AH11" s="1459">
        <f>ROUND(AVERAGE(L11:L$22)/100,4)</f>
        <v>1.32E-2</v>
      </c>
    </row>
    <row r="12" spans="1:34">
      <c r="A12" s="1460" t="s">
        <v>153</v>
      </c>
      <c r="B12" s="1476">
        <f t="shared" ref="B12:C14" si="43">B11/(1+N11)</f>
        <v>374.90436113236416</v>
      </c>
      <c r="C12" s="1476">
        <f t="shared" si="43"/>
        <v>295.64366128242779</v>
      </c>
      <c r="D12" s="1476">
        <f t="shared" ref="D12:D71" si="44">C12</f>
        <v>295.64366128242779</v>
      </c>
      <c r="E12" s="1476">
        <f t="shared" ref="E12:F14" si="45">E11/(1+P11)</f>
        <v>525.06646410938095</v>
      </c>
      <c r="F12" s="1476">
        <f t="shared" si="45"/>
        <v>261.88835286009646</v>
      </c>
      <c r="G12" s="3343"/>
      <c r="H12" s="1463">
        <v>3</v>
      </c>
      <c r="I12" s="1463">
        <v>4.12</v>
      </c>
      <c r="J12" s="1463">
        <v>2</v>
      </c>
      <c r="K12" s="1463">
        <v>4.79</v>
      </c>
      <c r="L12" s="1477">
        <v>1.97</v>
      </c>
      <c r="N12" s="1471">
        <f t="shared" ref="N12:Q46" si="46">I12/100</f>
        <v>4.1200000000000001E-2</v>
      </c>
      <c r="O12" s="1472">
        <f t="shared" si="41"/>
        <v>0.02</v>
      </c>
      <c r="P12" s="1472">
        <f t="shared" si="41"/>
        <v>4.7899999999999998E-2</v>
      </c>
      <c r="Q12" s="1472">
        <f t="shared" si="41"/>
        <v>1.9699999999999999E-2</v>
      </c>
      <c r="R12" s="1473"/>
      <c r="S12" s="1471"/>
      <c r="T12" s="1472"/>
      <c r="U12" s="1472"/>
      <c r="V12" s="1472"/>
      <c r="X12" s="1458">
        <f>ROUND(SUMPRODUCT(PRODUCT(1+N12:N$21)),4)</f>
        <v>1.2184999999999999</v>
      </c>
      <c r="Y12" s="1458">
        <f>ROUND(SUMPRODUCT(PRODUCT(1+O12:O$21)),4)</f>
        <v>1.1494</v>
      </c>
      <c r="Z12" s="1458">
        <f t="shared" si="0"/>
        <v>1.1494</v>
      </c>
      <c r="AA12" s="1458">
        <f>ROUND(SUMPRODUCT(PRODUCT(1+P12:P$21)),4)</f>
        <v>1.2425999999999999</v>
      </c>
      <c r="AB12" s="1458">
        <f>ROUND(SUMPRODUCT(PRODUCT(1+Q12:Q$21)),4)</f>
        <v>1.1372</v>
      </c>
      <c r="AD12" s="1459">
        <f>ROUND(AVERAGE(I12:I$22)/100,4)</f>
        <v>2.0899999999999998E-2</v>
      </c>
      <c r="AE12" s="1459">
        <f>ROUND(AVERAGE(J12:J$22)/100,4)</f>
        <v>1.49E-2</v>
      </c>
      <c r="AF12" s="1459">
        <f t="shared" si="1"/>
        <v>1.49E-2</v>
      </c>
      <c r="AG12" s="1459">
        <f>ROUND(AVERAGE(K12:K$22)/100,4)</f>
        <v>2.3099999999999999E-2</v>
      </c>
      <c r="AH12" s="1459">
        <f>ROUND(AVERAGE(L12:L$22)/100,4)</f>
        <v>1.2999999999999999E-2</v>
      </c>
    </row>
    <row r="13" spans="1:34">
      <c r="A13" s="1460" t="s">
        <v>143</v>
      </c>
      <c r="B13" s="1476">
        <f t="shared" si="43"/>
        <v>360.06949782209392</v>
      </c>
      <c r="C13" s="1476">
        <f t="shared" si="43"/>
        <v>289.84672674747821</v>
      </c>
      <c r="D13" s="1476">
        <f t="shared" si="44"/>
        <v>289.84672674747821</v>
      </c>
      <c r="E13" s="1476">
        <f t="shared" si="45"/>
        <v>501.06543001181495</v>
      </c>
      <c r="F13" s="1476">
        <f t="shared" si="45"/>
        <v>256.82882500744967</v>
      </c>
      <c r="G13" s="3343"/>
      <c r="H13" s="1464">
        <v>2</v>
      </c>
      <c r="I13" s="1464">
        <v>3.85</v>
      </c>
      <c r="J13" s="1464">
        <v>1.95</v>
      </c>
      <c r="K13" s="1464">
        <v>4.4800000000000004</v>
      </c>
      <c r="L13" s="1478">
        <v>1.41</v>
      </c>
      <c r="N13" s="1471">
        <f t="shared" si="46"/>
        <v>3.85E-2</v>
      </c>
      <c r="O13" s="1472">
        <f t="shared" si="41"/>
        <v>1.95E-2</v>
      </c>
      <c r="P13" s="1472">
        <f t="shared" si="41"/>
        <v>4.4800000000000006E-2</v>
      </c>
      <c r="Q13" s="1472">
        <f t="shared" si="41"/>
        <v>1.41E-2</v>
      </c>
      <c r="R13" s="1473"/>
      <c r="S13" s="1471"/>
      <c r="T13" s="1472"/>
      <c r="U13" s="1472"/>
      <c r="V13" s="1472"/>
      <c r="X13" s="1458">
        <f>ROUND(SUMPRODUCT(PRODUCT(1+N13:N$21)),4)</f>
        <v>1.1702999999999999</v>
      </c>
      <c r="Y13" s="1458">
        <f>ROUND(SUMPRODUCT(PRODUCT(1+O13:O$21)),4)</f>
        <v>1.1269</v>
      </c>
      <c r="Z13" s="1458">
        <f t="shared" si="0"/>
        <v>1.1269</v>
      </c>
      <c r="AA13" s="1458">
        <f>ROUND(SUMPRODUCT(PRODUCT(1+P13:P$21)),4)</f>
        <v>1.1858</v>
      </c>
      <c r="AB13" s="1458">
        <f>ROUND(SUMPRODUCT(PRODUCT(1+Q13:Q$21)),4)</f>
        <v>1.1152</v>
      </c>
      <c r="AD13" s="1459">
        <f>ROUND(AVERAGE(I13:I$22)/100,4)</f>
        <v>1.89E-2</v>
      </c>
      <c r="AE13" s="1459">
        <f>ROUND(AVERAGE(J13:J$22)/100,4)</f>
        <v>1.44E-2</v>
      </c>
      <c r="AF13" s="1459">
        <f t="shared" si="1"/>
        <v>1.44E-2</v>
      </c>
      <c r="AG13" s="1459">
        <f>ROUND(AVERAGE(K13:K$22)/100,4)</f>
        <v>2.06E-2</v>
      </c>
      <c r="AH13" s="1459">
        <f>ROUND(AVERAGE(L13:L$22)/100,4)</f>
        <v>1.23E-2</v>
      </c>
    </row>
    <row r="14" spans="1:34" ht="13.5" thickBot="1">
      <c r="A14" s="1460" t="s">
        <v>152</v>
      </c>
      <c r="B14" s="1476">
        <f t="shared" si="43"/>
        <v>346.720748986128</v>
      </c>
      <c r="C14" s="1476">
        <f t="shared" si="43"/>
        <v>284.30282172386285</v>
      </c>
      <c r="D14" s="1476">
        <f t="shared" si="44"/>
        <v>284.30282172386285</v>
      </c>
      <c r="E14" s="1476">
        <f t="shared" si="45"/>
        <v>479.58023546306947</v>
      </c>
      <c r="F14" s="1476">
        <f t="shared" si="45"/>
        <v>253.25788877571213</v>
      </c>
      <c r="G14" s="3344"/>
      <c r="H14" s="1463">
        <v>1</v>
      </c>
      <c r="I14" s="1463">
        <v>4.09</v>
      </c>
      <c r="J14" s="1463">
        <v>2.93</v>
      </c>
      <c r="K14" s="1463">
        <v>4.54</v>
      </c>
      <c r="L14" s="1477">
        <v>1.48</v>
      </c>
      <c r="N14" s="1471">
        <f t="shared" si="46"/>
        <v>4.0899999999999999E-2</v>
      </c>
      <c r="O14" s="1472">
        <f t="shared" si="41"/>
        <v>2.9300000000000003E-2</v>
      </c>
      <c r="P14" s="1472">
        <f t="shared" si="41"/>
        <v>4.5400000000000003E-2</v>
      </c>
      <c r="Q14" s="1472">
        <f t="shared" si="41"/>
        <v>1.4800000000000001E-2</v>
      </c>
      <c r="R14" s="1473"/>
      <c r="S14" s="1479">
        <f>B14/B15-1</f>
        <v>4.1203450408792808E-2</v>
      </c>
      <c r="T14" s="1480">
        <f>C14/C15-1</f>
        <v>2.6363977342465095E-2</v>
      </c>
      <c r="U14" s="1480">
        <f>E14/E15-1</f>
        <v>4.4837114298626357E-2</v>
      </c>
      <c r="V14" s="1480">
        <f>F14/F15-1</f>
        <v>1.7099954922538574E-2</v>
      </c>
      <c r="X14" s="1458">
        <f>ROUND(SUMPRODUCT(PRODUCT(1+N14:N$21)),4)</f>
        <v>1.1269</v>
      </c>
      <c r="Y14" s="1458">
        <f>ROUND(SUMPRODUCT(PRODUCT(1+O14:O$21)),4)</f>
        <v>1.1052999999999999</v>
      </c>
      <c r="Z14" s="1458">
        <f t="shared" si="0"/>
        <v>1.1052999999999999</v>
      </c>
      <c r="AA14" s="1458">
        <f>ROUND(SUMPRODUCT(PRODUCT(1+P14:P$21)),4)</f>
        <v>1.1349</v>
      </c>
      <c r="AB14" s="1458">
        <f>ROUND(SUMPRODUCT(PRODUCT(1+Q14:Q$21)),4)</f>
        <v>1.0996999999999999</v>
      </c>
      <c r="AD14" s="1459">
        <f>ROUND(AVERAGE(I14:I$22)/100,4)</f>
        <v>1.67E-2</v>
      </c>
      <c r="AE14" s="1459">
        <f>ROUND(AVERAGE(J14:J$22)/100,4)</f>
        <v>1.38E-2</v>
      </c>
      <c r="AF14" s="1459">
        <f t="shared" si="1"/>
        <v>1.38E-2</v>
      </c>
      <c r="AG14" s="1459">
        <f>ROUND(AVERAGE(K14:K$22)/100,4)</f>
        <v>1.7899999999999999E-2</v>
      </c>
      <c r="AH14" s="1459">
        <f>ROUND(AVERAGE(L14:L$22)/100,4)</f>
        <v>1.21E-2</v>
      </c>
    </row>
    <row r="15" spans="1:34" ht="13.5" thickBot="1">
      <c r="A15" s="1460" t="s">
        <v>151</v>
      </c>
      <c r="B15" s="1468">
        <v>333</v>
      </c>
      <c r="C15" s="1468">
        <v>277</v>
      </c>
      <c r="D15" s="1468">
        <f t="shared" si="44"/>
        <v>277</v>
      </c>
      <c r="E15" s="1468">
        <v>459</v>
      </c>
      <c r="F15" s="1469">
        <v>249</v>
      </c>
      <c r="G15" s="3342">
        <v>2015</v>
      </c>
      <c r="H15" s="1481">
        <v>4</v>
      </c>
      <c r="I15" s="1481">
        <v>1.63</v>
      </c>
      <c r="J15" s="1481">
        <v>1.1100000000000001</v>
      </c>
      <c r="K15" s="1481">
        <v>1.77</v>
      </c>
      <c r="L15" s="1482">
        <v>1.89</v>
      </c>
      <c r="N15" s="1483">
        <f t="shared" si="46"/>
        <v>1.6299999999999999E-2</v>
      </c>
      <c r="O15" s="1484">
        <f t="shared" si="41"/>
        <v>1.11E-2</v>
      </c>
      <c r="P15" s="1484">
        <f t="shared" si="41"/>
        <v>1.77E-2</v>
      </c>
      <c r="Q15" s="1484">
        <f t="shared" si="41"/>
        <v>1.89E-2</v>
      </c>
      <c r="R15" s="1473"/>
      <c r="X15" s="1458">
        <f>ROUND(SUMPRODUCT(PRODUCT(1+N15:N$21)),4)</f>
        <v>1.0826</v>
      </c>
      <c r="Y15" s="1458">
        <f>ROUND(SUMPRODUCT(PRODUCT(1+O15:O$21)),4)</f>
        <v>1.0738000000000001</v>
      </c>
      <c r="Z15" s="1458">
        <f t="shared" si="0"/>
        <v>1.0738000000000001</v>
      </c>
      <c r="AA15" s="1458">
        <f>ROUND(SUMPRODUCT(PRODUCT(1+P15:P$21)),4)</f>
        <v>1.0855999999999999</v>
      </c>
      <c r="AB15" s="1458">
        <f>ROUND(SUMPRODUCT(PRODUCT(1+Q15:Q$21)),4)</f>
        <v>1.0837000000000001</v>
      </c>
      <c r="AD15" s="1459">
        <f>ROUND(AVERAGE(I15:I$22)/100,4)</f>
        <v>1.37E-2</v>
      </c>
      <c r="AE15" s="1459">
        <f>ROUND(AVERAGE(J15:J$22)/100,4)</f>
        <v>1.1900000000000001E-2</v>
      </c>
      <c r="AF15" s="1459">
        <f t="shared" si="1"/>
        <v>1.1900000000000001E-2</v>
      </c>
      <c r="AG15" s="1459">
        <f>ROUND(AVERAGE(K15:K$22)/100,4)</f>
        <v>1.4500000000000001E-2</v>
      </c>
      <c r="AH15" s="1459">
        <f>ROUND(AVERAGE(L15:L$22)/100,4)</f>
        <v>1.18E-2</v>
      </c>
    </row>
    <row r="16" spans="1:34">
      <c r="A16" s="1460" t="s">
        <v>150</v>
      </c>
      <c r="B16" s="1476">
        <f t="shared" ref="B16:C18" si="47">B15/(1+N15)</f>
        <v>327.65915576109415</v>
      </c>
      <c r="C16" s="1476">
        <f t="shared" si="47"/>
        <v>273.95905449510434</v>
      </c>
      <c r="D16" s="1476">
        <f t="shared" si="44"/>
        <v>273.95905449510434</v>
      </c>
      <c r="E16" s="1476">
        <f t="shared" ref="E16:F18" si="48">E15/(1+P15)</f>
        <v>451.01699911565294</v>
      </c>
      <c r="F16" s="1476">
        <f t="shared" si="48"/>
        <v>244.38119540681129</v>
      </c>
      <c r="G16" s="3343"/>
      <c r="H16" s="1486">
        <v>3</v>
      </c>
      <c r="I16" s="1486">
        <v>1.65</v>
      </c>
      <c r="J16" s="1486">
        <v>0.92</v>
      </c>
      <c r="K16" s="1486">
        <v>1.88</v>
      </c>
      <c r="L16" s="1487">
        <v>1.26</v>
      </c>
      <c r="N16" s="1471">
        <f t="shared" si="46"/>
        <v>1.6500000000000001E-2</v>
      </c>
      <c r="O16" s="1488">
        <f t="shared" si="41"/>
        <v>9.1999999999999998E-3</v>
      </c>
      <c r="P16" s="1488">
        <f t="shared" si="41"/>
        <v>1.8799999999999997E-2</v>
      </c>
      <c r="Q16" s="1488">
        <f t="shared" si="41"/>
        <v>1.26E-2</v>
      </c>
      <c r="R16" s="1473"/>
      <c r="S16" s="1471"/>
      <c r="T16" s="1472"/>
      <c r="U16" s="1472"/>
      <c r="V16" s="1472"/>
      <c r="X16" s="1458">
        <f>ROUND(SUMPRODUCT(PRODUCT(1+N16:N$21)),4)</f>
        <v>1.0651999999999999</v>
      </c>
      <c r="Y16" s="1458">
        <f>ROUND(SUMPRODUCT(PRODUCT(1+O16:O$21)),4)</f>
        <v>1.0621</v>
      </c>
      <c r="Z16" s="1458">
        <f t="shared" si="0"/>
        <v>1.0621</v>
      </c>
      <c r="AA16" s="1458">
        <f>ROUND(SUMPRODUCT(PRODUCT(1+P16:P$21)),4)</f>
        <v>1.0668</v>
      </c>
      <c r="AB16" s="1458">
        <f>ROUND(SUMPRODUCT(PRODUCT(1+Q16:Q$21)),4)</f>
        <v>1.0636000000000001</v>
      </c>
      <c r="AD16" s="1459">
        <f>ROUND(AVERAGE(I16:I$22)/100,4)</f>
        <v>1.3299999999999999E-2</v>
      </c>
      <c r="AE16" s="1459">
        <f>ROUND(AVERAGE(J16:J$22)/100,4)</f>
        <v>1.2E-2</v>
      </c>
      <c r="AF16" s="1459">
        <f t="shared" si="1"/>
        <v>1.2E-2</v>
      </c>
      <c r="AG16" s="1459">
        <f>ROUND(AVERAGE(K16:K$22)/100,4)</f>
        <v>1.4E-2</v>
      </c>
      <c r="AH16" s="1459">
        <f>ROUND(AVERAGE(L16:L$22)/100,4)</f>
        <v>1.0800000000000001E-2</v>
      </c>
    </row>
    <row r="17" spans="1:34">
      <c r="A17" s="1460" t="s">
        <v>149</v>
      </c>
      <c r="B17" s="1476">
        <f t="shared" si="47"/>
        <v>322.34053690220776</v>
      </c>
      <c r="C17" s="1476">
        <f t="shared" si="47"/>
        <v>271.46160770422546</v>
      </c>
      <c r="D17" s="1476">
        <f t="shared" si="44"/>
        <v>271.46160770422546</v>
      </c>
      <c r="E17" s="1476">
        <f t="shared" si="48"/>
        <v>442.69434542172456</v>
      </c>
      <c r="F17" s="1476">
        <f t="shared" si="48"/>
        <v>241.34030753190925</v>
      </c>
      <c r="G17" s="3343"/>
      <c r="H17" s="1464">
        <v>2</v>
      </c>
      <c r="I17" s="1464">
        <v>0.77</v>
      </c>
      <c r="J17" s="1464">
        <v>0.69</v>
      </c>
      <c r="K17" s="1464">
        <v>0.8</v>
      </c>
      <c r="L17" s="1478">
        <v>0.88</v>
      </c>
      <c r="N17" s="1471">
        <f t="shared" si="46"/>
        <v>7.7000000000000002E-3</v>
      </c>
      <c r="O17" s="1488">
        <f t="shared" si="41"/>
        <v>6.8999999999999999E-3</v>
      </c>
      <c r="P17" s="1488">
        <f t="shared" si="41"/>
        <v>8.0000000000000002E-3</v>
      </c>
      <c r="Q17" s="1488">
        <f t="shared" si="41"/>
        <v>8.8000000000000005E-3</v>
      </c>
      <c r="R17" s="1473"/>
      <c r="S17" s="1471"/>
      <c r="T17" s="1472"/>
      <c r="U17" s="1472"/>
      <c r="V17" s="1472"/>
      <c r="X17" s="1458">
        <f>ROUND(SUMPRODUCT(PRODUCT(1+N17:N$21)),4)</f>
        <v>1.048</v>
      </c>
      <c r="Y17" s="1458">
        <f>ROUND(SUMPRODUCT(PRODUCT(1+O17:O$21)),4)</f>
        <v>1.0524</v>
      </c>
      <c r="Z17" s="1458">
        <f t="shared" si="0"/>
        <v>1.0524</v>
      </c>
      <c r="AA17" s="1458">
        <f>ROUND(SUMPRODUCT(PRODUCT(1+P17:P$21)),4)</f>
        <v>1.0470999999999999</v>
      </c>
      <c r="AB17" s="1458">
        <f>ROUND(SUMPRODUCT(PRODUCT(1+Q17:Q$21)),4)</f>
        <v>1.0504</v>
      </c>
      <c r="AD17" s="1459">
        <f>ROUND(AVERAGE(I17:I$22)/100,4)</f>
        <v>1.2800000000000001E-2</v>
      </c>
      <c r="AE17" s="1459">
        <f>ROUND(AVERAGE(J17:J$22)/100,4)</f>
        <v>1.2500000000000001E-2</v>
      </c>
      <c r="AF17" s="1459">
        <f t="shared" si="1"/>
        <v>1.2500000000000001E-2</v>
      </c>
      <c r="AG17" s="1459">
        <f>ROUND(AVERAGE(K17:K$22)/100,4)</f>
        <v>1.32E-2</v>
      </c>
      <c r="AH17" s="1459">
        <f>ROUND(AVERAGE(L17:L$22)/100,4)</f>
        <v>1.0500000000000001E-2</v>
      </c>
    </row>
    <row r="18" spans="1:34">
      <c r="A18" s="1460" t="s">
        <v>148</v>
      </c>
      <c r="B18" s="1476">
        <f t="shared" si="47"/>
        <v>319.87748030386797</v>
      </c>
      <c r="C18" s="1476">
        <f t="shared" si="47"/>
        <v>269.60135833173649</v>
      </c>
      <c r="D18" s="1476">
        <f t="shared" si="44"/>
        <v>269.60135833173649</v>
      </c>
      <c r="E18" s="1476">
        <f t="shared" si="48"/>
        <v>439.18089823583784</v>
      </c>
      <c r="F18" s="1476">
        <f t="shared" si="48"/>
        <v>239.23503918706311</v>
      </c>
      <c r="G18" s="3344"/>
      <c r="H18" s="1463">
        <v>1</v>
      </c>
      <c r="I18" s="1463">
        <v>0.51</v>
      </c>
      <c r="J18" s="1463">
        <v>0.54</v>
      </c>
      <c r="K18" s="1463">
        <v>0.48</v>
      </c>
      <c r="L18" s="1477">
        <v>0.93</v>
      </c>
      <c r="N18" s="1479">
        <f t="shared" si="46"/>
        <v>5.1000000000000004E-3</v>
      </c>
      <c r="O18" s="1480">
        <f t="shared" si="41"/>
        <v>5.4000000000000003E-3</v>
      </c>
      <c r="P18" s="1480">
        <f t="shared" si="41"/>
        <v>4.7999999999999996E-3</v>
      </c>
      <c r="Q18" s="1480">
        <f t="shared" si="41"/>
        <v>9.300000000000001E-3</v>
      </c>
      <c r="R18" s="1473"/>
      <c r="S18" s="1479">
        <f>B18/B19-1</f>
        <v>5.9040261127922822E-3</v>
      </c>
      <c r="T18" s="1480">
        <f>C18/C19-1</f>
        <v>5.9752176557332781E-3</v>
      </c>
      <c r="U18" s="1480">
        <f>E18/E19-1</f>
        <v>4.9906138119859556E-3</v>
      </c>
      <c r="V18" s="1480">
        <f>F18/F19-1</f>
        <v>9.4305450930933787E-3</v>
      </c>
      <c r="X18" s="1458">
        <f>ROUND(SUMPRODUCT(PRODUCT(1+N18:N$21)),4)</f>
        <v>1.0399</v>
      </c>
      <c r="Y18" s="1458">
        <f>ROUND(SUMPRODUCT(PRODUCT(1+O18:O$21)),4)</f>
        <v>1.0451999999999999</v>
      </c>
      <c r="Z18" s="1458">
        <f t="shared" si="0"/>
        <v>1.0451999999999999</v>
      </c>
      <c r="AA18" s="1458">
        <f>ROUND(SUMPRODUCT(PRODUCT(1+P18:P$21)),4)</f>
        <v>1.0387999999999999</v>
      </c>
      <c r="AB18" s="1458">
        <f>ROUND(SUMPRODUCT(PRODUCT(1+Q18:Q$21)),4)</f>
        <v>1.0411999999999999</v>
      </c>
      <c r="AD18" s="1459">
        <f>ROUND(AVERAGE(I18:I$22)/100,4)</f>
        <v>1.38E-2</v>
      </c>
      <c r="AE18" s="1459">
        <f>ROUND(AVERAGE(J18:J$22)/100,4)</f>
        <v>1.3599999999999999E-2</v>
      </c>
      <c r="AF18" s="1459">
        <f t="shared" si="1"/>
        <v>1.3599999999999999E-2</v>
      </c>
      <c r="AG18" s="1459">
        <f>ROUND(AVERAGE(K18:K$22)/100,4)</f>
        <v>1.4200000000000001E-2</v>
      </c>
      <c r="AH18" s="1459">
        <f>ROUND(AVERAGE(L18:L$22)/100,4)</f>
        <v>1.0800000000000001E-2</v>
      </c>
    </row>
    <row r="19" spans="1:34" ht="13.5" thickBot="1">
      <c r="A19" s="1460" t="s">
        <v>147</v>
      </c>
      <c r="B19" s="1489">
        <v>318</v>
      </c>
      <c r="C19" s="1489">
        <v>268</v>
      </c>
      <c r="D19" s="1489">
        <f t="shared" si="44"/>
        <v>268</v>
      </c>
      <c r="E19" s="1489">
        <v>437</v>
      </c>
      <c r="F19" s="1490">
        <v>237</v>
      </c>
      <c r="G19" s="3342">
        <v>2014</v>
      </c>
      <c r="H19" s="1481">
        <v>4</v>
      </c>
      <c r="I19" s="1481">
        <v>0.21</v>
      </c>
      <c r="J19" s="1481">
        <v>0.41</v>
      </c>
      <c r="K19" s="1481">
        <v>0.12</v>
      </c>
      <c r="L19" s="1482">
        <v>0.89</v>
      </c>
      <c r="N19" s="1471">
        <f t="shared" si="46"/>
        <v>2.0999999999999999E-3</v>
      </c>
      <c r="O19" s="1472">
        <f t="shared" si="41"/>
        <v>4.0999999999999995E-3</v>
      </c>
      <c r="P19" s="1472">
        <f t="shared" si="41"/>
        <v>1.1999999999999999E-3</v>
      </c>
      <c r="Q19" s="1472">
        <f t="shared" si="41"/>
        <v>8.8999999999999999E-3</v>
      </c>
      <c r="R19" s="1473"/>
      <c r="S19" s="1474"/>
      <c r="T19" s="1475"/>
      <c r="U19" s="1475"/>
      <c r="V19" s="1475"/>
      <c r="X19" s="1458">
        <f>ROUND(SUMPRODUCT(PRODUCT(1+N19:N$21)),4)</f>
        <v>1.0347</v>
      </c>
      <c r="Y19" s="1458">
        <f>ROUND(SUMPRODUCT(PRODUCT(1+O19:O$21)),4)</f>
        <v>1.0395000000000001</v>
      </c>
      <c r="Z19" s="1458">
        <f t="shared" si="0"/>
        <v>1.0395000000000001</v>
      </c>
      <c r="AA19" s="1458">
        <f>ROUND(SUMPRODUCT(PRODUCT(1+P19:P$21)),4)</f>
        <v>1.0338000000000001</v>
      </c>
      <c r="AB19" s="1458">
        <f>ROUND(SUMPRODUCT(PRODUCT(1+Q19:Q$21)),4)</f>
        <v>1.0316000000000001</v>
      </c>
      <c r="AD19" s="1459">
        <f>ROUND(AVERAGE(I19:I$22)/100,4)</f>
        <v>1.6E-2</v>
      </c>
      <c r="AE19" s="1459">
        <f>ROUND(AVERAGE(J19:J$22)/100,4)</f>
        <v>1.5599999999999999E-2</v>
      </c>
      <c r="AF19" s="1459">
        <f t="shared" si="1"/>
        <v>1.5599999999999999E-2</v>
      </c>
      <c r="AG19" s="1459">
        <f>ROUND(AVERAGE(K19:K$22)/100,4)</f>
        <v>1.66E-2</v>
      </c>
      <c r="AH19" s="1459">
        <f>ROUND(AVERAGE(L19:L$22)/100,4)</f>
        <v>1.12E-2</v>
      </c>
    </row>
    <row r="20" spans="1:34">
      <c r="A20" s="1460" t="s">
        <v>146</v>
      </c>
      <c r="B20" s="1476">
        <f t="shared" ref="B20:C22" si="49">B19/(1+N19)</f>
        <v>317.33359944117353</v>
      </c>
      <c r="C20" s="1476">
        <f t="shared" si="49"/>
        <v>266.90568668459315</v>
      </c>
      <c r="D20" s="1476">
        <f t="shared" si="44"/>
        <v>266.90568668459315</v>
      </c>
      <c r="E20" s="1476">
        <f t="shared" ref="E20:F22" si="50">E19/(1+P19)</f>
        <v>436.47622852576905</v>
      </c>
      <c r="F20" s="1476">
        <f t="shared" si="50"/>
        <v>234.90930716622066</v>
      </c>
      <c r="G20" s="3343"/>
      <c r="H20" s="1491">
        <v>3</v>
      </c>
      <c r="I20" s="1491">
        <v>0.83</v>
      </c>
      <c r="J20" s="1491">
        <v>1.47</v>
      </c>
      <c r="K20" s="1491">
        <v>0.65</v>
      </c>
      <c r="L20" s="1492">
        <v>0.72</v>
      </c>
      <c r="N20" s="1471">
        <f t="shared" si="46"/>
        <v>8.3000000000000001E-3</v>
      </c>
      <c r="O20" s="1472">
        <f t="shared" si="41"/>
        <v>1.47E-2</v>
      </c>
      <c r="P20" s="1472">
        <f t="shared" si="41"/>
        <v>6.5000000000000006E-3</v>
      </c>
      <c r="Q20" s="1472">
        <f t="shared" si="41"/>
        <v>7.1999999999999998E-3</v>
      </c>
      <c r="R20" s="1473"/>
      <c r="S20" s="1471"/>
      <c r="T20" s="1472"/>
      <c r="U20" s="1472"/>
      <c r="V20" s="1472"/>
      <c r="X20" s="1458">
        <f>ROUND(SUMPRODUCT(PRODUCT(1+N20:N$21)),4)</f>
        <v>1.0325</v>
      </c>
      <c r="Y20" s="1458">
        <f>ROUND(SUMPRODUCT(PRODUCT(1+O20:O$21)),4)</f>
        <v>1.0353000000000001</v>
      </c>
      <c r="Z20" s="1458">
        <f t="shared" ref="Z20:Z21" si="51">Y20</f>
        <v>1.0353000000000001</v>
      </c>
      <c r="AA20" s="1458">
        <f>ROUND(SUMPRODUCT(PRODUCT(1+P20:P$21)),4)</f>
        <v>1.0326</v>
      </c>
      <c r="AB20" s="1458">
        <f>ROUND(SUMPRODUCT(PRODUCT(1+Q20:Q$21)),4)</f>
        <v>1.0225</v>
      </c>
      <c r="AD20" s="1459">
        <f>ROUND(AVERAGE(I20:I$22)/100,4)</f>
        <v>2.07E-2</v>
      </c>
      <c r="AE20" s="1459">
        <f>ROUND(AVERAGE(J20:J$22)/100,4)</f>
        <v>1.95E-2</v>
      </c>
      <c r="AF20" s="1459">
        <f t="shared" si="1"/>
        <v>1.95E-2</v>
      </c>
      <c r="AG20" s="1459">
        <f>ROUND(AVERAGE(K20:K$22)/100,4)</f>
        <v>2.1700000000000001E-2</v>
      </c>
      <c r="AH20" s="1459">
        <f>ROUND(AVERAGE(L20:L$22)/100,4)</f>
        <v>1.2E-2</v>
      </c>
    </row>
    <row r="21" spans="1:34" ht="13.5" thickBot="1">
      <c r="A21" s="1460" t="s">
        <v>145</v>
      </c>
      <c r="B21" s="1476">
        <f t="shared" si="49"/>
        <v>314.72141172386546</v>
      </c>
      <c r="C21" s="1476">
        <f t="shared" si="49"/>
        <v>263.03901319069001</v>
      </c>
      <c r="D21" s="1476">
        <f t="shared" si="44"/>
        <v>263.03901319069001</v>
      </c>
      <c r="E21" s="1476">
        <f t="shared" si="50"/>
        <v>433.65745506782821</v>
      </c>
      <c r="F21" s="1476">
        <f t="shared" si="50"/>
        <v>233.23005080045735</v>
      </c>
      <c r="G21" s="3343"/>
      <c r="H21" s="1481">
        <v>2</v>
      </c>
      <c r="I21" s="1481">
        <v>2.4</v>
      </c>
      <c r="J21" s="1481">
        <v>2.0299999999999998</v>
      </c>
      <c r="K21" s="1481">
        <v>2.59</v>
      </c>
      <c r="L21" s="1482">
        <v>1.52</v>
      </c>
      <c r="N21" s="1471">
        <f t="shared" si="46"/>
        <v>2.4E-2</v>
      </c>
      <c r="O21" s="1472">
        <f t="shared" si="41"/>
        <v>2.0299999999999999E-2</v>
      </c>
      <c r="P21" s="1472">
        <f t="shared" si="41"/>
        <v>2.5899999999999999E-2</v>
      </c>
      <c r="Q21" s="1472">
        <f t="shared" si="41"/>
        <v>1.52E-2</v>
      </c>
      <c r="R21" s="1473"/>
      <c r="S21" s="1471"/>
      <c r="T21" s="1472"/>
      <c r="U21" s="1472"/>
      <c r="V21" s="1472"/>
      <c r="X21" s="1458">
        <f>1+N21</f>
        <v>1.024</v>
      </c>
      <c r="Y21" s="1458">
        <f>1+O21</f>
        <v>1.0203</v>
      </c>
      <c r="Z21" s="1458">
        <f t="shared" si="51"/>
        <v>1.0203</v>
      </c>
      <c r="AA21" s="1458">
        <f>1+P21</f>
        <v>1.0259</v>
      </c>
      <c r="AB21" s="1458">
        <f>1+Q21</f>
        <v>1.0152000000000001</v>
      </c>
      <c r="AD21" s="1459">
        <f>ROUND(AVERAGE(I21:I$22)/100,4)</f>
        <v>2.69E-2</v>
      </c>
      <c r="AE21" s="1459">
        <f>ROUND(AVERAGE(J21:J$22)/100,4)</f>
        <v>2.1899999999999999E-2</v>
      </c>
      <c r="AF21" s="1459">
        <f t="shared" ref="AF21" si="52">AE21</f>
        <v>2.1899999999999999E-2</v>
      </c>
      <c r="AG21" s="1459">
        <f>ROUND(AVERAGE(K21:K$22)/100,4)</f>
        <v>2.9399999999999999E-2</v>
      </c>
      <c r="AH21" s="1459">
        <f>ROUND(AVERAGE(L21:L$22)/100,4)</f>
        <v>1.44E-2</v>
      </c>
    </row>
    <row r="22" spans="1:34" s="1497" customFormat="1" ht="13.5" thickBot="1">
      <c r="A22" s="1493" t="s">
        <v>144</v>
      </c>
      <c r="B22" s="1494">
        <f t="shared" si="49"/>
        <v>307.34512863658733</v>
      </c>
      <c r="C22" s="1494">
        <f t="shared" si="49"/>
        <v>257.80556031626975</v>
      </c>
      <c r="D22" s="1494">
        <f t="shared" si="44"/>
        <v>257.80556031626975</v>
      </c>
      <c r="E22" s="1494">
        <f t="shared" si="50"/>
        <v>422.70928459677179</v>
      </c>
      <c r="F22" s="1494">
        <f t="shared" si="50"/>
        <v>229.73803270336617</v>
      </c>
      <c r="G22" s="3344"/>
      <c r="H22" s="1495">
        <v>1</v>
      </c>
      <c r="I22" s="1495">
        <v>2.97</v>
      </c>
      <c r="J22" s="1495">
        <v>2.34</v>
      </c>
      <c r="K22" s="1495">
        <v>3.28</v>
      </c>
      <c r="L22" s="1496">
        <v>1.36</v>
      </c>
      <c r="N22" s="1498">
        <f t="shared" si="46"/>
        <v>2.9700000000000001E-2</v>
      </c>
      <c r="O22" s="1499">
        <f t="shared" si="41"/>
        <v>2.3399999999999997E-2</v>
      </c>
      <c r="P22" s="1499">
        <f t="shared" si="41"/>
        <v>3.2799999999999996E-2</v>
      </c>
      <c r="Q22" s="1499">
        <f t="shared" si="41"/>
        <v>1.3600000000000001E-2</v>
      </c>
      <c r="R22" s="1500"/>
      <c r="S22" s="1501">
        <f>B22/B23-1</f>
        <v>2.7910129219355539E-2</v>
      </c>
      <c r="T22" s="1502">
        <f>C22/C23-1</f>
        <v>2.3037937762975247E-2</v>
      </c>
      <c r="U22" s="1502">
        <f>E22/E23-1</f>
        <v>3.3519033243940788E-2</v>
      </c>
      <c r="V22" s="1502">
        <f>F22/F23-1</f>
        <v>1.2061818076502862E-2</v>
      </c>
      <c r="W22" s="1503" t="s">
        <v>1162</v>
      </c>
      <c r="X22" s="1504">
        <v>1</v>
      </c>
      <c r="Y22" s="1504">
        <v>1</v>
      </c>
      <c r="Z22" s="1504">
        <v>1</v>
      </c>
      <c r="AA22" s="1504">
        <v>1</v>
      </c>
      <c r="AB22" s="1504">
        <v>1</v>
      </c>
      <c r="AD22" s="1726">
        <f>I22/100</f>
        <v>2.9700000000000001E-2</v>
      </c>
      <c r="AE22" s="1726">
        <f>J22/100</f>
        <v>2.3399999999999997E-2</v>
      </c>
      <c r="AF22" s="1726">
        <f>AE22</f>
        <v>2.3399999999999997E-2</v>
      </c>
      <c r="AG22" s="1726">
        <f>K22/100</f>
        <v>3.2799999999999996E-2</v>
      </c>
      <c r="AH22" s="1726">
        <f>L22/100</f>
        <v>1.3600000000000001E-2</v>
      </c>
    </row>
    <row r="23" spans="1:34" ht="13.5" thickBot="1">
      <c r="A23" s="1460" t="s">
        <v>1163</v>
      </c>
      <c r="B23" s="1468">
        <v>299</v>
      </c>
      <c r="C23" s="1468">
        <v>252</v>
      </c>
      <c r="D23" s="1468">
        <f t="shared" si="44"/>
        <v>252</v>
      </c>
      <c r="E23" s="1468">
        <v>409</v>
      </c>
      <c r="F23" s="1469">
        <v>227</v>
      </c>
      <c r="G23" s="3349">
        <v>2013</v>
      </c>
      <c r="H23" s="1505">
        <v>4</v>
      </c>
      <c r="I23" s="1505">
        <v>1.83</v>
      </c>
      <c r="J23" s="1505">
        <v>1.68</v>
      </c>
      <c r="K23" s="1505">
        <v>1.97</v>
      </c>
      <c r="L23" s="1506">
        <v>0.87</v>
      </c>
      <c r="N23" s="1483">
        <f t="shared" si="46"/>
        <v>1.83E-2</v>
      </c>
      <c r="O23" s="1484">
        <f t="shared" si="41"/>
        <v>1.6799999999999999E-2</v>
      </c>
      <c r="P23" s="1484">
        <f t="shared" si="41"/>
        <v>1.9699999999999999E-2</v>
      </c>
      <c r="Q23" s="1484">
        <f t="shared" si="41"/>
        <v>8.6999999999999994E-3</v>
      </c>
      <c r="R23" s="1473"/>
      <c r="S23" s="1474"/>
      <c r="T23" s="1475"/>
      <c r="U23" s="1475"/>
      <c r="V23" s="1475"/>
      <c r="X23" s="1475"/>
      <c r="Y23" s="1475"/>
      <c r="Z23" s="1475"/>
    </row>
    <row r="24" spans="1:34">
      <c r="A24" s="1460" t="s">
        <v>1164</v>
      </c>
      <c r="B24" s="1476">
        <f t="shared" ref="B24:C26" si="53">B23/(1+N23)</f>
        <v>293.62663262299913</v>
      </c>
      <c r="C24" s="1476">
        <f t="shared" si="53"/>
        <v>247.83634933123525</v>
      </c>
      <c r="D24" s="1476">
        <f t="shared" si="44"/>
        <v>247.83634933123525</v>
      </c>
      <c r="E24" s="1476">
        <f t="shared" ref="E24:F26" si="54">E23/(1+P23)</f>
        <v>401.09836226341076</v>
      </c>
      <c r="F24" s="1476">
        <f t="shared" si="54"/>
        <v>225.04213343908003</v>
      </c>
      <c r="G24" s="3350"/>
      <c r="H24" s="1486">
        <v>3</v>
      </c>
      <c r="I24" s="1486">
        <v>1.86</v>
      </c>
      <c r="J24" s="1486">
        <v>1.72</v>
      </c>
      <c r="K24" s="1486">
        <v>1.98</v>
      </c>
      <c r="L24" s="1487">
        <v>0.88</v>
      </c>
      <c r="N24" s="1471">
        <f t="shared" si="46"/>
        <v>1.8600000000000002E-2</v>
      </c>
      <c r="O24" s="1488">
        <f t="shared" si="41"/>
        <v>1.72E-2</v>
      </c>
      <c r="P24" s="1488">
        <f t="shared" si="41"/>
        <v>1.9799999999999998E-2</v>
      </c>
      <c r="Q24" s="1488">
        <f t="shared" si="41"/>
        <v>8.8000000000000005E-3</v>
      </c>
      <c r="R24" s="1473"/>
      <c r="S24" s="1471"/>
      <c r="T24" s="1472"/>
      <c r="U24" s="1472"/>
      <c r="V24" s="1472"/>
    </row>
    <row r="25" spans="1:34">
      <c r="A25" s="1460" t="s">
        <v>1165</v>
      </c>
      <c r="B25" s="1476">
        <f t="shared" si="53"/>
        <v>288.2649053828776</v>
      </c>
      <c r="C25" s="1476">
        <f t="shared" si="53"/>
        <v>243.64564425013293</v>
      </c>
      <c r="D25" s="1476">
        <f t="shared" si="44"/>
        <v>243.64564425013293</v>
      </c>
      <c r="E25" s="1476">
        <f t="shared" si="54"/>
        <v>393.31080825986544</v>
      </c>
      <c r="F25" s="1476">
        <f t="shared" si="54"/>
        <v>223.07903790551154</v>
      </c>
      <c r="G25" s="3350"/>
      <c r="H25" s="1464">
        <v>2</v>
      </c>
      <c r="I25" s="1464">
        <v>2.04</v>
      </c>
      <c r="J25" s="1464">
        <v>2.33</v>
      </c>
      <c r="K25" s="1464">
        <v>2.0699999999999998</v>
      </c>
      <c r="L25" s="1478">
        <v>0.69</v>
      </c>
      <c r="N25" s="1471">
        <f t="shared" si="46"/>
        <v>2.0400000000000001E-2</v>
      </c>
      <c r="O25" s="1488">
        <f t="shared" si="41"/>
        <v>2.3300000000000001E-2</v>
      </c>
      <c r="P25" s="1488">
        <f t="shared" si="41"/>
        <v>2.07E-2</v>
      </c>
      <c r="Q25" s="1488">
        <f t="shared" si="41"/>
        <v>6.8999999999999999E-3</v>
      </c>
      <c r="R25" s="1473"/>
      <c r="S25" s="1471"/>
      <c r="T25" s="1472"/>
      <c r="U25" s="1472"/>
      <c r="V25" s="1472"/>
      <c r="X25" s="1507"/>
      <c r="Y25" s="1508"/>
    </row>
    <row r="26" spans="1:34">
      <c r="A26" s="1460" t="s">
        <v>1166</v>
      </c>
      <c r="B26" s="1476">
        <f t="shared" si="53"/>
        <v>282.50186729015837</v>
      </c>
      <c r="C26" s="1476">
        <f t="shared" si="53"/>
        <v>238.09796174155468</v>
      </c>
      <c r="D26" s="1476">
        <f t="shared" si="44"/>
        <v>238.09796174155468</v>
      </c>
      <c r="E26" s="1476">
        <f t="shared" si="54"/>
        <v>385.33438646014054</v>
      </c>
      <c r="F26" s="1476">
        <f t="shared" si="54"/>
        <v>221.55034055567739</v>
      </c>
      <c r="G26" s="3351"/>
      <c r="H26" s="1463">
        <v>1</v>
      </c>
      <c r="I26" s="1463">
        <v>1.67</v>
      </c>
      <c r="J26" s="1463">
        <v>1.31</v>
      </c>
      <c r="K26" s="1463">
        <v>1.85</v>
      </c>
      <c r="L26" s="1477">
        <v>0.96</v>
      </c>
      <c r="N26" s="1479">
        <f t="shared" si="46"/>
        <v>1.67E-2</v>
      </c>
      <c r="O26" s="1480">
        <f t="shared" si="46"/>
        <v>1.3100000000000001E-2</v>
      </c>
      <c r="P26" s="1480">
        <f t="shared" si="46"/>
        <v>1.8500000000000003E-2</v>
      </c>
      <c r="Q26" s="1480">
        <f t="shared" si="46"/>
        <v>9.5999999999999992E-3</v>
      </c>
      <c r="R26" s="1473"/>
      <c r="S26" s="1479">
        <f>B26/B27-1</f>
        <v>1.6193767230785472E-2</v>
      </c>
      <c r="T26" s="1480">
        <f>C26/C27-1</f>
        <v>1.7512657015190891E-2</v>
      </c>
      <c r="U26" s="1480">
        <f>E26/E27-1</f>
        <v>1.6713420739157048E-2</v>
      </c>
      <c r="V26" s="1480">
        <f>F26/F27-1</f>
        <v>7.0470025258062563E-3</v>
      </c>
      <c r="X26" s="1509"/>
      <c r="Y26" s="1459"/>
      <c r="Z26" s="1459"/>
    </row>
    <row r="27" spans="1:34" ht="13.5" thickBot="1">
      <c r="A27" s="1460" t="s">
        <v>1167</v>
      </c>
      <c r="B27" s="1510">
        <v>278</v>
      </c>
      <c r="C27" s="1510">
        <v>234</v>
      </c>
      <c r="D27" s="1510">
        <f t="shared" si="44"/>
        <v>234</v>
      </c>
      <c r="E27" s="1510">
        <v>379</v>
      </c>
      <c r="F27" s="1511">
        <v>220</v>
      </c>
      <c r="G27" s="3342">
        <v>2012</v>
      </c>
      <c r="H27" s="1481">
        <v>4</v>
      </c>
      <c r="I27" s="1481">
        <v>0.91</v>
      </c>
      <c r="J27" s="1481">
        <v>0.68</v>
      </c>
      <c r="K27" s="1481">
        <v>0.98</v>
      </c>
      <c r="L27" s="1482">
        <v>0.9</v>
      </c>
      <c r="N27" s="1471">
        <f t="shared" si="46"/>
        <v>9.1000000000000004E-3</v>
      </c>
      <c r="O27" s="1472">
        <f t="shared" si="46"/>
        <v>6.8000000000000005E-3</v>
      </c>
      <c r="P27" s="1472">
        <f t="shared" si="46"/>
        <v>9.7999999999999997E-3</v>
      </c>
      <c r="Q27" s="1472">
        <f t="shared" si="46"/>
        <v>9.0000000000000011E-3</v>
      </c>
      <c r="R27" s="1473"/>
      <c r="S27" s="1474"/>
      <c r="T27" s="1475"/>
      <c r="U27" s="1475"/>
      <c r="V27" s="1475"/>
      <c r="X27" s="1475"/>
      <c r="Y27" s="1475"/>
      <c r="Z27" s="1475"/>
    </row>
    <row r="28" spans="1:34">
      <c r="A28" s="1460" t="s">
        <v>1168</v>
      </c>
      <c r="B28" s="1476">
        <f>B27/(1+N27)</f>
        <v>275.49301357645425</v>
      </c>
      <c r="C28" s="1476">
        <f>C27/(1+O27)</f>
        <v>232.41954707985698</v>
      </c>
      <c r="D28" s="1476">
        <f t="shared" si="44"/>
        <v>232.41954707985698</v>
      </c>
      <c r="E28" s="1476">
        <f t="shared" ref="E28:F30" si="55">E27/(1+P27)</f>
        <v>375.32184591008121</v>
      </c>
      <c r="F28" s="1476">
        <f t="shared" si="55"/>
        <v>218.03766105054513</v>
      </c>
      <c r="G28" s="3343"/>
      <c r="H28" s="1486">
        <v>3</v>
      </c>
      <c r="I28" s="1486">
        <v>0.09</v>
      </c>
      <c r="J28" s="1486">
        <v>0.28999999999999998</v>
      </c>
      <c r="K28" s="1486">
        <v>-0.01</v>
      </c>
      <c r="L28" s="1487">
        <v>0.57999999999999996</v>
      </c>
      <c r="N28" s="1471">
        <f t="shared" si="46"/>
        <v>8.9999999999999998E-4</v>
      </c>
      <c r="O28" s="1472">
        <f t="shared" si="46"/>
        <v>2.8999999999999998E-3</v>
      </c>
      <c r="P28" s="1472">
        <f t="shared" si="46"/>
        <v>-1E-4</v>
      </c>
      <c r="Q28" s="1472">
        <f t="shared" si="46"/>
        <v>5.7999999999999996E-3</v>
      </c>
      <c r="R28" s="1473"/>
      <c r="S28" s="1471"/>
      <c r="T28" s="1472"/>
      <c r="U28" s="1472"/>
      <c r="V28" s="1472"/>
    </row>
    <row r="29" spans="1:34">
      <c r="A29" s="1460" t="s">
        <v>1169</v>
      </c>
      <c r="B29" s="1476">
        <f>B28/(1+N28)</f>
        <v>275.24529281292263</v>
      </c>
      <c r="C29" s="1476">
        <f>C28/(1+O28)</f>
        <v>231.74747938962707</v>
      </c>
      <c r="D29" s="1476">
        <f t="shared" si="44"/>
        <v>231.74747938962707</v>
      </c>
      <c r="E29" s="1476">
        <f t="shared" si="55"/>
        <v>375.35938184826603</v>
      </c>
      <c r="F29" s="1476">
        <f t="shared" si="55"/>
        <v>216.78033510692495</v>
      </c>
      <c r="G29" s="3343"/>
      <c r="H29" s="1464">
        <v>2</v>
      </c>
      <c r="I29" s="1464">
        <v>0.02</v>
      </c>
      <c r="J29" s="1464">
        <v>0.12</v>
      </c>
      <c r="K29" s="1464">
        <v>-0.08</v>
      </c>
      <c r="L29" s="1478">
        <v>1.24</v>
      </c>
      <c r="N29" s="1471">
        <f t="shared" si="46"/>
        <v>2.0000000000000001E-4</v>
      </c>
      <c r="O29" s="1472">
        <f t="shared" si="46"/>
        <v>1.1999999999999999E-3</v>
      </c>
      <c r="P29" s="1472">
        <f t="shared" si="46"/>
        <v>-8.0000000000000004E-4</v>
      </c>
      <c r="Q29" s="1472">
        <f t="shared" si="46"/>
        <v>1.24E-2</v>
      </c>
      <c r="R29" s="1473"/>
      <c r="S29" s="1471"/>
      <c r="T29" s="1472"/>
      <c r="U29" s="1472"/>
      <c r="V29" s="1472"/>
    </row>
    <row r="30" spans="1:34" ht="13.5" thickBot="1">
      <c r="A30" s="1460" t="s">
        <v>1170</v>
      </c>
      <c r="B30" s="1476">
        <f>B29/(1+N29)</f>
        <v>275.19025476197027</v>
      </c>
      <c r="C30" s="1512">
        <v>232</v>
      </c>
      <c r="D30" s="1512">
        <f t="shared" si="44"/>
        <v>232</v>
      </c>
      <c r="E30" s="1476">
        <f t="shared" si="55"/>
        <v>375.65990977608692</v>
      </c>
      <c r="F30" s="1476">
        <f t="shared" si="55"/>
        <v>214.12518283971252</v>
      </c>
      <c r="G30" s="3344"/>
      <c r="H30" s="1463">
        <v>1</v>
      </c>
      <c r="I30" s="1463">
        <v>0.02</v>
      </c>
      <c r="J30" s="1463">
        <v>0.13</v>
      </c>
      <c r="K30" s="1463">
        <v>-0.04</v>
      </c>
      <c r="L30" s="1477">
        <v>0.46</v>
      </c>
      <c r="N30" s="1471">
        <f t="shared" si="46"/>
        <v>2.0000000000000001E-4</v>
      </c>
      <c r="O30" s="1472">
        <f t="shared" si="46"/>
        <v>1.2999999999999999E-3</v>
      </c>
      <c r="P30" s="1472">
        <f t="shared" si="46"/>
        <v>-4.0000000000000002E-4</v>
      </c>
      <c r="Q30" s="1472">
        <f t="shared" si="46"/>
        <v>4.5999999999999999E-3</v>
      </c>
      <c r="R30" s="1473"/>
      <c r="S30" s="1479">
        <f>B30/B31-1</f>
        <v>6.9183549807361189E-4</v>
      </c>
      <c r="T30" s="1480">
        <f>C30/C31-1</f>
        <v>0</v>
      </c>
      <c r="U30" s="1480">
        <f>E30/E31-1</f>
        <v>-9.0449527636460303E-4</v>
      </c>
      <c r="V30" s="1480">
        <f>F30/F31-1</f>
        <v>5.2825485432512753E-3</v>
      </c>
      <c r="X30" s="1459"/>
      <c r="Y30" s="1459"/>
      <c r="Z30" s="1459"/>
    </row>
    <row r="31" spans="1:34" ht="13.5" thickBot="1">
      <c r="A31" s="1460" t="s">
        <v>1171</v>
      </c>
      <c r="B31" s="1468">
        <v>275</v>
      </c>
      <c r="C31" s="1468">
        <v>232</v>
      </c>
      <c r="D31" s="1468">
        <f t="shared" si="44"/>
        <v>232</v>
      </c>
      <c r="E31" s="1468">
        <v>376</v>
      </c>
      <c r="F31" s="1469">
        <v>213</v>
      </c>
      <c r="G31" s="3342">
        <v>2011</v>
      </c>
      <c r="H31" s="1481">
        <v>4</v>
      </c>
      <c r="I31" s="1481">
        <v>-0.2</v>
      </c>
      <c r="J31" s="1481">
        <v>0.04</v>
      </c>
      <c r="K31" s="1481">
        <v>-0.34</v>
      </c>
      <c r="L31" s="1482">
        <v>0.46</v>
      </c>
      <c r="N31" s="1483">
        <f t="shared" si="46"/>
        <v>-2E-3</v>
      </c>
      <c r="O31" s="1484">
        <f t="shared" si="46"/>
        <v>4.0000000000000002E-4</v>
      </c>
      <c r="P31" s="1484">
        <f t="shared" si="46"/>
        <v>-3.4000000000000002E-3</v>
      </c>
      <c r="Q31" s="1484">
        <f t="shared" si="46"/>
        <v>4.5999999999999999E-3</v>
      </c>
      <c r="R31" s="1473"/>
      <c r="S31" s="1474"/>
      <c r="T31" s="1475"/>
      <c r="U31" s="1475"/>
      <c r="V31" s="1475"/>
      <c r="X31" s="1475"/>
      <c r="Y31" s="1475"/>
      <c r="Z31" s="1475"/>
    </row>
    <row r="32" spans="1:34">
      <c r="A32" s="1460" t="s">
        <v>1172</v>
      </c>
      <c r="B32" s="1476">
        <f t="shared" ref="B32:C34" si="56">B31/(1+N31)</f>
        <v>275.55110220440883</v>
      </c>
      <c r="C32" s="1476">
        <f t="shared" si="56"/>
        <v>231.90723710515795</v>
      </c>
      <c r="D32" s="1476">
        <f t="shared" si="44"/>
        <v>231.90723710515795</v>
      </c>
      <c r="E32" s="1476">
        <f t="shared" ref="E32:F34" si="57">E31/(1+P31)</f>
        <v>377.28276138872161</v>
      </c>
      <c r="F32" s="1476">
        <f t="shared" si="57"/>
        <v>212.02468644236512</v>
      </c>
      <c r="G32" s="3343">
        <v>2011</v>
      </c>
      <c r="H32" s="1486">
        <v>3</v>
      </c>
      <c r="I32" s="1486">
        <v>0.13</v>
      </c>
      <c r="J32" s="1486">
        <v>0.75</v>
      </c>
      <c r="K32" s="1486">
        <v>-0.08</v>
      </c>
      <c r="L32" s="1487">
        <v>0.53</v>
      </c>
      <c r="N32" s="1471">
        <f t="shared" si="46"/>
        <v>1.2999999999999999E-3</v>
      </c>
      <c r="O32" s="1488">
        <f t="shared" si="46"/>
        <v>7.4999999999999997E-3</v>
      </c>
      <c r="P32" s="1488">
        <f t="shared" si="46"/>
        <v>-8.0000000000000004E-4</v>
      </c>
      <c r="Q32" s="1488">
        <f t="shared" si="46"/>
        <v>5.3E-3</v>
      </c>
      <c r="R32" s="1473"/>
      <c r="S32" s="1471"/>
      <c r="T32" s="1472"/>
      <c r="U32" s="1472"/>
      <c r="V32" s="1472"/>
    </row>
    <row r="33" spans="1:26">
      <c r="A33" s="1460" t="s">
        <v>1173</v>
      </c>
      <c r="B33" s="1476">
        <f t="shared" si="56"/>
        <v>275.19335084830601</v>
      </c>
      <c r="C33" s="1476">
        <f t="shared" si="56"/>
        <v>230.18088050139744</v>
      </c>
      <c r="D33" s="1476">
        <f t="shared" si="44"/>
        <v>230.18088050139744</v>
      </c>
      <c r="E33" s="1476">
        <f t="shared" si="57"/>
        <v>377.58482925212331</v>
      </c>
      <c r="F33" s="1476">
        <f t="shared" si="57"/>
        <v>210.90687997847917</v>
      </c>
      <c r="G33" s="3343">
        <v>2011</v>
      </c>
      <c r="H33" s="1464">
        <v>2</v>
      </c>
      <c r="I33" s="1464">
        <v>-0.4</v>
      </c>
      <c r="J33" s="1464">
        <v>0.17</v>
      </c>
      <c r="K33" s="1464">
        <v>-0.57999999999999996</v>
      </c>
      <c r="L33" s="1478">
        <v>-0.2</v>
      </c>
      <c r="N33" s="1471">
        <f t="shared" si="46"/>
        <v>-4.0000000000000001E-3</v>
      </c>
      <c r="O33" s="1488">
        <f t="shared" si="46"/>
        <v>1.7000000000000001E-3</v>
      </c>
      <c r="P33" s="1488">
        <f t="shared" si="46"/>
        <v>-5.7999999999999996E-3</v>
      </c>
      <c r="Q33" s="1488">
        <f t="shared" si="46"/>
        <v>-2E-3</v>
      </c>
      <c r="R33" s="1473"/>
      <c r="S33" s="1471"/>
      <c r="T33" s="1472"/>
      <c r="U33" s="1472"/>
      <c r="V33" s="1472"/>
    </row>
    <row r="34" spans="1:26" ht="13.5" thickBot="1">
      <c r="A34" s="1460" t="s">
        <v>1174</v>
      </c>
      <c r="B34" s="1476">
        <f t="shared" si="56"/>
        <v>276.29854502841971</v>
      </c>
      <c r="C34" s="1476">
        <f t="shared" si="56"/>
        <v>229.79023709833027</v>
      </c>
      <c r="D34" s="1476">
        <f t="shared" si="44"/>
        <v>229.79023709833027</v>
      </c>
      <c r="E34" s="1476">
        <f t="shared" si="57"/>
        <v>379.78759731655936</v>
      </c>
      <c r="F34" s="1476">
        <f t="shared" si="57"/>
        <v>211.32953905659235</v>
      </c>
      <c r="G34" s="3344">
        <v>2011</v>
      </c>
      <c r="H34" s="1463">
        <v>1</v>
      </c>
      <c r="I34" s="1463">
        <v>2.65</v>
      </c>
      <c r="J34" s="1463">
        <v>3.76</v>
      </c>
      <c r="K34" s="1463">
        <v>1.89</v>
      </c>
      <c r="L34" s="1477">
        <v>7.95</v>
      </c>
      <c r="N34" s="1479">
        <f t="shared" si="46"/>
        <v>2.6499999999999999E-2</v>
      </c>
      <c r="O34" s="1480">
        <f t="shared" si="46"/>
        <v>3.7599999999999995E-2</v>
      </c>
      <c r="P34" s="1480">
        <f t="shared" si="46"/>
        <v>1.89E-2</v>
      </c>
      <c r="Q34" s="1480">
        <f t="shared" si="46"/>
        <v>7.9500000000000001E-2</v>
      </c>
      <c r="R34" s="1473"/>
      <c r="S34" s="1479">
        <f>B34/B35-1</f>
        <v>2.713213765211786E-2</v>
      </c>
      <c r="T34" s="1480">
        <f>C34/C35-1</f>
        <v>3.9774828499231862E-2</v>
      </c>
      <c r="U34" s="1480">
        <f>E34/E35-1</f>
        <v>1.8197311840641772E-2</v>
      </c>
      <c r="V34" s="1480">
        <f>F34/F35-1</f>
        <v>7.8211933962205826E-2</v>
      </c>
      <c r="X34" s="1459"/>
      <c r="Y34" s="1459"/>
      <c r="Z34" s="1459"/>
    </row>
    <row r="35" spans="1:26" ht="13.5" thickBot="1">
      <c r="A35" s="1460" t="s">
        <v>1175</v>
      </c>
      <c r="B35" s="1468">
        <v>269</v>
      </c>
      <c r="C35" s="1468">
        <v>221</v>
      </c>
      <c r="D35" s="1468">
        <f t="shared" si="44"/>
        <v>221</v>
      </c>
      <c r="E35" s="1468">
        <v>373</v>
      </c>
      <c r="F35" s="1469">
        <v>196</v>
      </c>
      <c r="G35" s="3342">
        <v>2010</v>
      </c>
      <c r="H35" s="1481">
        <v>4</v>
      </c>
      <c r="I35" s="1481">
        <v>5.72</v>
      </c>
      <c r="J35" s="1481">
        <v>6.57</v>
      </c>
      <c r="K35" s="1481">
        <v>5.72</v>
      </c>
      <c r="L35" s="1482">
        <v>2.72</v>
      </c>
      <c r="N35" s="1471">
        <f t="shared" si="46"/>
        <v>5.7200000000000001E-2</v>
      </c>
      <c r="O35" s="1472">
        <f t="shared" si="46"/>
        <v>6.5700000000000008E-2</v>
      </c>
      <c r="P35" s="1472">
        <f t="shared" si="46"/>
        <v>5.7200000000000001E-2</v>
      </c>
      <c r="Q35" s="1472">
        <f t="shared" si="46"/>
        <v>2.7200000000000002E-2</v>
      </c>
      <c r="R35" s="1473"/>
      <c r="S35" s="1474"/>
      <c r="T35" s="1475"/>
      <c r="U35" s="1475"/>
      <c r="V35" s="1475"/>
      <c r="X35" s="1475"/>
      <c r="Y35" s="1475"/>
      <c r="Z35" s="1475"/>
    </row>
    <row r="36" spans="1:26">
      <c r="A36" s="1460" t="s">
        <v>1176</v>
      </c>
      <c r="B36" s="1476">
        <f t="shared" ref="B36:C38" si="58">B35/(1+N35)</f>
        <v>254.44570563753314</v>
      </c>
      <c r="C36" s="1476">
        <f t="shared" si="58"/>
        <v>207.37543398705074</v>
      </c>
      <c r="D36" s="1476">
        <f t="shared" si="44"/>
        <v>207.37543398705074</v>
      </c>
      <c r="E36" s="1476">
        <f t="shared" ref="E36:F38" si="59">E35/(1+P35)</f>
        <v>352.81876655315932</v>
      </c>
      <c r="F36" s="1476">
        <f t="shared" si="59"/>
        <v>190.809968847352</v>
      </c>
      <c r="G36" s="3343">
        <v>2010</v>
      </c>
      <c r="H36" s="1486">
        <v>3</v>
      </c>
      <c r="I36" s="1486">
        <v>4.7300000000000004</v>
      </c>
      <c r="J36" s="1486">
        <v>3.9</v>
      </c>
      <c r="K36" s="1486">
        <v>5.03</v>
      </c>
      <c r="L36" s="1487">
        <v>4.21</v>
      </c>
      <c r="N36" s="1471">
        <f t="shared" si="46"/>
        <v>4.7300000000000002E-2</v>
      </c>
      <c r="O36" s="1472">
        <f t="shared" si="46"/>
        <v>3.9E-2</v>
      </c>
      <c r="P36" s="1472">
        <f t="shared" si="46"/>
        <v>5.0300000000000004E-2</v>
      </c>
      <c r="Q36" s="1472">
        <f t="shared" si="46"/>
        <v>4.2099999999999999E-2</v>
      </c>
      <c r="R36" s="1473"/>
      <c r="S36" s="1471"/>
      <c r="T36" s="1472"/>
      <c r="U36" s="1472"/>
      <c r="V36" s="1472"/>
    </row>
    <row r="37" spans="1:26">
      <c r="A37" s="1460" t="s">
        <v>1177</v>
      </c>
      <c r="B37" s="1476">
        <f t="shared" si="58"/>
        <v>242.95398227588385</v>
      </c>
      <c r="C37" s="1476">
        <f t="shared" si="58"/>
        <v>199.59137053614126</v>
      </c>
      <c r="D37" s="1476">
        <f t="shared" si="44"/>
        <v>199.59137053614126</v>
      </c>
      <c r="E37" s="1476">
        <f t="shared" si="59"/>
        <v>335.92189522342125</v>
      </c>
      <c r="F37" s="1476">
        <f t="shared" si="59"/>
        <v>183.10139991109489</v>
      </c>
      <c r="G37" s="3343">
        <v>2010</v>
      </c>
      <c r="H37" s="1464">
        <v>2</v>
      </c>
      <c r="I37" s="1464">
        <v>4.6900000000000004</v>
      </c>
      <c r="J37" s="1464">
        <v>3.55</v>
      </c>
      <c r="K37" s="1464">
        <v>5.07</v>
      </c>
      <c r="L37" s="1478">
        <v>4.2300000000000004</v>
      </c>
      <c r="N37" s="1471">
        <f t="shared" si="46"/>
        <v>4.6900000000000004E-2</v>
      </c>
      <c r="O37" s="1472">
        <f t="shared" si="46"/>
        <v>3.5499999999999997E-2</v>
      </c>
      <c r="P37" s="1472">
        <f t="shared" si="46"/>
        <v>5.0700000000000002E-2</v>
      </c>
      <c r="Q37" s="1472">
        <f t="shared" si="46"/>
        <v>4.2300000000000004E-2</v>
      </c>
      <c r="R37" s="1473"/>
      <c r="S37" s="1471"/>
      <c r="T37" s="1472"/>
      <c r="U37" s="1472"/>
      <c r="V37" s="1472"/>
    </row>
    <row r="38" spans="1:26" ht="13.5" thickBot="1">
      <c r="A38" s="1460" t="s">
        <v>1178</v>
      </c>
      <c r="B38" s="1476">
        <f t="shared" si="58"/>
        <v>232.06990378821649</v>
      </c>
      <c r="C38" s="1476">
        <f t="shared" si="58"/>
        <v>192.74878854286936</v>
      </c>
      <c r="D38" s="1476">
        <f t="shared" si="44"/>
        <v>192.74878854286936</v>
      </c>
      <c r="E38" s="1476">
        <f t="shared" si="59"/>
        <v>319.71247284992984</v>
      </c>
      <c r="F38" s="1476">
        <f t="shared" si="59"/>
        <v>175.67053622862409</v>
      </c>
      <c r="G38" s="3344">
        <v>2010</v>
      </c>
      <c r="H38" s="1463">
        <v>1</v>
      </c>
      <c r="I38" s="1463">
        <v>5.4</v>
      </c>
      <c r="J38" s="1463">
        <v>3.2</v>
      </c>
      <c r="K38" s="1463">
        <v>6.16</v>
      </c>
      <c r="L38" s="1477">
        <v>4.51</v>
      </c>
      <c r="N38" s="1471">
        <f t="shared" si="46"/>
        <v>5.4000000000000006E-2</v>
      </c>
      <c r="O38" s="1472">
        <f t="shared" si="46"/>
        <v>3.2000000000000001E-2</v>
      </c>
      <c r="P38" s="1472">
        <f t="shared" si="46"/>
        <v>6.1600000000000002E-2</v>
      </c>
      <c r="Q38" s="1472">
        <f t="shared" si="46"/>
        <v>4.5100000000000001E-2</v>
      </c>
      <c r="R38" s="1473"/>
      <c r="S38" s="1479">
        <f>B38/B39-1</f>
        <v>5.4863199037347599E-2</v>
      </c>
      <c r="T38" s="1480">
        <f>C38/C39-1</f>
        <v>3.0742184721226584E-2</v>
      </c>
      <c r="U38" s="1480">
        <f>E38/E39-1</f>
        <v>6.2167683886810154E-2</v>
      </c>
      <c r="V38" s="1480">
        <f>F38/F39-1</f>
        <v>4.5657953741810031E-2</v>
      </c>
      <c r="X38" s="1459"/>
      <c r="Y38" s="1459"/>
      <c r="Z38" s="1459"/>
    </row>
    <row r="39" spans="1:26" ht="13.5" thickBot="1">
      <c r="A39" s="1460" t="s">
        <v>1179</v>
      </c>
      <c r="B39" s="1468">
        <v>220</v>
      </c>
      <c r="C39" s="1468">
        <v>187</v>
      </c>
      <c r="D39" s="1468">
        <f t="shared" si="44"/>
        <v>187</v>
      </c>
      <c r="E39" s="1468">
        <v>301</v>
      </c>
      <c r="F39" s="1469">
        <v>168</v>
      </c>
      <c r="G39" s="3342">
        <v>2009</v>
      </c>
      <c r="H39" s="1481">
        <v>4</v>
      </c>
      <c r="I39" s="1481">
        <v>2.2999999999999998</v>
      </c>
      <c r="J39" s="1481">
        <v>1.04</v>
      </c>
      <c r="K39" s="1481">
        <v>2.84</v>
      </c>
      <c r="L39" s="1482">
        <v>0.67</v>
      </c>
      <c r="N39" s="1483">
        <f t="shared" si="46"/>
        <v>2.3E-2</v>
      </c>
      <c r="O39" s="1484">
        <f t="shared" si="46"/>
        <v>1.04E-2</v>
      </c>
      <c r="P39" s="1484">
        <f t="shared" si="46"/>
        <v>2.8399999999999998E-2</v>
      </c>
      <c r="Q39" s="1484">
        <f t="shared" si="46"/>
        <v>6.7000000000000002E-3</v>
      </c>
      <c r="R39" s="1473"/>
      <c r="S39" s="1474"/>
      <c r="T39" s="1475"/>
      <c r="U39" s="1475"/>
      <c r="V39" s="1475"/>
      <c r="X39" s="1475"/>
      <c r="Y39" s="1475"/>
      <c r="Z39" s="1475"/>
    </row>
    <row r="40" spans="1:26">
      <c r="A40" s="1460" t="s">
        <v>1180</v>
      </c>
      <c r="B40" s="1476">
        <f t="shared" ref="B40:C42" si="60">B39/(1+N39)</f>
        <v>215.05376344086022</v>
      </c>
      <c r="C40" s="1476">
        <f t="shared" si="60"/>
        <v>185.0752177355503</v>
      </c>
      <c r="D40" s="1476">
        <f t="shared" si="44"/>
        <v>185.0752177355503</v>
      </c>
      <c r="E40" s="1476">
        <f t="shared" ref="E40:F42" si="61">E39/(1+P39)</f>
        <v>292.68767016725008</v>
      </c>
      <c r="F40" s="1476">
        <f t="shared" si="61"/>
        <v>166.88189132810174</v>
      </c>
      <c r="G40" s="3343">
        <v>2009</v>
      </c>
      <c r="H40" s="1486">
        <v>3</v>
      </c>
      <c r="I40" s="1486">
        <v>2.1</v>
      </c>
      <c r="J40" s="1486">
        <v>1.86</v>
      </c>
      <c r="K40" s="1486">
        <v>2.29</v>
      </c>
      <c r="L40" s="1487">
        <v>0.85</v>
      </c>
      <c r="N40" s="1471">
        <f t="shared" si="46"/>
        <v>2.1000000000000001E-2</v>
      </c>
      <c r="O40" s="1488">
        <f t="shared" si="46"/>
        <v>1.8600000000000002E-2</v>
      </c>
      <c r="P40" s="1488">
        <f t="shared" si="46"/>
        <v>2.29E-2</v>
      </c>
      <c r="Q40" s="1488">
        <f t="shared" si="46"/>
        <v>8.5000000000000006E-3</v>
      </c>
      <c r="R40" s="1473"/>
      <c r="S40" s="1471"/>
      <c r="T40" s="1472"/>
      <c r="U40" s="1472"/>
      <c r="V40" s="1472"/>
    </row>
    <row r="41" spans="1:26">
      <c r="A41" s="1460" t="s">
        <v>1181</v>
      </c>
      <c r="B41" s="1476">
        <f t="shared" si="60"/>
        <v>210.630522469011</v>
      </c>
      <c r="C41" s="1476">
        <f t="shared" si="60"/>
        <v>181.69567812247232</v>
      </c>
      <c r="D41" s="1476">
        <f t="shared" si="44"/>
        <v>181.69567812247232</v>
      </c>
      <c r="E41" s="1476">
        <f t="shared" si="61"/>
        <v>286.13517466736738</v>
      </c>
      <c r="F41" s="1476">
        <f t="shared" si="61"/>
        <v>165.47535084591149</v>
      </c>
      <c r="G41" s="3343">
        <v>2009</v>
      </c>
      <c r="H41" s="1464">
        <v>2</v>
      </c>
      <c r="I41" s="1464">
        <v>0.86</v>
      </c>
      <c r="J41" s="1464">
        <v>-1.1299999999999999</v>
      </c>
      <c r="K41" s="1464">
        <v>1.79</v>
      </c>
      <c r="L41" s="1478">
        <v>-2.0699999999999998</v>
      </c>
      <c r="N41" s="1471">
        <f t="shared" si="46"/>
        <v>8.6E-3</v>
      </c>
      <c r="O41" s="1488">
        <f t="shared" si="46"/>
        <v>-1.1299999999999999E-2</v>
      </c>
      <c r="P41" s="1488">
        <f t="shared" si="46"/>
        <v>1.7899999999999999E-2</v>
      </c>
      <c r="Q41" s="1488">
        <f t="shared" si="46"/>
        <v>-2.07E-2</v>
      </c>
      <c r="R41" s="1473"/>
      <c r="S41" s="1471"/>
      <c r="T41" s="1472"/>
      <c r="U41" s="1472"/>
      <c r="V41" s="1472"/>
    </row>
    <row r="42" spans="1:26">
      <c r="A42" s="1460" t="s">
        <v>1182</v>
      </c>
      <c r="B42" s="1476">
        <f t="shared" si="60"/>
        <v>208.83454537875372</v>
      </c>
      <c r="C42" s="1476">
        <f t="shared" si="60"/>
        <v>183.77230517090351</v>
      </c>
      <c r="D42" s="1476">
        <f t="shared" si="44"/>
        <v>183.77230517090351</v>
      </c>
      <c r="E42" s="1476">
        <f t="shared" si="61"/>
        <v>281.10342338870947</v>
      </c>
      <c r="F42" s="1476">
        <f t="shared" si="61"/>
        <v>168.97309388942256</v>
      </c>
      <c r="G42" s="3344">
        <v>2009</v>
      </c>
      <c r="H42" s="1463">
        <v>1</v>
      </c>
      <c r="I42" s="1463">
        <v>-2.64</v>
      </c>
      <c r="J42" s="1463">
        <v>-2.5299999999999998</v>
      </c>
      <c r="K42" s="1463">
        <v>-3.02</v>
      </c>
      <c r="L42" s="1477">
        <v>1.52</v>
      </c>
      <c r="N42" s="1479">
        <f t="shared" si="46"/>
        <v>-2.64E-2</v>
      </c>
      <c r="O42" s="1480">
        <f t="shared" si="46"/>
        <v>-2.53E-2</v>
      </c>
      <c r="P42" s="1480">
        <f t="shared" si="46"/>
        <v>-3.0200000000000001E-2</v>
      </c>
      <c r="Q42" s="1480">
        <f t="shared" si="46"/>
        <v>1.52E-2</v>
      </c>
      <c r="R42" s="1473"/>
      <c r="S42" s="1479">
        <f>B42/B43-1</f>
        <v>-2.4137638417038754E-2</v>
      </c>
      <c r="T42" s="1480">
        <f>C42/C43-1</f>
        <v>-2.248773845264096E-2</v>
      </c>
      <c r="U42" s="1480">
        <f>E42/E43-1</f>
        <v>-2.7323794502735366E-2</v>
      </c>
      <c r="V42" s="1480">
        <f>F42/F43-1</f>
        <v>1.7910204153148035E-2</v>
      </c>
      <c r="X42" s="1459"/>
      <c r="Y42" s="1459"/>
      <c r="Z42" s="1459"/>
    </row>
    <row r="43" spans="1:26" ht="13.5" thickBot="1">
      <c r="A43" s="1460" t="s">
        <v>1183</v>
      </c>
      <c r="B43" s="1510">
        <v>214</v>
      </c>
      <c r="C43" s="1510">
        <v>188</v>
      </c>
      <c r="D43" s="1510">
        <f t="shared" si="44"/>
        <v>188</v>
      </c>
      <c r="E43" s="1510">
        <v>289</v>
      </c>
      <c r="F43" s="1511">
        <v>166</v>
      </c>
      <c r="G43" s="3342">
        <v>2008</v>
      </c>
      <c r="H43" s="1481">
        <v>4</v>
      </c>
      <c r="I43" s="1481">
        <v>1.73</v>
      </c>
      <c r="J43" s="1481">
        <v>0.03</v>
      </c>
      <c r="K43" s="1481">
        <v>2.59</v>
      </c>
      <c r="L43" s="1482">
        <v>-1.66</v>
      </c>
      <c r="N43" s="1471">
        <f t="shared" si="46"/>
        <v>1.7299999999999999E-2</v>
      </c>
      <c r="O43" s="1472">
        <f t="shared" si="46"/>
        <v>2.9999999999999997E-4</v>
      </c>
      <c r="P43" s="1472">
        <f t="shared" si="46"/>
        <v>2.5899999999999999E-2</v>
      </c>
      <c r="Q43" s="1472">
        <f t="shared" si="46"/>
        <v>-1.66E-2</v>
      </c>
      <c r="R43" s="1473"/>
      <c r="S43" s="1474"/>
      <c r="T43" s="1475"/>
      <c r="U43" s="1475"/>
      <c r="V43" s="1475"/>
      <c r="X43" s="1475"/>
      <c r="Y43" s="1475"/>
      <c r="Z43" s="1475"/>
    </row>
    <row r="44" spans="1:26">
      <c r="A44" s="1460" t="s">
        <v>1184</v>
      </c>
      <c r="B44" s="1476">
        <f t="shared" ref="B44:C46" si="62">B43/(1+N43)</f>
        <v>210.36075887152265</v>
      </c>
      <c r="C44" s="1476">
        <f t="shared" si="62"/>
        <v>187.94361691492554</v>
      </c>
      <c r="D44" s="1476">
        <f t="shared" si="44"/>
        <v>187.94361691492554</v>
      </c>
      <c r="E44" s="1476">
        <f t="shared" ref="E44:F46" si="63">E43/(1+P43)</f>
        <v>281.70386977288234</v>
      </c>
      <c r="F44" s="1476">
        <f t="shared" si="63"/>
        <v>168.80211511083994</v>
      </c>
      <c r="G44" s="3343">
        <v>2008</v>
      </c>
      <c r="H44" s="1486">
        <v>3</v>
      </c>
      <c r="I44" s="1486">
        <v>1.96</v>
      </c>
      <c r="J44" s="1486">
        <v>2.36</v>
      </c>
      <c r="K44" s="1486">
        <v>1.82</v>
      </c>
      <c r="L44" s="1487">
        <v>2.2200000000000002</v>
      </c>
      <c r="N44" s="1471">
        <f t="shared" si="46"/>
        <v>1.9599999999999999E-2</v>
      </c>
      <c r="O44" s="1472">
        <f t="shared" si="46"/>
        <v>2.3599999999999999E-2</v>
      </c>
      <c r="P44" s="1472">
        <f t="shared" si="46"/>
        <v>1.8200000000000001E-2</v>
      </c>
      <c r="Q44" s="1472">
        <f t="shared" si="46"/>
        <v>2.2200000000000001E-2</v>
      </c>
      <c r="R44" s="1473"/>
      <c r="S44" s="1471"/>
      <c r="T44" s="1472"/>
      <c r="U44" s="1472"/>
      <c r="V44" s="1472"/>
    </row>
    <row r="45" spans="1:26">
      <c r="A45" s="1460" t="s">
        <v>1185</v>
      </c>
      <c r="B45" s="1476">
        <f t="shared" si="62"/>
        <v>206.31694671589116</v>
      </c>
      <c r="C45" s="1476">
        <f t="shared" si="62"/>
        <v>183.61041121036101</v>
      </c>
      <c r="D45" s="1476">
        <f t="shared" si="44"/>
        <v>183.61041121036101</v>
      </c>
      <c r="E45" s="1476">
        <f t="shared" si="63"/>
        <v>276.66850301795557</v>
      </c>
      <c r="F45" s="1476">
        <f t="shared" si="63"/>
        <v>165.1360938278614</v>
      </c>
      <c r="G45" s="3343">
        <v>2008</v>
      </c>
      <c r="H45" s="1464">
        <v>2</v>
      </c>
      <c r="I45" s="1464">
        <v>4.93</v>
      </c>
      <c r="J45" s="1464">
        <v>7.38</v>
      </c>
      <c r="K45" s="1464">
        <v>3.98</v>
      </c>
      <c r="L45" s="1478">
        <v>6.86</v>
      </c>
      <c r="N45" s="1471">
        <f t="shared" si="46"/>
        <v>4.9299999999999997E-2</v>
      </c>
      <c r="O45" s="1472">
        <f t="shared" si="46"/>
        <v>7.3800000000000004E-2</v>
      </c>
      <c r="P45" s="1472">
        <f t="shared" si="46"/>
        <v>3.9800000000000002E-2</v>
      </c>
      <c r="Q45" s="1472">
        <f t="shared" si="46"/>
        <v>6.8600000000000008E-2</v>
      </c>
      <c r="R45" s="1473"/>
      <c r="S45" s="1471"/>
      <c r="T45" s="1472"/>
      <c r="U45" s="1472"/>
      <c r="V45" s="1472"/>
    </row>
    <row r="46" spans="1:26" s="1516" customFormat="1" ht="13.5" thickBot="1">
      <c r="A46" s="1460" t="s">
        <v>1186</v>
      </c>
      <c r="B46" s="1513">
        <f t="shared" si="62"/>
        <v>196.62341248059772</v>
      </c>
      <c r="C46" s="1513">
        <f t="shared" si="62"/>
        <v>170.99125648199012</v>
      </c>
      <c r="D46" s="1513">
        <f t="shared" si="44"/>
        <v>170.99125648199012</v>
      </c>
      <c r="E46" s="1513">
        <f t="shared" si="63"/>
        <v>266.07857570490052</v>
      </c>
      <c r="F46" s="1513">
        <f t="shared" si="63"/>
        <v>154.53499328828505</v>
      </c>
      <c r="G46" s="3344">
        <v>2008</v>
      </c>
      <c r="H46" s="1514">
        <v>1</v>
      </c>
      <c r="I46" s="1514">
        <v>4.1399999999999997</v>
      </c>
      <c r="J46" s="1514">
        <v>3.45</v>
      </c>
      <c r="K46" s="1514">
        <v>4.95</v>
      </c>
      <c r="L46" s="1515">
        <v>4.82</v>
      </c>
      <c r="N46" s="1517">
        <f t="shared" si="46"/>
        <v>4.1399999999999999E-2</v>
      </c>
      <c r="O46" s="1518">
        <f t="shared" si="46"/>
        <v>3.4500000000000003E-2</v>
      </c>
      <c r="P46" s="1518">
        <f t="shared" si="46"/>
        <v>4.9500000000000002E-2</v>
      </c>
      <c r="Q46" s="1518">
        <f t="shared" si="46"/>
        <v>4.82E-2</v>
      </c>
      <c r="R46" s="1519"/>
      <c r="S46" s="1517">
        <f>B46/B47-1</f>
        <v>4.5869215322328349E-2</v>
      </c>
      <c r="T46" s="1518">
        <f>C46/C47-1</f>
        <v>3.6310645345394743E-2</v>
      </c>
      <c r="U46" s="1518">
        <f>E46/E47-1</f>
        <v>4.7553447657088688E-2</v>
      </c>
      <c r="V46" s="1518">
        <f>F46/F47-1</f>
        <v>4.4155360055980086E-2</v>
      </c>
      <c r="X46" s="1520"/>
      <c r="Y46" s="1520"/>
      <c r="Z46" s="1520"/>
    </row>
    <row r="47" spans="1:26" ht="13.5" thickBot="1">
      <c r="A47" s="1460" t="s">
        <v>1187</v>
      </c>
      <c r="B47" s="1468">
        <v>188</v>
      </c>
      <c r="C47" s="1468">
        <v>165</v>
      </c>
      <c r="D47" s="1468">
        <f t="shared" si="44"/>
        <v>165</v>
      </c>
      <c r="E47" s="1468">
        <v>254</v>
      </c>
      <c r="F47" s="1469">
        <v>148</v>
      </c>
      <c r="G47" s="3342">
        <v>2007</v>
      </c>
      <c r="H47" s="1521">
        <v>4</v>
      </c>
      <c r="I47" s="1521">
        <v>5.51</v>
      </c>
      <c r="J47" s="1521">
        <v>4.8899999999999997</v>
      </c>
      <c r="K47" s="1521">
        <v>6.43</v>
      </c>
      <c r="L47" s="1522">
        <v>5.36</v>
      </c>
      <c r="N47" s="1523">
        <f t="shared" ref="N47:O50" si="64">B47/B48-1</f>
        <v>4.1339718365245526E-2</v>
      </c>
      <c r="O47" s="1524">
        <f t="shared" si="64"/>
        <v>4.0324492593776018E-2</v>
      </c>
      <c r="P47" s="1524">
        <f t="shared" ref="P47:Q50" si="65">E47/E48-1</f>
        <v>6.1625555347990968E-2</v>
      </c>
      <c r="Q47" s="1524">
        <f t="shared" si="65"/>
        <v>4.6757569250590603E-2</v>
      </c>
      <c r="R47" s="1473"/>
      <c r="S47" s="1474"/>
      <c r="T47" s="1475"/>
      <c r="U47" s="1475"/>
      <c r="V47" s="1475"/>
      <c r="X47" s="1475"/>
      <c r="Y47" s="1475"/>
      <c r="Z47" s="1475"/>
    </row>
    <row r="48" spans="1:26">
      <c r="A48" s="1460" t="s">
        <v>1188</v>
      </c>
      <c r="B48" s="1476">
        <f t="shared" ref="B48:C50" si="66">B49+(B$47-B$51)*I48/SUM(I$47:I$50)</f>
        <v>180.5366651097618</v>
      </c>
      <c r="C48" s="1476">
        <f t="shared" si="66"/>
        <v>158.60435967302453</v>
      </c>
      <c r="D48" s="1476">
        <f t="shared" si="44"/>
        <v>158.60435967302453</v>
      </c>
      <c r="E48" s="1476">
        <f t="shared" ref="E48:F50" si="67">E49+(E$47-E$51)*K48/SUM(K$47:K$50)</f>
        <v>239.25573260785075</v>
      </c>
      <c r="F48" s="1476">
        <f t="shared" si="67"/>
        <v>141.38899430740037</v>
      </c>
      <c r="G48" s="3343">
        <v>2007</v>
      </c>
      <c r="H48" s="1486">
        <v>3</v>
      </c>
      <c r="I48" s="1486">
        <v>8.65</v>
      </c>
      <c r="J48" s="1486">
        <v>8.06</v>
      </c>
      <c r="K48" s="1486">
        <v>9.94</v>
      </c>
      <c r="L48" s="1487">
        <v>5.8</v>
      </c>
      <c r="N48" s="1523">
        <f t="shared" si="64"/>
        <v>6.940217571740015E-2</v>
      </c>
      <c r="O48" s="1524">
        <f t="shared" si="64"/>
        <v>7.1197482471153428E-2</v>
      </c>
      <c r="P48" s="1524">
        <f t="shared" si="65"/>
        <v>0.10529679922579582</v>
      </c>
      <c r="Q48" s="1524">
        <f t="shared" si="65"/>
        <v>5.3292245059512133E-2</v>
      </c>
      <c r="R48" s="1473"/>
      <c r="S48" s="1471"/>
      <c r="T48" s="1472"/>
      <c r="U48" s="1472"/>
      <c r="V48" s="1472"/>
      <c r="X48" s="1525"/>
      <c r="Y48" s="1525"/>
      <c r="Z48" s="1525"/>
    </row>
    <row r="49" spans="1:26">
      <c r="A49" s="1460" t="s">
        <v>1189</v>
      </c>
      <c r="B49" s="1476">
        <f t="shared" si="66"/>
        <v>168.82017748715555</v>
      </c>
      <c r="C49" s="1476">
        <f t="shared" si="66"/>
        <v>148.06267029972753</v>
      </c>
      <c r="D49" s="1476">
        <f t="shared" si="44"/>
        <v>148.06267029972753</v>
      </c>
      <c r="E49" s="1476">
        <f t="shared" si="67"/>
        <v>216.46288379323747</v>
      </c>
      <c r="F49" s="1476">
        <f t="shared" si="67"/>
        <v>134.23529411764704</v>
      </c>
      <c r="G49" s="3343">
        <v>2007</v>
      </c>
      <c r="H49" s="1464">
        <v>2</v>
      </c>
      <c r="I49" s="1464">
        <v>3.67</v>
      </c>
      <c r="J49" s="1464">
        <v>2.3199999999999998</v>
      </c>
      <c r="K49" s="1464">
        <v>5.0199999999999996</v>
      </c>
      <c r="L49" s="1478">
        <v>6.71</v>
      </c>
      <c r="N49" s="1523">
        <f t="shared" si="64"/>
        <v>3.0339138143848032E-2</v>
      </c>
      <c r="O49" s="1524">
        <f t="shared" si="64"/>
        <v>2.0922341588790472E-2</v>
      </c>
      <c r="P49" s="1524">
        <f t="shared" si="65"/>
        <v>5.6164796592717003E-2</v>
      </c>
      <c r="Q49" s="1524">
        <f t="shared" si="65"/>
        <v>6.5704536723887319E-2</v>
      </c>
      <c r="R49" s="1473"/>
      <c r="S49" s="1471"/>
      <c r="T49" s="1472"/>
      <c r="U49" s="1472"/>
      <c r="V49" s="1472"/>
      <c r="X49" s="1525"/>
      <c r="Y49" s="1525"/>
      <c r="Z49" s="1525"/>
    </row>
    <row r="50" spans="1:26">
      <c r="A50" s="1460" t="s">
        <v>1190</v>
      </c>
      <c r="B50" s="1476">
        <f t="shared" si="66"/>
        <v>163.84913591779542</v>
      </c>
      <c r="C50" s="1476">
        <f t="shared" si="66"/>
        <v>145.0283378746594</v>
      </c>
      <c r="D50" s="1476">
        <f t="shared" si="44"/>
        <v>145.0283378746594</v>
      </c>
      <c r="E50" s="1476">
        <f t="shared" si="67"/>
        <v>204.95180722891567</v>
      </c>
      <c r="F50" s="1476">
        <f t="shared" si="67"/>
        <v>125.95920303605313</v>
      </c>
      <c r="G50" s="3344">
        <v>2007</v>
      </c>
      <c r="H50" s="1463">
        <v>1</v>
      </c>
      <c r="I50" s="1463">
        <v>3.58</v>
      </c>
      <c r="J50" s="1463">
        <v>3.08</v>
      </c>
      <c r="K50" s="1463">
        <v>4.34</v>
      </c>
      <c r="L50" s="1477">
        <v>3.21</v>
      </c>
      <c r="N50" s="1526">
        <f t="shared" si="64"/>
        <v>3.0497710174814063E-2</v>
      </c>
      <c r="O50" s="1527">
        <f t="shared" si="64"/>
        <v>2.8569772160704998E-2</v>
      </c>
      <c r="P50" s="1527">
        <f t="shared" si="65"/>
        <v>5.1034908866234296E-2</v>
      </c>
      <c r="Q50" s="1527">
        <f t="shared" si="65"/>
        <v>3.245248390207478E-2</v>
      </c>
      <c r="R50" s="1473"/>
      <c r="S50" s="1479">
        <f>B50/B51-1</f>
        <v>3.0497710174814063E-2</v>
      </c>
      <c r="T50" s="1480">
        <f>C50/C51-1</f>
        <v>2.8569772160704998E-2</v>
      </c>
      <c r="U50" s="1480">
        <f>E50/E51-1</f>
        <v>5.1034908866234296E-2</v>
      </c>
      <c r="V50" s="1480">
        <f>F50/F51-1</f>
        <v>3.245248390207478E-2</v>
      </c>
      <c r="X50" s="1525"/>
      <c r="Y50" s="1525"/>
      <c r="Z50" s="1525"/>
    </row>
    <row r="51" spans="1:26" ht="13.5" thickBot="1">
      <c r="A51" s="1460" t="s">
        <v>1191</v>
      </c>
      <c r="B51" s="1489">
        <v>159</v>
      </c>
      <c r="C51" s="1489">
        <v>141</v>
      </c>
      <c r="D51" s="1489">
        <f t="shared" si="44"/>
        <v>141</v>
      </c>
      <c r="E51" s="1489">
        <v>195</v>
      </c>
      <c r="F51" s="1490">
        <v>122</v>
      </c>
      <c r="G51" s="3342">
        <v>2006</v>
      </c>
      <c r="H51" s="1481">
        <v>4</v>
      </c>
      <c r="I51" s="1481">
        <v>3.79</v>
      </c>
      <c r="J51" s="1481">
        <v>2.21</v>
      </c>
      <c r="K51" s="1481">
        <v>5.65</v>
      </c>
      <c r="L51" s="1482">
        <v>5.41</v>
      </c>
      <c r="N51" s="1523">
        <f t="shared" ref="N51:O54" si="68">I51/SUM(I$51:I$54)*(B$51/B$55-1)</f>
        <v>7.245466462748526E-2</v>
      </c>
      <c r="O51" s="1524">
        <f t="shared" si="68"/>
        <v>2.3237230038062766E-2</v>
      </c>
      <c r="P51" s="1524">
        <f t="shared" ref="P51:Q54" si="69">K51/SUM(K$51:K$54)*(E$51/E$55-1)</f>
        <v>0.16146893866323722</v>
      </c>
      <c r="Q51" s="1524">
        <f t="shared" si="69"/>
        <v>5.0755230321793784E-2</v>
      </c>
      <c r="R51" s="1473"/>
      <c r="S51" s="1474"/>
      <c r="T51" s="1475"/>
      <c r="U51" s="1475"/>
      <c r="V51" s="1475"/>
      <c r="X51" s="1525"/>
      <c r="Y51" s="1525"/>
      <c r="Z51" s="1525"/>
    </row>
    <row r="52" spans="1:26">
      <c r="A52" s="1460" t="s">
        <v>1192</v>
      </c>
      <c r="B52" s="1476">
        <f t="shared" ref="B52:C54" si="70">B53+(B$51-B$55)*I52/SUM(I$51:I$54)</f>
        <v>149.00125628140702</v>
      </c>
      <c r="C52" s="1476">
        <f t="shared" si="70"/>
        <v>137.95592286501378</v>
      </c>
      <c r="D52" s="1476">
        <f t="shared" si="44"/>
        <v>137.95592286501378</v>
      </c>
      <c r="E52" s="1476">
        <f t="shared" ref="E52:F54" si="71">E53+(E$51-E$55)*K52/SUM(K$51:K$54)</f>
        <v>169.97231450719823</v>
      </c>
      <c r="F52" s="1476">
        <f t="shared" si="71"/>
        <v>116.21390374331551</v>
      </c>
      <c r="G52" s="3343">
        <v>2006</v>
      </c>
      <c r="H52" s="1486">
        <v>3</v>
      </c>
      <c r="I52" s="1486">
        <v>0.92</v>
      </c>
      <c r="J52" s="1486">
        <v>1.08</v>
      </c>
      <c r="K52" s="1486">
        <v>0.73</v>
      </c>
      <c r="L52" s="1487">
        <v>1.08</v>
      </c>
      <c r="N52" s="1523">
        <f t="shared" si="68"/>
        <v>1.7587939698492462E-2</v>
      </c>
      <c r="O52" s="1524">
        <f t="shared" si="68"/>
        <v>1.1355750425840628E-2</v>
      </c>
      <c r="P52" s="1524">
        <f t="shared" si="69"/>
        <v>2.0862358446754544E-2</v>
      </c>
      <c r="Q52" s="1524">
        <f t="shared" si="69"/>
        <v>1.0132282578103011E-2</v>
      </c>
      <c r="R52" s="1473"/>
      <c r="S52" s="1471"/>
      <c r="T52" s="1472"/>
      <c r="U52" s="1472"/>
      <c r="V52" s="1472"/>
      <c r="X52" s="1525"/>
      <c r="Y52" s="1525"/>
      <c r="Z52" s="1525"/>
    </row>
    <row r="53" spans="1:26">
      <c r="A53" s="1460" t="s">
        <v>1193</v>
      </c>
      <c r="B53" s="1476">
        <f t="shared" si="70"/>
        <v>146.57412060301507</v>
      </c>
      <c r="C53" s="1476">
        <f t="shared" si="70"/>
        <v>136.46831955922866</v>
      </c>
      <c r="D53" s="1476">
        <f t="shared" si="44"/>
        <v>136.46831955922866</v>
      </c>
      <c r="E53" s="1476">
        <f t="shared" si="71"/>
        <v>166.73864894795128</v>
      </c>
      <c r="F53" s="1476">
        <f t="shared" si="71"/>
        <v>115.05882352941177</v>
      </c>
      <c r="G53" s="3343">
        <v>2006</v>
      </c>
      <c r="H53" s="1464">
        <v>2</v>
      </c>
      <c r="I53" s="1464">
        <v>0.96</v>
      </c>
      <c r="J53" s="1464">
        <v>0.25</v>
      </c>
      <c r="K53" s="1464">
        <v>1.9</v>
      </c>
      <c r="L53" s="1478">
        <v>0.95</v>
      </c>
      <c r="N53" s="1523">
        <f t="shared" si="68"/>
        <v>1.8352632728861701E-2</v>
      </c>
      <c r="O53" s="1524">
        <f t="shared" si="68"/>
        <v>2.6286459319075526E-3</v>
      </c>
      <c r="P53" s="1524">
        <f t="shared" si="69"/>
        <v>5.4299289107991269E-2</v>
      </c>
      <c r="Q53" s="1524">
        <f t="shared" si="69"/>
        <v>8.9126559714794995E-3</v>
      </c>
      <c r="R53" s="1473"/>
      <c r="S53" s="1471"/>
      <c r="T53" s="1472"/>
      <c r="U53" s="1472"/>
      <c r="V53" s="1472"/>
      <c r="X53" s="1525"/>
      <c r="Y53" s="1525"/>
      <c r="Z53" s="1525"/>
    </row>
    <row r="54" spans="1:26">
      <c r="A54" s="1460" t="s">
        <v>1194</v>
      </c>
      <c r="B54" s="1476">
        <f t="shared" si="70"/>
        <v>144.04145728643215</v>
      </c>
      <c r="C54" s="1476">
        <f t="shared" si="70"/>
        <v>136.12396694214877</v>
      </c>
      <c r="D54" s="1476">
        <f t="shared" si="44"/>
        <v>136.12396694214877</v>
      </c>
      <c r="E54" s="1476">
        <f t="shared" si="71"/>
        <v>158.32225913621264</v>
      </c>
      <c r="F54" s="1476">
        <f t="shared" si="71"/>
        <v>114.04278074866311</v>
      </c>
      <c r="G54" s="3344">
        <v>2006</v>
      </c>
      <c r="H54" s="1463">
        <v>1</v>
      </c>
      <c r="I54" s="1463">
        <v>2.29</v>
      </c>
      <c r="J54" s="1463">
        <v>3.72</v>
      </c>
      <c r="K54" s="1463">
        <v>0.75</v>
      </c>
      <c r="L54" s="1477">
        <v>0.04</v>
      </c>
      <c r="N54" s="1526">
        <f t="shared" si="68"/>
        <v>4.3778675988638847E-2</v>
      </c>
      <c r="O54" s="1527">
        <f t="shared" si="68"/>
        <v>3.9114251466784385E-2</v>
      </c>
      <c r="P54" s="1527">
        <f t="shared" si="69"/>
        <v>2.1433929911049188E-2</v>
      </c>
      <c r="Q54" s="1527">
        <f t="shared" si="69"/>
        <v>3.7526972511492629E-4</v>
      </c>
      <c r="R54" s="1473"/>
      <c r="S54" s="1479">
        <f>B54/B55-1</f>
        <v>4.3778675988638716E-2</v>
      </c>
      <c r="T54" s="1480">
        <f>C54/C55-1</f>
        <v>3.91142514667846E-2</v>
      </c>
      <c r="U54" s="1480">
        <f>E54/E55-1</f>
        <v>2.143392991104931E-2</v>
      </c>
      <c r="V54" s="1480">
        <f>F54/F55-1</f>
        <v>3.7526972511492396E-4</v>
      </c>
      <c r="X54" s="1525"/>
      <c r="Y54" s="1525"/>
      <c r="Z54" s="1525"/>
    </row>
    <row r="55" spans="1:26" ht="13.5" thickBot="1">
      <c r="A55" s="1460" t="s">
        <v>1195</v>
      </c>
      <c r="B55" s="1489">
        <v>138</v>
      </c>
      <c r="C55" s="1489">
        <v>131</v>
      </c>
      <c r="D55" s="1489">
        <f t="shared" si="44"/>
        <v>131</v>
      </c>
      <c r="E55" s="1489">
        <v>155</v>
      </c>
      <c r="F55" s="1490">
        <v>114</v>
      </c>
      <c r="G55" s="3342">
        <v>2005</v>
      </c>
      <c r="H55" s="1481">
        <v>4</v>
      </c>
      <c r="I55" s="1481">
        <v>3.29</v>
      </c>
      <c r="J55" s="1481">
        <v>1.44</v>
      </c>
      <c r="K55" s="1481">
        <v>0.66</v>
      </c>
      <c r="L55" s="1482">
        <v>7.78</v>
      </c>
      <c r="N55" s="1523">
        <f t="shared" ref="N55:O58" si="72">I55/SUM(I$55:I$58)*(B$55/B$59-1)</f>
        <v>9.9404603216919935E-2</v>
      </c>
      <c r="O55" s="1524">
        <f t="shared" si="72"/>
        <v>4.7636550760861554E-2</v>
      </c>
      <c r="P55" s="1524">
        <f t="shared" ref="P55:Q58" si="73">K55/SUM(K$55:K$58)*(E$55/E$59-1)</f>
        <v>8.3756345177664976E-2</v>
      </c>
      <c r="Q55" s="1524">
        <f t="shared" si="73"/>
        <v>5.2148766661559584E-2</v>
      </c>
      <c r="R55" s="1473"/>
      <c r="S55" s="1474"/>
      <c r="T55" s="1475"/>
      <c r="U55" s="1475"/>
      <c r="V55" s="1475"/>
      <c r="X55" s="1525"/>
      <c r="Y55" s="1525"/>
      <c r="Z55" s="1525"/>
    </row>
    <row r="56" spans="1:26">
      <c r="A56" s="1460" t="s">
        <v>1196</v>
      </c>
      <c r="B56" s="1476">
        <f t="shared" ref="B56:C58" si="74">B57+(B$55-B$59)*I56/SUM(I$55:I$58)</f>
        <v>125.9720430107527</v>
      </c>
      <c r="C56" s="1476">
        <f t="shared" si="74"/>
        <v>125.1883408071749</v>
      </c>
      <c r="D56" s="1476">
        <f t="shared" si="44"/>
        <v>125.1883408071749</v>
      </c>
      <c r="E56" s="1476">
        <f t="shared" ref="E56:F58" si="75">E57+(E$55-E$59)*K56/SUM(K$55:K$58)</f>
        <v>144.61421319796952</v>
      </c>
      <c r="F56" s="1476">
        <f t="shared" si="75"/>
        <v>108.42008196721311</v>
      </c>
      <c r="G56" s="3343">
        <v>2005</v>
      </c>
      <c r="H56" s="1486">
        <v>3</v>
      </c>
      <c r="I56" s="1486">
        <v>0.46</v>
      </c>
      <c r="J56" s="1486">
        <v>0.32</v>
      </c>
      <c r="K56" s="1486">
        <v>0.42</v>
      </c>
      <c r="L56" s="1487">
        <v>0.64</v>
      </c>
      <c r="N56" s="1523">
        <f t="shared" si="72"/>
        <v>1.3898515951301874E-2</v>
      </c>
      <c r="O56" s="1524">
        <f t="shared" si="72"/>
        <v>1.0585900169080346E-2</v>
      </c>
      <c r="P56" s="1524">
        <f t="shared" si="73"/>
        <v>5.3299492385786795E-2</v>
      </c>
      <c r="Q56" s="1524">
        <f t="shared" si="73"/>
        <v>4.2898728359123568E-3</v>
      </c>
      <c r="R56" s="1473"/>
      <c r="S56" s="1471"/>
      <c r="T56" s="1472"/>
      <c r="U56" s="1472"/>
      <c r="V56" s="1472"/>
      <c r="X56" s="1525"/>
      <c r="Y56" s="1525"/>
      <c r="Z56" s="1525"/>
    </row>
    <row r="57" spans="1:26">
      <c r="A57" s="1460" t="s">
        <v>1197</v>
      </c>
      <c r="B57" s="1476">
        <f t="shared" si="74"/>
        <v>124.29032258064517</v>
      </c>
      <c r="C57" s="1476">
        <f t="shared" si="74"/>
        <v>123.8968609865471</v>
      </c>
      <c r="D57" s="1476">
        <f t="shared" si="44"/>
        <v>123.8968609865471</v>
      </c>
      <c r="E57" s="1476">
        <f t="shared" si="75"/>
        <v>138.00507614213197</v>
      </c>
      <c r="F57" s="1476">
        <f t="shared" si="75"/>
        <v>107.96106557377048</v>
      </c>
      <c r="G57" s="3343">
        <v>2005</v>
      </c>
      <c r="H57" s="1464">
        <v>2</v>
      </c>
      <c r="I57" s="1464">
        <v>0.47</v>
      </c>
      <c r="J57" s="1464">
        <v>0.1</v>
      </c>
      <c r="K57" s="1464">
        <v>0.52</v>
      </c>
      <c r="L57" s="1478">
        <v>0.79</v>
      </c>
      <c r="N57" s="1523">
        <f t="shared" si="72"/>
        <v>1.420065760241713E-2</v>
      </c>
      <c r="O57" s="1524">
        <f t="shared" si="72"/>
        <v>3.3080938028376083E-3</v>
      </c>
      <c r="P57" s="1524">
        <f t="shared" si="73"/>
        <v>6.598984771573603E-2</v>
      </c>
      <c r="Q57" s="1524">
        <f t="shared" si="73"/>
        <v>5.2953117818293153E-3</v>
      </c>
      <c r="R57" s="1473"/>
      <c r="S57" s="1471"/>
      <c r="T57" s="1472"/>
      <c r="U57" s="1472"/>
      <c r="V57" s="1472"/>
      <c r="X57" s="1525"/>
      <c r="Y57" s="1525"/>
      <c r="Z57" s="1525"/>
    </row>
    <row r="58" spans="1:26">
      <c r="A58" s="1460" t="s">
        <v>1198</v>
      </c>
      <c r="B58" s="1476">
        <f t="shared" si="74"/>
        <v>122.57204301075269</v>
      </c>
      <c r="C58" s="1476">
        <f t="shared" si="74"/>
        <v>123.4932735426009</v>
      </c>
      <c r="D58" s="1476">
        <f t="shared" si="44"/>
        <v>123.4932735426009</v>
      </c>
      <c r="E58" s="1476">
        <f t="shared" si="75"/>
        <v>129.82233502538071</v>
      </c>
      <c r="F58" s="1476">
        <f t="shared" si="75"/>
        <v>107.39446721311475</v>
      </c>
      <c r="G58" s="3344">
        <v>2005</v>
      </c>
      <c r="H58" s="1463">
        <v>1</v>
      </c>
      <c r="I58" s="1463">
        <v>0.43</v>
      </c>
      <c r="J58" s="1463">
        <v>0.37</v>
      </c>
      <c r="K58" s="1463">
        <v>0.37</v>
      </c>
      <c r="L58" s="1477">
        <v>0.55000000000000004</v>
      </c>
      <c r="N58" s="1526">
        <f t="shared" si="72"/>
        <v>1.2992090997956099E-2</v>
      </c>
      <c r="O58" s="1527">
        <f t="shared" si="72"/>
        <v>1.2239947070499151E-2</v>
      </c>
      <c r="P58" s="1527">
        <f t="shared" si="73"/>
        <v>4.6954314720812178E-2</v>
      </c>
      <c r="Q58" s="1527">
        <f t="shared" si="73"/>
        <v>3.6866094683621815E-3</v>
      </c>
      <c r="R58" s="1473"/>
      <c r="S58" s="1479">
        <f>B58/B59-1</f>
        <v>1.2992090997956174E-2</v>
      </c>
      <c r="T58" s="1480">
        <f>C58/C59-1</f>
        <v>1.2239947070499246E-2</v>
      </c>
      <c r="U58" s="1480">
        <f>E58/E59-1</f>
        <v>4.695431472081224E-2</v>
      </c>
      <c r="V58" s="1480">
        <f>F58/F59-1</f>
        <v>3.6866094683620787E-3</v>
      </c>
      <c r="X58" s="1525"/>
      <c r="Y58" s="1525"/>
      <c r="Z58" s="1525"/>
    </row>
    <row r="59" spans="1:26" ht="13.5" thickBot="1">
      <c r="A59" s="1460" t="s">
        <v>1199</v>
      </c>
      <c r="B59" s="1510">
        <v>121</v>
      </c>
      <c r="C59" s="1510">
        <v>122</v>
      </c>
      <c r="D59" s="1510">
        <f t="shared" si="44"/>
        <v>122</v>
      </c>
      <c r="E59" s="1510">
        <v>124</v>
      </c>
      <c r="F59" s="1511">
        <v>107</v>
      </c>
      <c r="G59" s="3342">
        <v>2004</v>
      </c>
      <c r="H59" s="1481">
        <v>4</v>
      </c>
      <c r="I59" s="1481">
        <v>0.33</v>
      </c>
      <c r="J59" s="1481">
        <v>0.5</v>
      </c>
      <c r="K59" s="1481">
        <v>0.5</v>
      </c>
      <c r="L59" s="1482">
        <v>0</v>
      </c>
      <c r="N59" s="1523">
        <f t="shared" ref="N59:O62" si="76">I59/SUM(I$59:I$62)*(B$59/B$63-1)</f>
        <v>1.3391770148526898E-2</v>
      </c>
      <c r="O59" s="1524">
        <f t="shared" si="76"/>
        <v>1.063264221158958E-2</v>
      </c>
      <c r="P59" s="1524">
        <f t="shared" ref="P59:Q62" si="77">K59/SUM(K$59:K$62)*(E$59/E$63-1)</f>
        <v>2.2244466688911134E-2</v>
      </c>
      <c r="Q59" s="1524">
        <f t="shared" si="77"/>
        <v>0</v>
      </c>
      <c r="R59" s="1473"/>
      <c r="S59" s="1474"/>
      <c r="T59" s="1475"/>
      <c r="U59" s="1475"/>
      <c r="V59" s="1475"/>
      <c r="X59" s="1525"/>
      <c r="Y59" s="1525"/>
      <c r="Z59" s="1525"/>
    </row>
    <row r="60" spans="1:26">
      <c r="A60" s="1460" t="s">
        <v>1200</v>
      </c>
      <c r="B60" s="1476">
        <f t="shared" ref="B60:C62" si="78">B61+(B$59-B$63)*I60/SUM(I$59:I$62)</f>
        <v>119.51351351351352</v>
      </c>
      <c r="C60" s="1476">
        <f t="shared" si="78"/>
        <v>120.7878787878788</v>
      </c>
      <c r="D60" s="1476">
        <f t="shared" si="44"/>
        <v>120.7878787878788</v>
      </c>
      <c r="E60" s="1476">
        <f t="shared" ref="E60:F62" si="79">E61+(E$59-E$63)*K60/SUM(K$59:K$62)</f>
        <v>121.5975975975976</v>
      </c>
      <c r="F60" s="1476">
        <f t="shared" si="79"/>
        <v>107</v>
      </c>
      <c r="G60" s="3343">
        <v>2004</v>
      </c>
      <c r="H60" s="1486">
        <v>3</v>
      </c>
      <c r="I60" s="1486">
        <v>0.56000000000000005</v>
      </c>
      <c r="J60" s="1486">
        <v>0.8</v>
      </c>
      <c r="K60" s="1486">
        <v>0.83</v>
      </c>
      <c r="L60" s="1487">
        <v>0.06</v>
      </c>
      <c r="N60" s="1523">
        <f t="shared" si="76"/>
        <v>2.2725428130833527E-2</v>
      </c>
      <c r="O60" s="1524">
        <f t="shared" si="76"/>
        <v>1.7012227538543329E-2</v>
      </c>
      <c r="P60" s="1524">
        <f t="shared" si="77"/>
        <v>3.6925814703592477E-2</v>
      </c>
      <c r="Q60" s="1524">
        <f t="shared" si="77"/>
        <v>2.8846153846153744E-2</v>
      </c>
      <c r="R60" s="1473"/>
      <c r="S60" s="1471"/>
      <c r="T60" s="1472"/>
      <c r="U60" s="1472"/>
      <c r="V60" s="1472"/>
      <c r="X60" s="1525"/>
      <c r="Y60" s="1525"/>
      <c r="Z60" s="1525"/>
    </row>
    <row r="61" spans="1:26">
      <c r="A61" s="1460" t="s">
        <v>1201</v>
      </c>
      <c r="B61" s="1476">
        <f t="shared" si="78"/>
        <v>116.99099099099099</v>
      </c>
      <c r="C61" s="1476">
        <f t="shared" si="78"/>
        <v>118.84848484848486</v>
      </c>
      <c r="D61" s="1476">
        <f t="shared" si="44"/>
        <v>118.84848484848486</v>
      </c>
      <c r="E61" s="1476">
        <f t="shared" si="79"/>
        <v>117.60960960960961</v>
      </c>
      <c r="F61" s="1476">
        <f t="shared" si="79"/>
        <v>104</v>
      </c>
      <c r="G61" s="3343">
        <v>2004</v>
      </c>
      <c r="H61" s="1464">
        <v>2</v>
      </c>
      <c r="I61" s="1464">
        <v>1</v>
      </c>
      <c r="J61" s="1464">
        <v>1.5</v>
      </c>
      <c r="K61" s="1464">
        <v>1.5</v>
      </c>
      <c r="L61" s="1478">
        <v>0</v>
      </c>
      <c r="N61" s="1523">
        <f t="shared" si="76"/>
        <v>4.0581121662202721E-2</v>
      </c>
      <c r="O61" s="1524">
        <f t="shared" si="76"/>
        <v>3.1897926634768738E-2</v>
      </c>
      <c r="P61" s="1524">
        <f t="shared" si="77"/>
        <v>6.6733400066733395E-2</v>
      </c>
      <c r="Q61" s="1524">
        <f t="shared" si="77"/>
        <v>0</v>
      </c>
      <c r="R61" s="1473"/>
      <c r="S61" s="1471"/>
      <c r="T61" s="1472"/>
      <c r="U61" s="1472"/>
      <c r="V61" s="1472"/>
      <c r="X61" s="1525"/>
      <c r="Y61" s="1525"/>
      <c r="Z61" s="1525"/>
    </row>
    <row r="62" spans="1:26" s="1516" customFormat="1" ht="13.5" thickBot="1">
      <c r="A62" s="1460" t="s">
        <v>1202</v>
      </c>
      <c r="B62" s="1513">
        <f t="shared" si="78"/>
        <v>112.48648648648648</v>
      </c>
      <c r="C62" s="1513">
        <f t="shared" si="78"/>
        <v>115.21212121212122</v>
      </c>
      <c r="D62" s="1513">
        <f t="shared" si="44"/>
        <v>115.21212121212122</v>
      </c>
      <c r="E62" s="1513">
        <f t="shared" si="79"/>
        <v>110.4024024024024</v>
      </c>
      <c r="F62" s="1513">
        <f t="shared" si="79"/>
        <v>104</v>
      </c>
      <c r="G62" s="3344">
        <v>2004</v>
      </c>
      <c r="H62" s="1514">
        <v>1</v>
      </c>
      <c r="I62" s="1514">
        <v>0.33</v>
      </c>
      <c r="J62" s="1514">
        <v>0.5</v>
      </c>
      <c r="K62" s="1514">
        <v>0.5</v>
      </c>
      <c r="L62" s="1515">
        <v>0</v>
      </c>
      <c r="N62" s="1528">
        <f t="shared" si="76"/>
        <v>1.3391770148526898E-2</v>
      </c>
      <c r="O62" s="1529">
        <f t="shared" si="76"/>
        <v>1.063264221158958E-2</v>
      </c>
      <c r="P62" s="1529">
        <f t="shared" si="77"/>
        <v>2.2244466688911134E-2</v>
      </c>
      <c r="Q62" s="1529">
        <f t="shared" si="77"/>
        <v>0</v>
      </c>
      <c r="R62" s="1519"/>
      <c r="S62" s="1517">
        <f>B62/B63-1</f>
        <v>1.3391770148526883E-2</v>
      </c>
      <c r="T62" s="1518">
        <f>C62/C63-1</f>
        <v>1.063264221158966E-2</v>
      </c>
      <c r="U62" s="1518">
        <f>E62/E63-1</f>
        <v>2.2244466688911224E-2</v>
      </c>
      <c r="V62" s="1518">
        <f>F62/F63-1</f>
        <v>0</v>
      </c>
      <c r="X62" s="1530"/>
      <c r="Y62" s="1530"/>
      <c r="Z62" s="1530"/>
    </row>
    <row r="63" spans="1:26" ht="13.5" thickBot="1">
      <c r="A63" s="1460" t="s">
        <v>1203</v>
      </c>
      <c r="B63" s="1531">
        <v>111</v>
      </c>
      <c r="C63" s="1531">
        <v>114</v>
      </c>
      <c r="D63" s="1531">
        <f t="shared" si="44"/>
        <v>114</v>
      </c>
      <c r="E63" s="1531">
        <v>108</v>
      </c>
      <c r="F63" s="1532">
        <v>104</v>
      </c>
      <c r="G63" s="3342">
        <v>2003</v>
      </c>
      <c r="H63" s="1521">
        <v>4</v>
      </c>
      <c r="I63" s="1533"/>
      <c r="J63" s="1533"/>
      <c r="K63" s="1533"/>
      <c r="L63" s="1533"/>
      <c r="N63" s="1534"/>
      <c r="O63" s="1533"/>
      <c r="P63" s="1533"/>
      <c r="Q63" s="1533"/>
      <c r="S63" s="1534"/>
      <c r="T63" s="1533"/>
      <c r="U63" s="1533"/>
      <c r="V63" s="1533"/>
      <c r="X63" s="1525"/>
      <c r="Y63" s="1525"/>
      <c r="Z63" s="1525"/>
    </row>
    <row r="64" spans="1:26">
      <c r="A64" s="1460" t="s">
        <v>1204</v>
      </c>
      <c r="B64" s="1535">
        <f t="shared" ref="B64:C66" si="80">B65+(B$63-B$67)/4</f>
        <v>109.75</v>
      </c>
      <c r="C64" s="1535">
        <f t="shared" si="80"/>
        <v>112.25</v>
      </c>
      <c r="D64" s="1535">
        <f t="shared" si="44"/>
        <v>112.25</v>
      </c>
      <c r="E64" s="1535">
        <f t="shared" ref="E64:F66" si="81">E65+(E$63-E$67)/4</f>
        <v>107.25</v>
      </c>
      <c r="F64" s="1535">
        <f t="shared" si="81"/>
        <v>103.5</v>
      </c>
      <c r="G64" s="3343">
        <v>2003</v>
      </c>
      <c r="H64" s="1486">
        <v>3</v>
      </c>
      <c r="I64" s="1533"/>
      <c r="J64" s="1533"/>
      <c r="K64" s="1533"/>
      <c r="L64" s="1533"/>
      <c r="X64" s="1525"/>
      <c r="Y64" s="1525"/>
      <c r="Z64" s="1525"/>
    </row>
    <row r="65" spans="1:26">
      <c r="A65" s="1460" t="s">
        <v>1205</v>
      </c>
      <c r="B65" s="1535">
        <f t="shared" si="80"/>
        <v>108.5</v>
      </c>
      <c r="C65" s="1535">
        <f t="shared" si="80"/>
        <v>110.5</v>
      </c>
      <c r="D65" s="1535">
        <f t="shared" si="44"/>
        <v>110.5</v>
      </c>
      <c r="E65" s="1535">
        <f t="shared" si="81"/>
        <v>106.5</v>
      </c>
      <c r="F65" s="1535">
        <f t="shared" si="81"/>
        <v>103</v>
      </c>
      <c r="G65" s="3343">
        <v>2003</v>
      </c>
      <c r="H65" s="1464">
        <v>2</v>
      </c>
      <c r="I65" s="1533"/>
      <c r="J65" s="1533"/>
      <c r="K65" s="1533"/>
      <c r="L65" s="1533"/>
      <c r="X65" s="1525"/>
      <c r="Y65" s="1525"/>
      <c r="Z65" s="1525"/>
    </row>
    <row r="66" spans="1:26" ht="13.5" thickBot="1">
      <c r="A66" s="1460" t="s">
        <v>1206</v>
      </c>
      <c r="B66" s="1535">
        <f t="shared" si="80"/>
        <v>107.25</v>
      </c>
      <c r="C66" s="1535">
        <f t="shared" si="80"/>
        <v>108.75</v>
      </c>
      <c r="D66" s="1535">
        <f t="shared" si="44"/>
        <v>108.75</v>
      </c>
      <c r="E66" s="1535">
        <f t="shared" si="81"/>
        <v>105.75</v>
      </c>
      <c r="F66" s="1535">
        <f t="shared" si="81"/>
        <v>102.5</v>
      </c>
      <c r="G66" s="3344">
        <v>2003</v>
      </c>
      <c r="H66" s="1536">
        <v>1</v>
      </c>
      <c r="I66" s="1533"/>
      <c r="J66" s="1533"/>
      <c r="K66" s="1533"/>
      <c r="L66" s="1533"/>
      <c r="S66" s="1471"/>
      <c r="T66" s="1472"/>
      <c r="U66" s="1472"/>
      <c r="X66" s="1525"/>
      <c r="Y66" s="1525"/>
      <c r="Z66" s="1525"/>
    </row>
    <row r="67" spans="1:26" ht="13.5" thickBot="1">
      <c r="A67" s="1460" t="s">
        <v>1207</v>
      </c>
      <c r="B67" s="1537">
        <v>106</v>
      </c>
      <c r="C67" s="1537">
        <v>107</v>
      </c>
      <c r="D67" s="1537">
        <f t="shared" si="44"/>
        <v>107</v>
      </c>
      <c r="E67" s="1537">
        <v>105</v>
      </c>
      <c r="F67" s="1538">
        <v>102</v>
      </c>
      <c r="G67" s="3342">
        <v>2002</v>
      </c>
      <c r="H67" s="1481">
        <v>4</v>
      </c>
      <c r="I67" s="1533"/>
      <c r="J67" s="1533"/>
      <c r="K67" s="1533"/>
      <c r="L67" s="1533"/>
      <c r="N67" s="1534"/>
      <c r="O67" s="1533"/>
      <c r="P67" s="1533"/>
      <c r="Q67" s="1533"/>
      <c r="S67" s="1534"/>
      <c r="T67" s="1533"/>
      <c r="U67" s="1533"/>
      <c r="V67" s="1533"/>
      <c r="X67" s="1525"/>
      <c r="Y67" s="1525"/>
      <c r="Z67" s="1525"/>
    </row>
    <row r="68" spans="1:26">
      <c r="A68" s="1460" t="s">
        <v>1208</v>
      </c>
      <c r="B68" s="1535">
        <f t="shared" ref="B68:C70" si="82">B69+(B$67-B$71)/4</f>
        <v>105</v>
      </c>
      <c r="C68" s="1535">
        <f t="shared" si="82"/>
        <v>106</v>
      </c>
      <c r="D68" s="1535">
        <f t="shared" si="44"/>
        <v>106</v>
      </c>
      <c r="E68" s="1535">
        <f t="shared" ref="E68:F70" si="83">E69+(E$67-E$71)/4</f>
        <v>104.5</v>
      </c>
      <c r="F68" s="1535">
        <f t="shared" si="83"/>
        <v>101.5</v>
      </c>
      <c r="G68" s="3343">
        <v>2002</v>
      </c>
      <c r="H68" s="1486">
        <v>3</v>
      </c>
      <c r="I68" s="1533"/>
      <c r="J68" s="1533"/>
      <c r="K68" s="1533"/>
      <c r="L68" s="1533"/>
      <c r="X68" s="1525"/>
      <c r="Y68" s="1525"/>
      <c r="Z68" s="1525"/>
    </row>
    <row r="69" spans="1:26">
      <c r="A69" s="1460" t="s">
        <v>1209</v>
      </c>
      <c r="B69" s="1535">
        <f t="shared" si="82"/>
        <v>104</v>
      </c>
      <c r="C69" s="1535">
        <f t="shared" si="82"/>
        <v>105</v>
      </c>
      <c r="D69" s="1535">
        <f t="shared" si="44"/>
        <v>105</v>
      </c>
      <c r="E69" s="1535">
        <f t="shared" si="83"/>
        <v>104</v>
      </c>
      <c r="F69" s="1535">
        <f t="shared" si="83"/>
        <v>101</v>
      </c>
      <c r="G69" s="3343">
        <v>2002</v>
      </c>
      <c r="H69" s="1464">
        <v>2</v>
      </c>
      <c r="I69" s="1533"/>
      <c r="J69" s="1533"/>
      <c r="K69" s="1533"/>
      <c r="L69" s="1533"/>
      <c r="X69" s="1525"/>
      <c r="Y69" s="1525"/>
      <c r="Z69" s="1525"/>
    </row>
    <row r="70" spans="1:26" s="1497" customFormat="1" ht="13.5" thickBot="1">
      <c r="A70" s="1493" t="s">
        <v>1210</v>
      </c>
      <c r="B70" s="1539">
        <f t="shared" si="82"/>
        <v>103</v>
      </c>
      <c r="C70" s="1539">
        <f t="shared" si="82"/>
        <v>104</v>
      </c>
      <c r="D70" s="1539">
        <f t="shared" si="44"/>
        <v>104</v>
      </c>
      <c r="E70" s="1539">
        <f t="shared" si="83"/>
        <v>103.5</v>
      </c>
      <c r="F70" s="1539">
        <f t="shared" si="83"/>
        <v>100.5</v>
      </c>
      <c r="G70" s="3344">
        <v>2002</v>
      </c>
      <c r="H70" s="1540">
        <v>1</v>
      </c>
      <c r="I70" s="1541"/>
      <c r="J70" s="1541"/>
      <c r="K70" s="1541"/>
      <c r="L70" s="1541"/>
      <c r="N70" s="1542"/>
      <c r="S70" s="1542"/>
      <c r="X70" s="1543"/>
      <c r="Y70" s="1543"/>
      <c r="Z70" s="1543"/>
    </row>
    <row r="71" spans="1:26" ht="13.5" thickBot="1">
      <c r="B71" s="1544">
        <v>102</v>
      </c>
      <c r="C71" s="1545">
        <v>103</v>
      </c>
      <c r="D71" s="1545">
        <f t="shared" si="44"/>
        <v>103</v>
      </c>
      <c r="E71" s="1545">
        <v>103</v>
      </c>
      <c r="F71" s="1546">
        <v>100</v>
      </c>
      <c r="I71" s="1533"/>
      <c r="J71" s="1533"/>
      <c r="K71" s="1533"/>
      <c r="L71" s="1533"/>
      <c r="N71" s="1534"/>
      <c r="O71" s="1533"/>
      <c r="P71" s="1533"/>
      <c r="Q71" s="1533"/>
      <c r="S71" s="1534"/>
      <c r="T71" s="1533"/>
      <c r="U71" s="1533"/>
      <c r="V71" s="1533"/>
      <c r="X71" s="1475"/>
      <c r="Y71" s="1475"/>
      <c r="Z71" s="1475"/>
    </row>
    <row r="73" spans="1:26" s="1548" customFormat="1">
      <c r="A73" s="1547" t="s">
        <v>1211</v>
      </c>
      <c r="G73" s="1549"/>
      <c r="N73" s="1549"/>
      <c r="S73" s="1549"/>
    </row>
    <row r="74" spans="1:26" s="1548" customFormat="1">
      <c r="A74" s="1548" t="s">
        <v>1212</v>
      </c>
      <c r="G74" s="1549"/>
      <c r="N74" s="1549"/>
      <c r="S74" s="1549"/>
    </row>
    <row r="75" spans="1:26" s="1548" customFormat="1">
      <c r="A75" s="1548" t="s">
        <v>1213</v>
      </c>
      <c r="G75" s="1549"/>
      <c r="I75" s="1550"/>
      <c r="J75" s="1550"/>
      <c r="K75" s="1550"/>
      <c r="L75" s="1550"/>
      <c r="N75" s="1551"/>
      <c r="O75" s="1550"/>
      <c r="P75" s="1550"/>
      <c r="Q75" s="1550"/>
      <c r="S75" s="1551"/>
      <c r="T75" s="1550"/>
      <c r="U75" s="1550"/>
      <c r="V75" s="1550"/>
    </row>
    <row r="76" spans="1:26" s="1548" customFormat="1">
      <c r="A76" s="1548" t="s">
        <v>1214</v>
      </c>
      <c r="G76" s="1549"/>
      <c r="N76" s="1549"/>
      <c r="S76" s="1549"/>
    </row>
    <row r="83" spans="7:22" ht="13.5" thickBot="1"/>
    <row r="84" spans="7:22">
      <c r="G84" s="1470"/>
      <c r="S84" s="1552" t="s">
        <v>1215</v>
      </c>
      <c r="T84" s="1553" t="s">
        <v>1216</v>
      </c>
      <c r="U84" s="1553" t="s">
        <v>1217</v>
      </c>
      <c r="V84" s="1553" t="s">
        <v>1218</v>
      </c>
    </row>
    <row r="85" spans="7:22">
      <c r="G85" s="1470"/>
      <c r="N85" s="1474"/>
      <c r="O85" s="1475"/>
      <c r="P85" s="1475"/>
      <c r="Q85" s="1475"/>
      <c r="S85" s="1554">
        <v>2006</v>
      </c>
      <c r="T85" s="1555">
        <v>15.1</v>
      </c>
      <c r="U85" s="1555">
        <v>7.43</v>
      </c>
      <c r="V85" s="1555">
        <v>26.26</v>
      </c>
    </row>
    <row r="86" spans="7:22">
      <c r="G86" s="1470"/>
      <c r="N86" s="1474"/>
      <c r="O86" s="1475"/>
      <c r="P86" s="1475"/>
      <c r="Q86" s="1475"/>
      <c r="S86" s="1556">
        <v>2005</v>
      </c>
      <c r="T86" s="1557">
        <v>13.9</v>
      </c>
      <c r="U86" s="1557">
        <v>7.49</v>
      </c>
      <c r="V86" s="1557">
        <v>24.92</v>
      </c>
    </row>
    <row r="87" spans="7:22">
      <c r="G87" s="1470"/>
      <c r="N87" s="1474"/>
      <c r="O87" s="1475"/>
      <c r="P87" s="1475"/>
      <c r="Q87" s="1475"/>
      <c r="S87" s="1554">
        <v>2004</v>
      </c>
      <c r="T87" s="1555">
        <v>9.48</v>
      </c>
      <c r="U87" s="1555">
        <v>7.2</v>
      </c>
      <c r="V87" s="1555">
        <v>14.68</v>
      </c>
    </row>
    <row r="88" spans="7:22">
      <c r="G88" s="1470"/>
      <c r="N88" s="1474"/>
      <c r="O88" s="1475"/>
      <c r="P88" s="1475"/>
      <c r="Q88" s="1475"/>
      <c r="S88" s="1556">
        <v>2003</v>
      </c>
      <c r="T88" s="1557">
        <v>4.5</v>
      </c>
      <c r="U88" s="1557">
        <v>6.12</v>
      </c>
      <c r="V88" s="1557">
        <v>2.34</v>
      </c>
    </row>
    <row r="89" spans="7:22" ht="13.5" thickBot="1">
      <c r="G89" s="1470"/>
      <c r="N89" s="1474"/>
      <c r="O89" s="1475"/>
      <c r="P89" s="1475"/>
      <c r="Q89" s="1475"/>
      <c r="S89" s="1558">
        <v>2002</v>
      </c>
      <c r="T89" s="1559">
        <v>3.59</v>
      </c>
      <c r="U89" s="1559">
        <v>4.54</v>
      </c>
      <c r="V89" s="1559">
        <v>2.5499999999999998</v>
      </c>
    </row>
    <row r="90" spans="7:22">
      <c r="G90" s="1470"/>
      <c r="N90" s="1474"/>
      <c r="O90" s="1475"/>
      <c r="P90" s="1475"/>
      <c r="Q90" s="1475"/>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c r="S100" s="1470"/>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38812</v>
      </c>
      <c r="C2" s="2" t="s">
        <v>133</v>
      </c>
      <c r="D2" s="242"/>
      <c r="E2" s="242"/>
      <c r="F2" s="242"/>
      <c r="G2" s="242"/>
    </row>
    <row r="3" spans="1:7" s="243" customFormat="1" ht="18" customHeight="1" thickBot="1">
      <c r="A3" s="246" t="s">
        <v>85</v>
      </c>
      <c r="B3" s="247">
        <f ca="1">ROUND(B2*10000/'数据-汇总表'!E3,0)</f>
        <v>25919</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1148</v>
      </c>
    </row>
    <row r="9" spans="1:7" s="257" customFormat="1" ht="13.5" customHeight="1">
      <c r="A9" s="949" t="s">
        <v>800</v>
      </c>
      <c r="B9" s="267" t="s">
        <v>93</v>
      </c>
      <c r="C9" s="268">
        <f>ROUND(D9*E9/10000,0)</f>
        <v>0</v>
      </c>
      <c r="D9" s="1031">
        <f>'数据-汇总表'!E5</f>
        <v>0</v>
      </c>
      <c r="E9" s="268">
        <f>'数据-取费表'!B27</f>
        <v>0</v>
      </c>
      <c r="F9" s="264"/>
      <c r="G9" s="269"/>
    </row>
    <row r="10" spans="1:7" s="257" customFormat="1" ht="13.5" customHeight="1">
      <c r="A10" s="949" t="s">
        <v>801</v>
      </c>
      <c r="B10" s="267" t="s">
        <v>94</v>
      </c>
      <c r="C10" s="268">
        <f>ROUND(D10*E10/10000,0)</f>
        <v>0</v>
      </c>
      <c r="D10" s="1031">
        <f>'数据-汇总表'!E6</f>
        <v>14974.55</v>
      </c>
      <c r="E10" s="268">
        <f>'数据-取费表'!B28</f>
        <v>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1055</v>
      </c>
      <c r="B19" s="253" t="s">
        <v>111</v>
      </c>
      <c r="C19" s="254">
        <f>IF(G19="已包含在土地取得成本中","0",ROUND(D19*E19/10000,0))</f>
        <v>299</v>
      </c>
      <c r="D19" s="1035">
        <f>'数据-汇总表'!E3</f>
        <v>14974.55</v>
      </c>
      <c r="E19" s="254">
        <f>'数据-取费表'!B31</f>
        <v>200</v>
      </c>
      <c r="F19" s="274"/>
      <c r="G19" s="1" t="s">
        <v>1074</v>
      </c>
    </row>
    <row r="20" spans="1:7" s="257" customFormat="1" ht="13.5" customHeight="1">
      <c r="A20" s="947" t="s">
        <v>1057</v>
      </c>
      <c r="B20" s="253" t="s">
        <v>104</v>
      </c>
      <c r="C20" s="275">
        <f>ROUND((C5+C19)*F20,0)</f>
        <v>627</v>
      </c>
      <c r="D20" s="275"/>
      <c r="E20" s="275"/>
      <c r="F20" s="276">
        <f>'数据-取费表'!B37</f>
        <v>0.03</v>
      </c>
      <c r="G20" s="1288" t="s">
        <v>1068</v>
      </c>
    </row>
    <row r="21" spans="1:7" s="257" customFormat="1" ht="13.5" customHeight="1">
      <c r="A21" s="947" t="s">
        <v>1059</v>
      </c>
      <c r="B21" s="253" t="s">
        <v>105</v>
      </c>
      <c r="C21" s="278">
        <f>F21</f>
        <v>0.03</v>
      </c>
      <c r="D21" s="279" t="s">
        <v>126</v>
      </c>
      <c r="E21" s="275"/>
      <c r="F21" s="276">
        <f>'数据-取费表'!B38</f>
        <v>0.03</v>
      </c>
      <c r="G21" s="277" t="s">
        <v>106</v>
      </c>
    </row>
    <row r="22" spans="1:7" s="257" customFormat="1" ht="13.5" customHeight="1">
      <c r="A22" s="947" t="s">
        <v>786</v>
      </c>
      <c r="B22" s="253" t="s">
        <v>107</v>
      </c>
      <c r="C22" s="1353">
        <f ca="1">ROUND(SUM(C23:C25),0)</f>
        <v>2063</v>
      </c>
      <c r="D22" s="278">
        <f ca="1">C26</f>
        <v>1.4E-3</v>
      </c>
      <c r="E22" s="279" t="s">
        <v>126</v>
      </c>
      <c r="F22" s="280">
        <f ca="1">'数据-取费表'!B40</f>
        <v>4.7500000000000001E-2</v>
      </c>
      <c r="G22" s="1288" t="str">
        <f>IF('数据-取费表'!B22&lt;=1,"单利计息","复利计息")</f>
        <v>复利计息</v>
      </c>
    </row>
    <row r="23" spans="1:7" s="257" customFormat="1" ht="13.5" customHeight="1">
      <c r="A23" s="950" t="s">
        <v>794</v>
      </c>
      <c r="B23" s="258" t="s">
        <v>1061</v>
      </c>
      <c r="C23" s="1354">
        <f ca="1">ROUND(IF('数据-取费表'!B22&lt;=1,C5*F22*'数据-取费表'!B23,C5*(POWER((1+F22),'数据-取费表'!B23)-1)),0)</f>
        <v>2004</v>
      </c>
      <c r="D23" s="281"/>
      <c r="E23" s="281"/>
      <c r="F23" s="282"/>
      <c r="G23" s="283" t="s">
        <v>108</v>
      </c>
    </row>
    <row r="24" spans="1:7" s="257" customFormat="1" ht="13.5" customHeight="1">
      <c r="A24" s="950" t="s">
        <v>792</v>
      </c>
      <c r="B24" s="258" t="s">
        <v>1056</v>
      </c>
      <c r="C24" s="1354">
        <f ca="1">ROUND(IF('数据-取费表'!B22&lt;=1,C19*F22*('数据-取费表'!B19/2+'数据-取费表'!B21),C19*(POWER((1+F22),('数据-取费表'!B19/2+'数据-取费表'!B21))-1)),0)</f>
        <v>29</v>
      </c>
      <c r="D24" s="281"/>
      <c r="E24" s="281"/>
      <c r="F24" s="282"/>
      <c r="G24" s="283" t="s">
        <v>109</v>
      </c>
    </row>
    <row r="25" spans="1:7" s="257" customFormat="1" ht="24">
      <c r="A25" s="950" t="s">
        <v>793</v>
      </c>
      <c r="B25" s="258" t="s">
        <v>1058</v>
      </c>
      <c r="C25" s="1354">
        <f ca="1">ROUND(IF('数据-取费表'!B22&lt;=1,C20*F22*'数据-取费表'!B23/2,C20*(POWER((1+F22),'数据-取费表'!B23/2)-1)),0)</f>
        <v>30</v>
      </c>
      <c r="D25" s="281"/>
      <c r="E25" s="284"/>
      <c r="F25" s="282"/>
      <c r="G25" s="285" t="s">
        <v>110</v>
      </c>
    </row>
    <row r="26" spans="1:7" s="257" customFormat="1">
      <c r="A26" s="950" t="s">
        <v>795</v>
      </c>
      <c r="B26" s="258" t="s">
        <v>1060</v>
      </c>
      <c r="C26" s="281">
        <f ca="1">ROUND(IF('数据-取费表'!B22&lt;=1,F21*F22*'数据-取费表'!B23/2,F21*(POWER((1+F22),'数据-取费表'!B23/2)-1)),4)</f>
        <v>1.4E-3</v>
      </c>
      <c r="D26" s="281"/>
      <c r="E26" s="284"/>
      <c r="F26" s="282"/>
      <c r="G26" s="286"/>
    </row>
    <row r="27" spans="1:7" s="257" customFormat="1" ht="24.75">
      <c r="A27" s="947" t="s">
        <v>787</v>
      </c>
      <c r="B27" s="287" t="s">
        <v>112</v>
      </c>
      <c r="C27" s="288">
        <f>C28</f>
        <v>4307</v>
      </c>
      <c r="D27" s="278">
        <f>C29</f>
        <v>6.0000000000000001E-3</v>
      </c>
      <c r="E27" s="279" t="s">
        <v>126</v>
      </c>
      <c r="F27" s="289">
        <f>'数据-取费表'!Q16</f>
        <v>0.2</v>
      </c>
      <c r="G27" s="290" t="s">
        <v>1069</v>
      </c>
    </row>
    <row r="28" spans="1:7" s="257" customFormat="1" ht="13.5" customHeight="1">
      <c r="A28" s="950" t="s">
        <v>794</v>
      </c>
      <c r="B28" s="291" t="s">
        <v>1062</v>
      </c>
      <c r="C28" s="292">
        <f>ROUND((C5+C19+C20)*F27*'数据-取费表'!B21/'数据-取费表'!B20,0)</f>
        <v>4307</v>
      </c>
      <c r="D28" s="278"/>
      <c r="E28" s="279"/>
      <c r="F28" s="289"/>
      <c r="G28" s="290"/>
    </row>
    <row r="29" spans="1:7" s="257" customFormat="1" ht="13.5" customHeight="1">
      <c r="A29" s="950" t="s">
        <v>792</v>
      </c>
      <c r="B29" s="291" t="s">
        <v>1063</v>
      </c>
      <c r="C29" s="281">
        <f>ROUND(C21*F27*'数据-取费表'!B21/'数据-取费表'!B20,4)</f>
        <v>6.0000000000000001E-3</v>
      </c>
      <c r="D29" s="278"/>
      <c r="E29" s="279"/>
      <c r="F29" s="289"/>
      <c r="G29" s="290"/>
    </row>
    <row r="30" spans="1:7" s="257" customFormat="1" ht="13.5" customHeight="1">
      <c r="A30" s="947"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30659</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5776</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5241</v>
      </c>
      <c r="D34" s="260"/>
      <c r="E34" s="263"/>
      <c r="F34" s="300">
        <f>IF('数据-取费表'!B24=0,1,'数据-取费表'!N16)</f>
        <v>1</v>
      </c>
      <c r="G34" s="262" t="s">
        <v>116</v>
      </c>
    </row>
    <row r="35" spans="1:7" ht="13.5" customHeight="1">
      <c r="A35" s="950" t="s">
        <v>796</v>
      </c>
      <c r="B35" s="258" t="s">
        <v>60</v>
      </c>
      <c r="C35" s="263">
        <f>ROUND(C34*F35,0)</f>
        <v>157</v>
      </c>
      <c r="D35" s="263"/>
      <c r="E35" s="263"/>
      <c r="F35" s="302">
        <f>'数据-取费表'!B33</f>
        <v>0.03</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0.03</v>
      </c>
      <c r="G36" s="303" t="s">
        <v>62</v>
      </c>
    </row>
    <row r="37" spans="1:7" s="301" customFormat="1" ht="13.5" customHeight="1">
      <c r="A37" s="950" t="s">
        <v>798</v>
      </c>
      <c r="B37" s="258" t="s">
        <v>118</v>
      </c>
      <c r="C37" s="292">
        <f>ROUND(E37*D37*F34/10000,0)</f>
        <v>299</v>
      </c>
      <c r="D37" s="260">
        <f>'数据-汇总表'!E3</f>
        <v>14974.55</v>
      </c>
      <c r="E37" s="292">
        <f>'数据-取费表'!B35</f>
        <v>200</v>
      </c>
      <c r="F37" s="302"/>
      <c r="G37" s="304" t="s">
        <v>119</v>
      </c>
    </row>
    <row r="38" spans="1:7" ht="13.5" customHeight="1">
      <c r="A38" s="950" t="s">
        <v>799</v>
      </c>
      <c r="B38" s="258" t="s">
        <v>63</v>
      </c>
      <c r="C38" s="263">
        <f>ROUND(C34*F38,0)</f>
        <v>79</v>
      </c>
      <c r="D38" s="263"/>
      <c r="E38" s="263"/>
      <c r="F38" s="302">
        <f>'数据-取费表'!B36</f>
        <v>1.4999999999999999E-2</v>
      </c>
      <c r="G38" s="262" t="s">
        <v>117</v>
      </c>
    </row>
    <row r="39" spans="1:7" s="257" customFormat="1" ht="13.5" customHeight="1">
      <c r="A39" s="947" t="s">
        <v>783</v>
      </c>
      <c r="B39" s="253" t="s">
        <v>104</v>
      </c>
      <c r="C39" s="275">
        <f>ROUND(C33*F20,0)</f>
        <v>173</v>
      </c>
      <c r="D39" s="275"/>
      <c r="E39" s="275"/>
      <c r="F39" s="276"/>
      <c r="G39" s="1288" t="s">
        <v>1071</v>
      </c>
    </row>
    <row r="40" spans="1:7" s="257" customFormat="1" ht="13.5" customHeight="1">
      <c r="A40" s="947" t="s">
        <v>784</v>
      </c>
      <c r="B40" s="253" t="s">
        <v>105</v>
      </c>
      <c r="C40" s="305">
        <f>F21</f>
        <v>0.03</v>
      </c>
      <c r="D40" s="279" t="s">
        <v>129</v>
      </c>
      <c r="E40" s="275"/>
      <c r="F40" s="276"/>
      <c r="G40" s="277" t="s">
        <v>120</v>
      </c>
    </row>
    <row r="41" spans="1:7" s="257" customFormat="1" ht="13.5" customHeight="1">
      <c r="A41" s="947" t="s">
        <v>785</v>
      </c>
      <c r="B41" s="253" t="s">
        <v>107</v>
      </c>
      <c r="C41" s="275">
        <f ca="1">ROUND(SUM(C42:C43),0)</f>
        <v>282</v>
      </c>
      <c r="D41" s="278">
        <f ca="1">C44</f>
        <v>1.4E-3</v>
      </c>
      <c r="E41" s="279" t="s">
        <v>129</v>
      </c>
      <c r="F41" s="280"/>
      <c r="G41" s="1288" t="str">
        <f>IF('数据-取费表'!B22&lt;=1,"单利计息","复利计息")</f>
        <v>复利计息</v>
      </c>
    </row>
    <row r="42" spans="1:7" ht="13.5" customHeight="1">
      <c r="A42" s="950" t="s">
        <v>794</v>
      </c>
      <c r="B42" s="258" t="s">
        <v>1061</v>
      </c>
      <c r="C42" s="281">
        <f ca="1">ROUND(IF('数据-取费表'!B22&lt;=1,C33*F22*'数据-取费表'!B21/2,C33*(POWER((1+F22),'数据-取费表'!B21/2)-1)),0)</f>
        <v>274</v>
      </c>
      <c r="D42" s="281"/>
      <c r="E42" s="281"/>
      <c r="F42" s="282"/>
      <c r="G42" s="3209" t="s">
        <v>121</v>
      </c>
    </row>
    <row r="43" spans="1:7" ht="13.5" customHeight="1">
      <c r="A43" s="950" t="s">
        <v>792</v>
      </c>
      <c r="B43" s="258" t="s">
        <v>1064</v>
      </c>
      <c r="C43" s="281">
        <f ca="1">ROUND(IF('数据-取费表'!B22&lt;=1,C39*F22*'数据-取费表'!B21/2,C39*(POWER((1+F22),'数据-取费表'!B21/2)-1)),0)</f>
        <v>8</v>
      </c>
      <c r="D43" s="281"/>
      <c r="E43" s="281"/>
      <c r="F43" s="282"/>
      <c r="G43" s="3210"/>
    </row>
    <row r="44" spans="1:7" ht="13.5" customHeight="1">
      <c r="A44" s="950" t="s">
        <v>793</v>
      </c>
      <c r="B44" s="258" t="s">
        <v>1066</v>
      </c>
      <c r="C44" s="281">
        <f ca="1">ROUND(IF('数据-取费表'!B22&lt;=1,C40*F22*'数据-取费表'!B21/2,C40*(POWER((1+F22),'数据-取费表'!B21/2)-1)),4)</f>
        <v>1.4E-3</v>
      </c>
      <c r="D44" s="281"/>
      <c r="E44" s="281"/>
      <c r="F44" s="282"/>
      <c r="G44" s="3211"/>
    </row>
    <row r="45" spans="1:7" s="257" customFormat="1" ht="13.5" customHeight="1">
      <c r="A45" s="947" t="s">
        <v>786</v>
      </c>
      <c r="B45" s="287" t="s">
        <v>112</v>
      </c>
      <c r="C45" s="288">
        <f>C46</f>
        <v>1190</v>
      </c>
      <c r="D45" s="278">
        <f>C47</f>
        <v>6.0000000000000001E-3</v>
      </c>
      <c r="E45" s="279" t="s">
        <v>129</v>
      </c>
      <c r="F45" s="289"/>
      <c r="G45" s="290" t="s">
        <v>1072</v>
      </c>
    </row>
    <row r="46" spans="1:7" s="257" customFormat="1" ht="13.5" customHeight="1">
      <c r="A46" s="950" t="s">
        <v>794</v>
      </c>
      <c r="B46" s="291" t="s">
        <v>1065</v>
      </c>
      <c r="C46" s="292">
        <f>ROUND((C33+C39)*F27,0)</f>
        <v>1190</v>
      </c>
      <c r="D46" s="306"/>
      <c r="E46" s="279"/>
      <c r="F46" s="289"/>
      <c r="G46" s="290"/>
    </row>
    <row r="47" spans="1:7" s="257" customFormat="1" ht="13.5" customHeight="1">
      <c r="A47" s="950" t="s">
        <v>792</v>
      </c>
      <c r="B47" s="291" t="s">
        <v>1067</v>
      </c>
      <c r="C47" s="281">
        <f>ROUND(C40*F27,4)</f>
        <v>6.0000000000000001E-3</v>
      </c>
      <c r="D47" s="306"/>
      <c r="E47" s="279"/>
      <c r="F47" s="289"/>
      <c r="G47" s="290"/>
    </row>
    <row r="48" spans="1:7" s="257" customFormat="1" ht="13.5" customHeight="1">
      <c r="A48" s="947" t="s">
        <v>787</v>
      </c>
      <c r="B48" s="253" t="s">
        <v>122</v>
      </c>
      <c r="C48" s="305">
        <f>F30</f>
        <v>5.5000000000000007E-2</v>
      </c>
      <c r="D48" s="279" t="s">
        <v>130</v>
      </c>
      <c r="E48" s="275"/>
      <c r="F48" s="280"/>
      <c r="G48" s="277" t="s">
        <v>123</v>
      </c>
    </row>
    <row r="49" spans="1:7" ht="16.5" customHeight="1">
      <c r="A49" s="947" t="s">
        <v>788</v>
      </c>
      <c r="B49" s="253" t="s">
        <v>131</v>
      </c>
      <c r="C49" s="275">
        <f ca="1">ROUND((C33+C39+C41+C45)/(1-C40-D41-D45-C48/(1+'数据-取费表'!B42)),0)</f>
        <v>8153</v>
      </c>
      <c r="D49" s="275"/>
      <c r="E49" s="275"/>
      <c r="F49" s="307"/>
      <c r="G49" s="277" t="s">
        <v>1073</v>
      </c>
    </row>
    <row r="50" spans="1:7" s="301" customFormat="1" ht="24">
      <c r="A50" s="947" t="s">
        <v>789</v>
      </c>
      <c r="B50" s="253" t="s">
        <v>124</v>
      </c>
      <c r="C50" s="275"/>
      <c r="D50" s="275"/>
      <c r="E50" s="275"/>
      <c r="F50" s="307">
        <f>IF('数据-取费表'!B24=0,'数据-取费表'!N16,1)</f>
        <v>1</v>
      </c>
      <c r="G50" s="290" t="s">
        <v>125</v>
      </c>
    </row>
    <row r="51" spans="1:7" ht="16.5" customHeight="1">
      <c r="A51" s="947" t="s">
        <v>790</v>
      </c>
      <c r="B51" s="253" t="s">
        <v>132</v>
      </c>
      <c r="C51" s="275">
        <f ca="1">ROUND(C49*F50,0)</f>
        <v>8153</v>
      </c>
      <c r="D51" s="275"/>
      <c r="E51" s="275"/>
      <c r="F51" s="307"/>
      <c r="G51" s="277" t="s">
        <v>64</v>
      </c>
    </row>
    <row r="52" spans="1:7" s="251" customFormat="1" ht="16.5" thickBot="1">
      <c r="A52" s="308" t="s">
        <v>65</v>
      </c>
      <c r="B52" s="309"/>
      <c r="C52" s="310">
        <f ca="1">C31+C51</f>
        <v>38812</v>
      </c>
      <c r="D52" s="309"/>
      <c r="E52" s="309"/>
      <c r="F52" s="309"/>
      <c r="G52" s="311"/>
    </row>
    <row r="55" spans="1:7" ht="15">
      <c r="B55" s="313" t="s">
        <v>66</v>
      </c>
      <c r="C55" s="314"/>
    </row>
    <row r="56" spans="1:7">
      <c r="B56" s="316" t="s">
        <v>67</v>
      </c>
      <c r="C56" s="317">
        <f ca="1">ROUND(C51/C52,3)</f>
        <v>0.21</v>
      </c>
    </row>
    <row r="57" spans="1:7">
      <c r="B57" s="316" t="s">
        <v>68</v>
      </c>
      <c r="C57" s="318">
        <f ca="1">1-C56</f>
        <v>0.79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1" customWidth="1"/>
    <col min="2" max="5" width="10.25" style="809" customWidth="1"/>
    <col min="6" max="6" width="9" style="809"/>
    <col min="7" max="8" width="9" style="824"/>
    <col min="9" max="16384" width="9" style="809"/>
  </cols>
  <sheetData>
    <row r="1" spans="1:19">
      <c r="A1" s="3352" t="s">
        <v>156</v>
      </c>
      <c r="B1" s="3352"/>
      <c r="C1" s="3352"/>
      <c r="D1" s="3352"/>
      <c r="E1" s="3352"/>
      <c r="F1" s="3352"/>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53" t="s">
        <v>169</v>
      </c>
      <c r="B2" s="3353"/>
      <c r="C2" s="3353"/>
      <c r="D2" s="3353"/>
      <c r="E2" s="3353"/>
      <c r="F2" s="3353"/>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54"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55"/>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52" t="s">
        <v>871</v>
      </c>
      <c r="B1" s="3352"/>
    </row>
    <row r="2" spans="1:6" ht="14.25" thickBot="1">
      <c r="A2" s="1056"/>
      <c r="B2" s="1056"/>
    </row>
    <row r="3" spans="1:6" ht="14.25" thickBot="1">
      <c r="A3" s="1056"/>
      <c r="B3" s="1056"/>
      <c r="C3" s="1060" t="s">
        <v>874</v>
      </c>
      <c r="D3" s="1060" t="s">
        <v>875</v>
      </c>
      <c r="E3" s="1060" t="s">
        <v>876</v>
      </c>
      <c r="F3" s="1060" t="s">
        <v>877</v>
      </c>
    </row>
    <row r="4" spans="1:6" ht="14.25" thickBot="1">
      <c r="A4" s="1058" t="s">
        <v>872</v>
      </c>
      <c r="B4" s="1059" t="s">
        <v>873</v>
      </c>
      <c r="C4" s="1060"/>
      <c r="D4" s="1060"/>
      <c r="E4" s="1060"/>
      <c r="F4" s="1060"/>
    </row>
    <row r="5" spans="1:6" ht="14.25" thickBot="1">
      <c r="A5" s="836" t="s">
        <v>878</v>
      </c>
      <c r="B5" s="837" t="s">
        <v>879</v>
      </c>
      <c r="C5" s="1061">
        <v>8.8999999999999996E-2</v>
      </c>
      <c r="D5" s="1061">
        <v>7.3999999999999996E-2</v>
      </c>
      <c r="E5" s="1061">
        <v>7.4999999999999997E-2</v>
      </c>
      <c r="F5" s="1062">
        <v>0.1</v>
      </c>
    </row>
    <row r="6" spans="1:6" ht="14.25" thickBot="1">
      <c r="A6" s="836" t="s">
        <v>212</v>
      </c>
      <c r="B6" s="830" t="s">
        <v>880</v>
      </c>
      <c r="C6" s="1063">
        <v>0.1</v>
      </c>
      <c r="D6" s="1063">
        <v>9.0999999999999998E-2</v>
      </c>
      <c r="E6" s="1063">
        <v>9.0999999999999998E-2</v>
      </c>
      <c r="F6" s="1064">
        <v>0.1</v>
      </c>
    </row>
    <row r="7" spans="1:6" ht="14.25" thickBot="1">
      <c r="A7" s="836" t="s">
        <v>212</v>
      </c>
      <c r="B7" s="840" t="s">
        <v>201</v>
      </c>
      <c r="C7" s="1063">
        <v>8.5999999999999993E-2</v>
      </c>
      <c r="D7" s="1063">
        <v>9.6000000000000002E-2</v>
      </c>
      <c r="E7" s="1063">
        <v>7.5999999999999998E-2</v>
      </c>
      <c r="F7" s="1064">
        <v>0.1</v>
      </c>
    </row>
    <row r="8" spans="1:6" ht="14.25" thickBot="1">
      <c r="A8" s="836" t="s">
        <v>212</v>
      </c>
      <c r="B8" s="830" t="s">
        <v>213</v>
      </c>
      <c r="C8" s="1063">
        <v>9.9000000000000005E-2</v>
      </c>
      <c r="D8" s="1063">
        <v>9.8000000000000004E-2</v>
      </c>
      <c r="E8" s="1063">
        <v>9.8000000000000004E-2</v>
      </c>
      <c r="F8" s="1064">
        <v>0.1</v>
      </c>
    </row>
    <row r="9" spans="1:6" ht="14.25" thickBot="1">
      <c r="A9" s="846" t="s">
        <v>212</v>
      </c>
      <c r="B9" s="841" t="s">
        <v>225</v>
      </c>
      <c r="C9" s="1065">
        <v>0.05</v>
      </c>
      <c r="D9" s="1073"/>
      <c r="E9" s="1073"/>
      <c r="F9" s="1074"/>
    </row>
    <row r="10" spans="1:6" ht="14.25" thickBot="1">
      <c r="A10" s="836" t="s">
        <v>269</v>
      </c>
      <c r="B10" s="837" t="s">
        <v>881</v>
      </c>
      <c r="C10" s="1061">
        <v>8.8999999999999996E-2</v>
      </c>
      <c r="D10" s="1061">
        <v>7.2999999999999995E-2</v>
      </c>
      <c r="E10" s="1061">
        <v>8.2000000000000003E-2</v>
      </c>
      <c r="F10" s="1062">
        <v>0.1</v>
      </c>
    </row>
    <row r="11" spans="1:6" ht="14.25" thickBot="1">
      <c r="A11" s="836" t="s">
        <v>269</v>
      </c>
      <c r="B11" s="840" t="s">
        <v>188</v>
      </c>
      <c r="C11" s="1063">
        <v>8.8999999999999996E-2</v>
      </c>
      <c r="D11" s="1063">
        <v>7.2999999999999995E-2</v>
      </c>
      <c r="E11" s="1063">
        <v>8.2000000000000003E-2</v>
      </c>
      <c r="F11" s="1064">
        <v>0.1</v>
      </c>
    </row>
    <row r="12" spans="1:6" ht="14.25" thickBot="1">
      <c r="A12" s="836" t="s">
        <v>269</v>
      </c>
      <c r="B12" s="840" t="s">
        <v>138</v>
      </c>
      <c r="C12" s="1063">
        <v>6.0999999999999999E-2</v>
      </c>
      <c r="D12" s="1063">
        <v>7.0999999999999994E-2</v>
      </c>
      <c r="E12" s="1063">
        <v>9.6000000000000002E-2</v>
      </c>
      <c r="F12" s="1064">
        <v>0.1</v>
      </c>
    </row>
    <row r="13" spans="1:6" ht="14.25" thickBot="1">
      <c r="A13" s="836" t="s">
        <v>269</v>
      </c>
      <c r="B13" s="840" t="s">
        <v>214</v>
      </c>
      <c r="C13" s="1063">
        <v>6.9000000000000006E-2</v>
      </c>
      <c r="D13" s="1063">
        <v>6.5000000000000002E-2</v>
      </c>
      <c r="E13" s="1063">
        <v>6.6000000000000003E-2</v>
      </c>
      <c r="F13" s="1064">
        <v>0.1</v>
      </c>
    </row>
    <row r="14" spans="1:6" ht="14.25" thickBot="1">
      <c r="A14" s="836" t="s">
        <v>269</v>
      </c>
      <c r="B14" s="840" t="s">
        <v>226</v>
      </c>
      <c r="C14" s="1063">
        <v>0.1</v>
      </c>
      <c r="D14" s="1063">
        <v>6.5000000000000002E-2</v>
      </c>
      <c r="E14" s="1063">
        <v>7.0000000000000007E-2</v>
      </c>
      <c r="F14" s="1064">
        <v>0.1</v>
      </c>
    </row>
    <row r="15" spans="1:6" ht="14.25" thickBot="1">
      <c r="A15" s="836" t="s">
        <v>269</v>
      </c>
      <c r="B15" s="840" t="s">
        <v>237</v>
      </c>
      <c r="C15" s="1063">
        <v>9.8000000000000004E-2</v>
      </c>
      <c r="D15" s="1063">
        <v>8.8999999999999996E-2</v>
      </c>
      <c r="E15" s="1063">
        <v>8.8999999999999996E-2</v>
      </c>
      <c r="F15" s="1064">
        <v>0.1</v>
      </c>
    </row>
    <row r="16" spans="1:6" ht="14.25" thickBot="1">
      <c r="A16" s="836" t="s">
        <v>269</v>
      </c>
      <c r="B16" s="840" t="s">
        <v>248</v>
      </c>
      <c r="C16" s="1063">
        <v>7.0000000000000007E-2</v>
      </c>
      <c r="D16" s="1063">
        <v>9.2999999999999999E-2</v>
      </c>
      <c r="E16" s="1063">
        <v>9.6000000000000002E-2</v>
      </c>
      <c r="F16" s="1064">
        <v>0.1</v>
      </c>
    </row>
    <row r="17" spans="1:6" ht="14.25" thickBot="1">
      <c r="A17" s="836" t="s">
        <v>269</v>
      </c>
      <c r="B17" s="840" t="s">
        <v>259</v>
      </c>
      <c r="C17" s="1063">
        <v>9.5000000000000001E-2</v>
      </c>
      <c r="D17" s="1063">
        <v>0.1</v>
      </c>
      <c r="E17" s="1063">
        <v>0.1</v>
      </c>
      <c r="F17" s="1075"/>
    </row>
    <row r="18" spans="1:6" ht="14.25" thickBot="1">
      <c r="A18" s="836" t="s">
        <v>269</v>
      </c>
      <c r="B18" s="840" t="s">
        <v>271</v>
      </c>
      <c r="C18" s="1063">
        <v>7.3999999999999996E-2</v>
      </c>
      <c r="D18" s="1063">
        <v>9.9000000000000005E-2</v>
      </c>
      <c r="E18" s="1063">
        <v>0.1</v>
      </c>
      <c r="F18" s="1075"/>
    </row>
    <row r="19" spans="1:6" ht="14.25" thickBot="1">
      <c r="A19" s="836" t="s">
        <v>269</v>
      </c>
      <c r="B19" s="840" t="s">
        <v>281</v>
      </c>
      <c r="C19" s="1063">
        <v>9.9000000000000005E-2</v>
      </c>
      <c r="D19" s="1063">
        <v>7.5999999999999998E-2</v>
      </c>
      <c r="E19" s="1063">
        <v>8.6999999999999994E-2</v>
      </c>
      <c r="F19" s="1075"/>
    </row>
    <row r="20" spans="1:6" ht="14.25" thickBot="1">
      <c r="A20" s="836" t="s">
        <v>269</v>
      </c>
      <c r="B20" s="840" t="s">
        <v>291</v>
      </c>
      <c r="C20" s="1063">
        <v>9.8000000000000004E-2</v>
      </c>
      <c r="D20" s="1063">
        <v>8.5000000000000006E-2</v>
      </c>
      <c r="E20" s="1063">
        <v>8.2000000000000003E-2</v>
      </c>
      <c r="F20" s="1075"/>
    </row>
    <row r="21" spans="1:6" ht="14.25" thickBot="1">
      <c r="A21" s="836" t="s">
        <v>269</v>
      </c>
      <c r="B21" s="840" t="s">
        <v>301</v>
      </c>
      <c r="C21" s="1063">
        <v>6.6000000000000003E-2</v>
      </c>
      <c r="D21" s="1063">
        <v>6.4000000000000001E-2</v>
      </c>
      <c r="E21" s="1063">
        <v>6.5000000000000002E-2</v>
      </c>
      <c r="F21" s="1075"/>
    </row>
    <row r="22" spans="1:6" ht="14.25" thickBot="1">
      <c r="A22" s="836" t="s">
        <v>269</v>
      </c>
      <c r="B22" s="840" t="s">
        <v>882</v>
      </c>
      <c r="C22" s="1063">
        <v>0.08</v>
      </c>
      <c r="D22" s="1063">
        <v>9.8000000000000004E-2</v>
      </c>
      <c r="E22" s="1063">
        <v>9.8000000000000004E-2</v>
      </c>
      <c r="F22" s="1075"/>
    </row>
    <row r="23" spans="1:6" ht="14.25" thickBot="1">
      <c r="A23" s="836" t="s">
        <v>269</v>
      </c>
      <c r="B23" s="840" t="s">
        <v>322</v>
      </c>
      <c r="C23" s="1063">
        <v>9.9000000000000005E-2</v>
      </c>
      <c r="D23" s="1063">
        <v>9.8000000000000004E-2</v>
      </c>
      <c r="E23" s="1063">
        <v>9.0999999999999998E-2</v>
      </c>
      <c r="F23" s="1075"/>
    </row>
    <row r="24" spans="1:6" ht="14.25" thickBot="1">
      <c r="A24" s="836" t="s">
        <v>269</v>
      </c>
      <c r="B24" s="840" t="s">
        <v>333</v>
      </c>
      <c r="C24" s="1063">
        <v>8.8999999999999996E-2</v>
      </c>
      <c r="D24" s="1063">
        <v>9.7000000000000003E-2</v>
      </c>
      <c r="E24" s="1063">
        <v>7.0000000000000007E-2</v>
      </c>
      <c r="F24" s="1075"/>
    </row>
    <row r="25" spans="1:6" ht="14.25" thickBot="1">
      <c r="A25" s="836" t="s">
        <v>269</v>
      </c>
      <c r="B25" s="840" t="s">
        <v>343</v>
      </c>
      <c r="C25" s="1063">
        <v>8.8999999999999996E-2</v>
      </c>
      <c r="D25" s="1063">
        <v>0.1</v>
      </c>
      <c r="E25" s="1063">
        <v>8.1000000000000003E-2</v>
      </c>
      <c r="F25" s="1075"/>
    </row>
    <row r="26" spans="1:6" ht="14.25" thickBot="1">
      <c r="A26" s="836" t="s">
        <v>269</v>
      </c>
      <c r="B26" s="840" t="s">
        <v>353</v>
      </c>
      <c r="C26" s="1076"/>
      <c r="D26" s="1063">
        <v>9.6000000000000002E-2</v>
      </c>
      <c r="E26" s="1063">
        <v>9.2999999999999999E-2</v>
      </c>
      <c r="F26" s="1075"/>
    </row>
    <row r="27" spans="1:6" ht="14.25" thickBot="1">
      <c r="A27" s="836" t="s">
        <v>269</v>
      </c>
      <c r="B27" s="840" t="s">
        <v>363</v>
      </c>
      <c r="C27" s="1076"/>
      <c r="D27" s="1063">
        <v>7.5999999999999998E-2</v>
      </c>
      <c r="E27" s="1063">
        <v>9.1999999999999998E-2</v>
      </c>
      <c r="F27" s="1075"/>
    </row>
    <row r="28" spans="1:6" ht="14.25" thickBot="1">
      <c r="A28" s="846" t="s">
        <v>269</v>
      </c>
      <c r="B28" s="841" t="s">
        <v>373</v>
      </c>
      <c r="C28" s="1073"/>
      <c r="D28" s="1065">
        <v>7.5999999999999998E-2</v>
      </c>
      <c r="E28" s="1065">
        <v>9.1999999999999998E-2</v>
      </c>
      <c r="F28" s="1074"/>
    </row>
    <row r="29" spans="1:6" ht="14.25" thickBot="1">
      <c r="A29" s="836" t="s">
        <v>442</v>
      </c>
      <c r="B29" s="837" t="s">
        <v>883</v>
      </c>
      <c r="C29" s="1061">
        <v>6.4000000000000001E-2</v>
      </c>
      <c r="D29" s="1061">
        <v>6.5000000000000002E-2</v>
      </c>
      <c r="E29" s="1061">
        <v>6.9000000000000006E-2</v>
      </c>
      <c r="F29" s="1062">
        <v>0.1</v>
      </c>
    </row>
    <row r="30" spans="1:6" ht="14.25" thickBot="1">
      <c r="A30" s="836" t="s">
        <v>442</v>
      </c>
      <c r="B30" s="840" t="s">
        <v>189</v>
      </c>
      <c r="C30" s="1063">
        <v>6.4000000000000001E-2</v>
      </c>
      <c r="D30" s="1063">
        <v>9.9000000000000005E-2</v>
      </c>
      <c r="E30" s="1063">
        <v>0.1</v>
      </c>
      <c r="F30" s="1064">
        <v>0.1</v>
      </c>
    </row>
    <row r="31" spans="1:6" ht="14.25" thickBot="1">
      <c r="A31" s="836" t="s">
        <v>442</v>
      </c>
      <c r="B31" s="840" t="s">
        <v>202</v>
      </c>
      <c r="C31" s="1063">
        <v>0.1</v>
      </c>
      <c r="D31" s="1063">
        <v>9.5000000000000001E-2</v>
      </c>
      <c r="E31" s="1063">
        <v>8.8999999999999996E-2</v>
      </c>
      <c r="F31" s="1064">
        <v>0.1</v>
      </c>
    </row>
    <row r="32" spans="1:6" ht="14.25" thickBot="1">
      <c r="A32" s="836" t="s">
        <v>442</v>
      </c>
      <c r="B32" s="840" t="s">
        <v>215</v>
      </c>
      <c r="C32" s="1063">
        <v>0.05</v>
      </c>
      <c r="D32" s="1063">
        <v>0.05</v>
      </c>
      <c r="E32" s="1063">
        <v>8.7999999999999995E-2</v>
      </c>
      <c r="F32" s="1064">
        <v>0.1</v>
      </c>
    </row>
    <row r="33" spans="1:6" ht="14.25" thickBot="1">
      <c r="A33" s="836" t="s">
        <v>442</v>
      </c>
      <c r="B33" s="840" t="s">
        <v>227</v>
      </c>
      <c r="C33" s="1063">
        <v>7.4999999999999997E-2</v>
      </c>
      <c r="D33" s="1063">
        <v>9.4E-2</v>
      </c>
      <c r="E33" s="1063">
        <v>9.7000000000000003E-2</v>
      </c>
      <c r="F33" s="1064">
        <v>0.1</v>
      </c>
    </row>
    <row r="34" spans="1:6" ht="14.25" thickBot="1">
      <c r="A34" s="836" t="s">
        <v>442</v>
      </c>
      <c r="B34" s="840" t="s">
        <v>238</v>
      </c>
      <c r="C34" s="1063">
        <v>9.8000000000000004E-2</v>
      </c>
      <c r="D34" s="1063">
        <v>8.5999999999999993E-2</v>
      </c>
      <c r="E34" s="1063">
        <v>9.7000000000000003E-2</v>
      </c>
      <c r="F34" s="1064">
        <v>0.1</v>
      </c>
    </row>
    <row r="35" spans="1:6" ht="14.25" thickBot="1">
      <c r="A35" s="836" t="s">
        <v>442</v>
      </c>
      <c r="B35" s="840" t="s">
        <v>249</v>
      </c>
      <c r="C35" s="1063">
        <v>5.8999999999999997E-2</v>
      </c>
      <c r="D35" s="1063">
        <v>6.5000000000000002E-2</v>
      </c>
      <c r="E35" s="1063">
        <v>7.0000000000000007E-2</v>
      </c>
      <c r="F35" s="1064">
        <v>0.1</v>
      </c>
    </row>
    <row r="36" spans="1:6" ht="14.25" thickBot="1">
      <c r="A36" s="836" t="s">
        <v>442</v>
      </c>
      <c r="B36" s="840" t="s">
        <v>260</v>
      </c>
      <c r="C36" s="1063">
        <v>6.3E-2</v>
      </c>
      <c r="D36" s="1063">
        <v>0.1</v>
      </c>
      <c r="E36" s="1063">
        <v>0.1</v>
      </c>
      <c r="F36" s="1064">
        <v>0.1</v>
      </c>
    </row>
    <row r="37" spans="1:6" ht="14.25" thickBot="1">
      <c r="A37" s="836" t="s">
        <v>442</v>
      </c>
      <c r="B37" s="840" t="s">
        <v>272</v>
      </c>
      <c r="C37" s="1063">
        <v>7.3999999999999996E-2</v>
      </c>
      <c r="D37" s="1063">
        <v>0.1</v>
      </c>
      <c r="E37" s="1063">
        <v>0.1</v>
      </c>
      <c r="F37" s="1064">
        <v>0.1</v>
      </c>
    </row>
    <row r="38" spans="1:6" ht="14.25" thickBot="1">
      <c r="A38" s="836" t="s">
        <v>442</v>
      </c>
      <c r="B38" s="840" t="s">
        <v>282</v>
      </c>
      <c r="C38" s="1063">
        <v>0.1</v>
      </c>
      <c r="D38" s="1063">
        <v>9.6000000000000002E-2</v>
      </c>
      <c r="E38" s="1063">
        <v>9.6000000000000002E-2</v>
      </c>
      <c r="F38" s="1075"/>
    </row>
    <row r="39" spans="1:6" ht="14.25" thickBot="1">
      <c r="A39" s="836" t="s">
        <v>442</v>
      </c>
      <c r="B39" s="840" t="s">
        <v>292</v>
      </c>
      <c r="C39" s="1063">
        <v>0.1</v>
      </c>
      <c r="D39" s="1063">
        <v>9.6000000000000002E-2</v>
      </c>
      <c r="E39" s="1063">
        <v>9.6000000000000002E-2</v>
      </c>
      <c r="F39" s="1075"/>
    </row>
    <row r="40" spans="1:6" ht="14.25" thickBot="1">
      <c r="A40" s="836" t="s">
        <v>442</v>
      </c>
      <c r="B40" s="840" t="s">
        <v>302</v>
      </c>
      <c r="C40" s="1063">
        <v>9.6000000000000002E-2</v>
      </c>
      <c r="D40" s="1063">
        <v>0.1</v>
      </c>
      <c r="E40" s="1063">
        <v>9.9000000000000005E-2</v>
      </c>
      <c r="F40" s="1075"/>
    </row>
    <row r="41" spans="1:6" ht="14.25" thickBot="1">
      <c r="A41" s="836" t="s">
        <v>442</v>
      </c>
      <c r="B41" s="840" t="s">
        <v>312</v>
      </c>
      <c r="C41" s="1063">
        <v>9.6000000000000002E-2</v>
      </c>
      <c r="D41" s="1063">
        <v>9.8000000000000004E-2</v>
      </c>
      <c r="E41" s="1063">
        <v>9.8000000000000004E-2</v>
      </c>
      <c r="F41" s="1075"/>
    </row>
    <row r="42" spans="1:6" ht="14.25" thickBot="1">
      <c r="A42" s="836" t="s">
        <v>442</v>
      </c>
      <c r="B42" s="840" t="s">
        <v>323</v>
      </c>
      <c r="C42" s="1063">
        <v>0.1</v>
      </c>
      <c r="D42" s="1063">
        <v>8.7999999999999995E-2</v>
      </c>
      <c r="E42" s="1063">
        <v>0.1</v>
      </c>
      <c r="F42" s="1075"/>
    </row>
    <row r="43" spans="1:6" ht="14.25" thickBot="1">
      <c r="A43" s="836" t="s">
        <v>442</v>
      </c>
      <c r="B43" s="840" t="s">
        <v>334</v>
      </c>
      <c r="C43" s="1063">
        <v>9.8000000000000004E-2</v>
      </c>
      <c r="D43" s="1063">
        <v>9.7000000000000003E-2</v>
      </c>
      <c r="E43" s="1063">
        <v>9.6000000000000002E-2</v>
      </c>
      <c r="F43" s="1075"/>
    </row>
    <row r="44" spans="1:6" ht="14.25" thickBot="1">
      <c r="A44" s="836" t="s">
        <v>442</v>
      </c>
      <c r="B44" s="840" t="s">
        <v>344</v>
      </c>
      <c r="C44" s="1063">
        <v>8.5999999999999993E-2</v>
      </c>
      <c r="D44" s="1063">
        <v>7.9000000000000001E-2</v>
      </c>
      <c r="E44" s="1063">
        <v>7.0999999999999994E-2</v>
      </c>
      <c r="F44" s="1075"/>
    </row>
    <row r="45" spans="1:6" ht="14.25" thickBot="1">
      <c r="A45" s="836" t="s">
        <v>442</v>
      </c>
      <c r="B45" s="840" t="s">
        <v>354</v>
      </c>
      <c r="C45" s="1063">
        <v>9.8000000000000004E-2</v>
      </c>
      <c r="D45" s="1063">
        <v>9.6000000000000002E-2</v>
      </c>
      <c r="E45" s="1063">
        <v>9.6000000000000002E-2</v>
      </c>
      <c r="F45" s="1075"/>
    </row>
    <row r="46" spans="1:6" ht="14.25" thickBot="1">
      <c r="A46" s="836" t="s">
        <v>442</v>
      </c>
      <c r="B46" s="840" t="s">
        <v>364</v>
      </c>
      <c r="C46" s="1063">
        <v>8.5999999999999993E-2</v>
      </c>
      <c r="D46" s="1063">
        <v>9.8000000000000004E-2</v>
      </c>
      <c r="E46" s="1063">
        <v>8.7999999999999995E-2</v>
      </c>
      <c r="F46" s="1075"/>
    </row>
    <row r="47" spans="1:6" ht="14.25" thickBot="1">
      <c r="A47" s="836" t="s">
        <v>442</v>
      </c>
      <c r="B47" s="840" t="s">
        <v>374</v>
      </c>
      <c r="C47" s="1063">
        <v>9.6000000000000002E-2</v>
      </c>
      <c r="D47" s="1076"/>
      <c r="E47" s="1063">
        <v>6.9000000000000006E-2</v>
      </c>
      <c r="F47" s="1075"/>
    </row>
    <row r="48" spans="1:6" ht="14.25" thickBot="1">
      <c r="A48" s="846" t="s">
        <v>442</v>
      </c>
      <c r="B48" s="841" t="s">
        <v>383</v>
      </c>
      <c r="C48" s="1065">
        <v>9.8000000000000004E-2</v>
      </c>
      <c r="D48" s="1073"/>
      <c r="E48" s="1065">
        <v>9.5000000000000001E-2</v>
      </c>
      <c r="F48" s="1074"/>
    </row>
    <row r="49" spans="1:6" ht="14.25" thickBot="1">
      <c r="A49" s="836" t="s">
        <v>137</v>
      </c>
      <c r="B49" s="837" t="s">
        <v>884</v>
      </c>
      <c r="C49" s="1061">
        <v>9.7000000000000003E-2</v>
      </c>
      <c r="D49" s="1061">
        <v>9.5000000000000001E-2</v>
      </c>
      <c r="E49" s="1061">
        <v>9.7000000000000003E-2</v>
      </c>
      <c r="F49" s="1062">
        <v>0.1</v>
      </c>
    </row>
    <row r="50" spans="1:6" ht="14.25" thickBot="1">
      <c r="A50" s="836" t="s">
        <v>137</v>
      </c>
      <c r="B50" s="830" t="s">
        <v>190</v>
      </c>
      <c r="C50" s="1063">
        <v>7.4999999999999997E-2</v>
      </c>
      <c r="D50" s="1063">
        <v>9.5000000000000001E-2</v>
      </c>
      <c r="E50" s="1063">
        <v>0.1</v>
      </c>
      <c r="F50" s="1064">
        <v>0.1</v>
      </c>
    </row>
    <row r="51" spans="1:6" ht="14.25" thickBot="1">
      <c r="A51" s="836" t="s">
        <v>137</v>
      </c>
      <c r="B51" s="830" t="s">
        <v>203</v>
      </c>
      <c r="C51" s="1063">
        <v>9.8000000000000004E-2</v>
      </c>
      <c r="D51" s="1063">
        <v>8.8999999999999996E-2</v>
      </c>
      <c r="E51" s="1063">
        <v>0.1</v>
      </c>
      <c r="F51" s="1064">
        <v>0.1</v>
      </c>
    </row>
    <row r="52" spans="1:6" ht="14.25" thickBot="1">
      <c r="A52" s="836" t="s">
        <v>137</v>
      </c>
      <c r="B52" s="830" t="s">
        <v>216</v>
      </c>
      <c r="C52" s="1063">
        <v>9.8000000000000004E-2</v>
      </c>
      <c r="D52" s="1063">
        <v>9.7000000000000003E-2</v>
      </c>
      <c r="E52" s="1063">
        <v>8.1000000000000003E-2</v>
      </c>
      <c r="F52" s="1064">
        <v>0.1</v>
      </c>
    </row>
    <row r="53" spans="1:6" ht="14.25" thickBot="1">
      <c r="A53" s="836" t="s">
        <v>137</v>
      </c>
      <c r="B53" s="830" t="s">
        <v>228</v>
      </c>
      <c r="C53" s="1063">
        <v>9.7000000000000003E-2</v>
      </c>
      <c r="D53" s="1063">
        <v>7.5999999999999998E-2</v>
      </c>
      <c r="E53" s="1063">
        <v>7.0999999999999994E-2</v>
      </c>
      <c r="F53" s="1064">
        <v>0.1</v>
      </c>
    </row>
    <row r="54" spans="1:6" ht="14.25" thickBot="1">
      <c r="A54" s="836" t="s">
        <v>137</v>
      </c>
      <c r="B54" s="830" t="s">
        <v>239</v>
      </c>
      <c r="C54" s="1063">
        <v>7.5999999999999998E-2</v>
      </c>
      <c r="D54" s="1063">
        <v>0.1</v>
      </c>
      <c r="E54" s="1063">
        <v>9.9000000000000005E-2</v>
      </c>
      <c r="F54" s="1064">
        <v>0.1</v>
      </c>
    </row>
    <row r="55" spans="1:6" ht="14.25" thickBot="1">
      <c r="A55" s="836" t="s">
        <v>137</v>
      </c>
      <c r="B55" s="830" t="s">
        <v>250</v>
      </c>
      <c r="C55" s="1063">
        <v>0.1</v>
      </c>
      <c r="D55" s="1063">
        <v>0.1</v>
      </c>
      <c r="E55" s="1063">
        <v>9.6000000000000002E-2</v>
      </c>
      <c r="F55" s="1064">
        <v>0.1</v>
      </c>
    </row>
    <row r="56" spans="1:6" ht="14.25" thickBot="1">
      <c r="A56" s="836" t="s">
        <v>137</v>
      </c>
      <c r="B56" s="830" t="s">
        <v>261</v>
      </c>
      <c r="C56" s="1063">
        <v>0.1</v>
      </c>
      <c r="D56" s="1063">
        <v>9.6000000000000002E-2</v>
      </c>
      <c r="E56" s="1063">
        <v>5.1999999999999998E-2</v>
      </c>
      <c r="F56" s="1064">
        <v>0.1</v>
      </c>
    </row>
    <row r="57" spans="1:6" ht="14.25" thickBot="1">
      <c r="A57" s="836" t="s">
        <v>137</v>
      </c>
      <c r="B57" s="830" t="s">
        <v>273</v>
      </c>
      <c r="C57" s="1063">
        <v>9.7000000000000003E-2</v>
      </c>
      <c r="D57" s="1063">
        <v>9.6000000000000002E-2</v>
      </c>
      <c r="E57" s="1063">
        <v>9.6000000000000002E-2</v>
      </c>
      <c r="F57" s="1064">
        <v>0.1</v>
      </c>
    </row>
    <row r="58" spans="1:6" ht="14.25" thickBot="1">
      <c r="A58" s="836" t="s">
        <v>137</v>
      </c>
      <c r="B58" s="830" t="s">
        <v>283</v>
      </c>
      <c r="C58" s="1063">
        <v>9.6000000000000002E-2</v>
      </c>
      <c r="D58" s="1063">
        <v>9.9000000000000005E-2</v>
      </c>
      <c r="E58" s="1063">
        <v>9.6000000000000002E-2</v>
      </c>
      <c r="F58" s="1064">
        <v>0.1</v>
      </c>
    </row>
    <row r="59" spans="1:6" ht="14.25" thickBot="1">
      <c r="A59" s="836" t="s">
        <v>137</v>
      </c>
      <c r="B59" s="830" t="s">
        <v>293</v>
      </c>
      <c r="C59" s="1063">
        <v>7.1999999999999995E-2</v>
      </c>
      <c r="D59" s="1063">
        <v>9.6000000000000002E-2</v>
      </c>
      <c r="E59" s="1063">
        <v>7.0999999999999994E-2</v>
      </c>
      <c r="F59" s="1064">
        <v>0.1</v>
      </c>
    </row>
    <row r="60" spans="1:6" ht="14.25" thickBot="1">
      <c r="A60" s="836" t="s">
        <v>137</v>
      </c>
      <c r="B60" s="830" t="s">
        <v>303</v>
      </c>
      <c r="C60" s="1063">
        <v>9.6000000000000002E-2</v>
      </c>
      <c r="D60" s="1063">
        <v>8.8999999999999996E-2</v>
      </c>
      <c r="E60" s="1063">
        <v>9.6000000000000002E-2</v>
      </c>
      <c r="F60" s="1064">
        <v>0.1</v>
      </c>
    </row>
    <row r="61" spans="1:6" ht="14.25" thickBot="1">
      <c r="A61" s="836" t="s">
        <v>137</v>
      </c>
      <c r="B61" s="830" t="s">
        <v>313</v>
      </c>
      <c r="C61" s="1063">
        <v>8.8999999999999996E-2</v>
      </c>
      <c r="D61" s="1063">
        <v>9.8000000000000004E-2</v>
      </c>
      <c r="E61" s="1063">
        <v>8.7999999999999995E-2</v>
      </c>
      <c r="F61" s="1075"/>
    </row>
    <row r="62" spans="1:6" ht="14.25" thickBot="1">
      <c r="A62" s="836" t="s">
        <v>137</v>
      </c>
      <c r="B62" s="830" t="s">
        <v>324</v>
      </c>
      <c r="C62" s="1063">
        <v>9.8000000000000004E-2</v>
      </c>
      <c r="D62" s="1063">
        <v>9.2999999999999999E-2</v>
      </c>
      <c r="E62" s="1063">
        <v>9.7000000000000003E-2</v>
      </c>
      <c r="F62" s="1075"/>
    </row>
    <row r="63" spans="1:6" ht="14.25" thickBot="1">
      <c r="A63" s="836" t="s">
        <v>137</v>
      </c>
      <c r="B63" s="830" t="s">
        <v>335</v>
      </c>
      <c r="C63" s="1063">
        <v>9.6000000000000002E-2</v>
      </c>
      <c r="D63" s="1063">
        <v>9.8000000000000004E-2</v>
      </c>
      <c r="E63" s="1063">
        <v>0.09</v>
      </c>
      <c r="F63" s="1075"/>
    </row>
    <row r="64" spans="1:6" ht="14.25" thickBot="1">
      <c r="A64" s="836" t="s">
        <v>137</v>
      </c>
      <c r="B64" s="830" t="s">
        <v>345</v>
      </c>
      <c r="C64" s="1063">
        <v>9.9000000000000005E-2</v>
      </c>
      <c r="D64" s="1063">
        <v>9.7000000000000003E-2</v>
      </c>
      <c r="E64" s="1063">
        <v>9.9000000000000005E-2</v>
      </c>
      <c r="F64" s="1075"/>
    </row>
    <row r="65" spans="1:6" ht="14.25" thickBot="1">
      <c r="A65" s="836" t="s">
        <v>137</v>
      </c>
      <c r="B65" s="830" t="s">
        <v>355</v>
      </c>
      <c r="C65" s="1063">
        <v>9.8000000000000004E-2</v>
      </c>
      <c r="D65" s="1063">
        <v>9.6000000000000002E-2</v>
      </c>
      <c r="E65" s="1063">
        <v>9.6000000000000002E-2</v>
      </c>
      <c r="F65" s="1075"/>
    </row>
    <row r="66" spans="1:6" ht="14.25" thickBot="1">
      <c r="A66" s="836" t="s">
        <v>137</v>
      </c>
      <c r="B66" s="830" t="s">
        <v>365</v>
      </c>
      <c r="C66" s="1063">
        <v>9.6000000000000002E-2</v>
      </c>
      <c r="D66" s="1063">
        <v>9.1999999999999998E-2</v>
      </c>
      <c r="E66" s="1063">
        <v>9.6000000000000002E-2</v>
      </c>
      <c r="F66" s="1075"/>
    </row>
    <row r="67" spans="1:6" ht="14.25" thickBot="1">
      <c r="A67" s="836" t="s">
        <v>137</v>
      </c>
      <c r="B67" s="830" t="s">
        <v>375</v>
      </c>
      <c r="C67" s="1063">
        <v>9.4E-2</v>
      </c>
      <c r="D67" s="1063">
        <v>0.1</v>
      </c>
      <c r="E67" s="1063">
        <v>8.7999999999999995E-2</v>
      </c>
      <c r="F67" s="1075"/>
    </row>
    <row r="68" spans="1:6" ht="14.25" thickBot="1">
      <c r="A68" s="836" t="s">
        <v>137</v>
      </c>
      <c r="B68" s="830" t="s">
        <v>384</v>
      </c>
      <c r="C68" s="1063">
        <v>0.1</v>
      </c>
      <c r="D68" s="1063">
        <v>8.7999999999999995E-2</v>
      </c>
      <c r="E68" s="1063">
        <v>9.7000000000000003E-2</v>
      </c>
      <c r="F68" s="1075"/>
    </row>
    <row r="69" spans="1:6" ht="14.25" thickBot="1">
      <c r="A69" s="836" t="s">
        <v>137</v>
      </c>
      <c r="B69" s="830" t="s">
        <v>393</v>
      </c>
      <c r="C69" s="1063">
        <v>6.4000000000000001E-2</v>
      </c>
      <c r="D69" s="1063">
        <v>0.1</v>
      </c>
      <c r="E69" s="1063">
        <v>0.1</v>
      </c>
      <c r="F69" s="1075"/>
    </row>
    <row r="70" spans="1:6" ht="14.25" thickBot="1">
      <c r="A70" s="836" t="s">
        <v>137</v>
      </c>
      <c r="B70" s="830" t="s">
        <v>401</v>
      </c>
      <c r="C70" s="1063">
        <v>9.0999999999999998E-2</v>
      </c>
      <c r="D70" s="1076"/>
      <c r="E70" s="1076"/>
      <c r="F70" s="1075"/>
    </row>
    <row r="71" spans="1:6" ht="14.25" thickBot="1">
      <c r="A71" s="836" t="s">
        <v>137</v>
      </c>
      <c r="B71" s="830" t="s">
        <v>408</v>
      </c>
      <c r="C71" s="1063">
        <v>0.1</v>
      </c>
      <c r="D71" s="1076"/>
      <c r="E71" s="1076"/>
      <c r="F71" s="1075"/>
    </row>
    <row r="72" spans="1:6" ht="14.25" thickBot="1">
      <c r="A72" s="836" t="s">
        <v>137</v>
      </c>
      <c r="B72" s="830" t="s">
        <v>885</v>
      </c>
      <c r="C72" s="1076"/>
      <c r="D72" s="1076"/>
      <c r="E72" s="1076"/>
      <c r="F72" s="1064">
        <v>0.05</v>
      </c>
    </row>
    <row r="73" spans="1:6" ht="14.25" thickBot="1">
      <c r="A73" s="836" t="s">
        <v>137</v>
      </c>
      <c r="B73" s="830" t="s">
        <v>886</v>
      </c>
      <c r="C73" s="1076"/>
      <c r="D73" s="1076"/>
      <c r="E73" s="1076"/>
      <c r="F73" s="1064">
        <v>0.05</v>
      </c>
    </row>
    <row r="74" spans="1:6" ht="14.25" thickBot="1">
      <c r="A74" s="836" t="s">
        <v>137</v>
      </c>
      <c r="B74" s="830" t="s">
        <v>887</v>
      </c>
      <c r="C74" s="1076"/>
      <c r="D74" s="1076"/>
      <c r="E74" s="1076"/>
      <c r="F74" s="1064">
        <v>0.05</v>
      </c>
    </row>
    <row r="75" spans="1:6" ht="14.25" thickBot="1">
      <c r="A75" s="846" t="s">
        <v>137</v>
      </c>
      <c r="B75" s="842" t="s">
        <v>888</v>
      </c>
      <c r="C75" s="1073"/>
      <c r="D75" s="1073"/>
      <c r="E75" s="1073"/>
      <c r="F75" s="1066">
        <v>0.05</v>
      </c>
    </row>
    <row r="76" spans="1:6" ht="14.25" thickBot="1">
      <c r="A76" s="836" t="s">
        <v>523</v>
      </c>
      <c r="B76" s="837" t="s">
        <v>889</v>
      </c>
      <c r="C76" s="1061">
        <v>0.1</v>
      </c>
      <c r="D76" s="1061">
        <v>0.1</v>
      </c>
      <c r="E76" s="1061">
        <v>0.1</v>
      </c>
      <c r="F76" s="1062">
        <v>0.1</v>
      </c>
    </row>
    <row r="77" spans="1:6" ht="14.25" thickBot="1">
      <c r="A77" s="836" t="s">
        <v>523</v>
      </c>
      <c r="B77" s="830" t="s">
        <v>191</v>
      </c>
      <c r="C77" s="1063">
        <v>8.7999999999999995E-2</v>
      </c>
      <c r="D77" s="1063">
        <v>8.6999999999999994E-2</v>
      </c>
      <c r="E77" s="1063">
        <v>7.9000000000000001E-2</v>
      </c>
      <c r="F77" s="1064">
        <v>0.1</v>
      </c>
    </row>
    <row r="78" spans="1:6" ht="14.25" thickBot="1">
      <c r="A78" s="836" t="s">
        <v>523</v>
      </c>
      <c r="B78" s="830" t="s">
        <v>204</v>
      </c>
      <c r="C78" s="1063">
        <v>8.6999999999999994E-2</v>
      </c>
      <c r="D78" s="1063">
        <v>8.4000000000000005E-2</v>
      </c>
      <c r="E78" s="1063">
        <v>9.6000000000000002E-2</v>
      </c>
      <c r="F78" s="1064">
        <v>0.1</v>
      </c>
    </row>
    <row r="79" spans="1:6" ht="14.25" thickBot="1">
      <c r="A79" s="836" t="s">
        <v>523</v>
      </c>
      <c r="B79" s="830" t="s">
        <v>217</v>
      </c>
      <c r="C79" s="1063">
        <v>9.8000000000000004E-2</v>
      </c>
      <c r="D79" s="1063">
        <v>9.8000000000000004E-2</v>
      </c>
      <c r="E79" s="1063">
        <v>9.0999999999999998E-2</v>
      </c>
      <c r="F79" s="1064">
        <v>0.1</v>
      </c>
    </row>
    <row r="80" spans="1:6" ht="14.25" thickBot="1">
      <c r="A80" s="836" t="s">
        <v>523</v>
      </c>
      <c r="B80" s="830" t="s">
        <v>229</v>
      </c>
      <c r="C80" s="1063">
        <v>9.6000000000000002E-2</v>
      </c>
      <c r="D80" s="1063">
        <v>9.6000000000000002E-2</v>
      </c>
      <c r="E80" s="1063">
        <v>0.1</v>
      </c>
      <c r="F80" s="1064">
        <v>0.1</v>
      </c>
    </row>
    <row r="81" spans="1:6" ht="14.25" thickBot="1">
      <c r="A81" s="836" t="s">
        <v>523</v>
      </c>
      <c r="B81" s="830" t="s">
        <v>240</v>
      </c>
      <c r="C81" s="1063">
        <v>9.9000000000000005E-2</v>
      </c>
      <c r="D81" s="1063">
        <v>9.9000000000000005E-2</v>
      </c>
      <c r="E81" s="1063">
        <v>9.8000000000000004E-2</v>
      </c>
      <c r="F81" s="1064">
        <v>0.1</v>
      </c>
    </row>
    <row r="82" spans="1:6" ht="14.25" thickBot="1">
      <c r="A82" s="836" t="s">
        <v>523</v>
      </c>
      <c r="B82" s="830" t="s">
        <v>251</v>
      </c>
      <c r="C82" s="1063">
        <v>9.9000000000000005E-2</v>
      </c>
      <c r="D82" s="1063">
        <v>9.9000000000000005E-2</v>
      </c>
      <c r="E82" s="1063">
        <v>9.7000000000000003E-2</v>
      </c>
      <c r="F82" s="1064">
        <v>0.1</v>
      </c>
    </row>
    <row r="83" spans="1:6" ht="14.25" thickBot="1">
      <c r="A83" s="836" t="s">
        <v>523</v>
      </c>
      <c r="B83" s="830" t="s">
        <v>262</v>
      </c>
      <c r="C83" s="1063">
        <v>9.8000000000000004E-2</v>
      </c>
      <c r="D83" s="1063">
        <v>9.8000000000000004E-2</v>
      </c>
      <c r="E83" s="1063">
        <v>9.8000000000000004E-2</v>
      </c>
      <c r="F83" s="1064">
        <v>0.1</v>
      </c>
    </row>
    <row r="84" spans="1:6" ht="14.25" thickBot="1">
      <c r="A84" s="836" t="s">
        <v>523</v>
      </c>
      <c r="B84" s="830" t="s">
        <v>274</v>
      </c>
      <c r="C84" s="1063">
        <v>9.9000000000000005E-2</v>
      </c>
      <c r="D84" s="1063">
        <v>9.9000000000000005E-2</v>
      </c>
      <c r="E84" s="1063">
        <v>9.9000000000000005E-2</v>
      </c>
      <c r="F84" s="1064">
        <v>0.1</v>
      </c>
    </row>
    <row r="85" spans="1:6" ht="14.25" thickBot="1">
      <c r="A85" s="836" t="s">
        <v>523</v>
      </c>
      <c r="B85" s="830" t="s">
        <v>284</v>
      </c>
      <c r="C85" s="1063">
        <v>9.9000000000000005E-2</v>
      </c>
      <c r="D85" s="1063">
        <v>9.9000000000000005E-2</v>
      </c>
      <c r="E85" s="1063">
        <v>9.9000000000000005E-2</v>
      </c>
      <c r="F85" s="1064">
        <v>0.1</v>
      </c>
    </row>
    <row r="86" spans="1:6" ht="14.25" thickBot="1">
      <c r="A86" s="836" t="s">
        <v>523</v>
      </c>
      <c r="B86" s="830" t="s">
        <v>294</v>
      </c>
      <c r="C86" s="1063">
        <v>0.1</v>
      </c>
      <c r="D86" s="1063">
        <v>0.1</v>
      </c>
      <c r="E86" s="1063">
        <v>7.6999999999999999E-2</v>
      </c>
      <c r="F86" s="1064">
        <v>0.1</v>
      </c>
    </row>
    <row r="87" spans="1:6" ht="14.25" thickBot="1">
      <c r="A87" s="836" t="s">
        <v>523</v>
      </c>
      <c r="B87" s="830" t="s">
        <v>304</v>
      </c>
      <c r="C87" s="1063">
        <v>0.1</v>
      </c>
      <c r="D87" s="1063">
        <v>0.1</v>
      </c>
      <c r="E87" s="1063">
        <v>9.8000000000000004E-2</v>
      </c>
      <c r="F87" s="1075"/>
    </row>
    <row r="88" spans="1:6" ht="14.25" thickBot="1">
      <c r="A88" s="836" t="s">
        <v>523</v>
      </c>
      <c r="B88" s="830" t="s">
        <v>314</v>
      </c>
      <c r="C88" s="1063">
        <v>9.1999999999999998E-2</v>
      </c>
      <c r="D88" s="1063">
        <v>8.5000000000000006E-2</v>
      </c>
      <c r="E88" s="1063">
        <v>9.6000000000000002E-2</v>
      </c>
      <c r="F88" s="1075"/>
    </row>
    <row r="89" spans="1:6" ht="14.25" thickBot="1">
      <c r="A89" s="836" t="s">
        <v>523</v>
      </c>
      <c r="B89" s="830" t="s">
        <v>325</v>
      </c>
      <c r="C89" s="1063">
        <v>0.1</v>
      </c>
      <c r="D89" s="1063">
        <v>0.1</v>
      </c>
      <c r="E89" s="1063">
        <v>9.7000000000000003E-2</v>
      </c>
      <c r="F89" s="1075"/>
    </row>
    <row r="90" spans="1:6" ht="14.25" thickBot="1">
      <c r="A90" s="836" t="s">
        <v>523</v>
      </c>
      <c r="B90" s="830" t="s">
        <v>336</v>
      </c>
      <c r="C90" s="1063">
        <v>9.8000000000000004E-2</v>
      </c>
      <c r="D90" s="1063">
        <v>9.8000000000000004E-2</v>
      </c>
      <c r="E90" s="1063">
        <v>8.7999999999999995E-2</v>
      </c>
      <c r="F90" s="1075"/>
    </row>
    <row r="91" spans="1:6" ht="14.25" thickBot="1">
      <c r="A91" s="836" t="s">
        <v>523</v>
      </c>
      <c r="B91" s="830" t="s">
        <v>346</v>
      </c>
      <c r="C91" s="1063">
        <v>9.9000000000000005E-2</v>
      </c>
      <c r="D91" s="1063">
        <v>9.9000000000000005E-2</v>
      </c>
      <c r="E91" s="1063">
        <v>9.0999999999999998E-2</v>
      </c>
      <c r="F91" s="1075"/>
    </row>
    <row r="92" spans="1:6" ht="14.25" thickBot="1">
      <c r="A92" s="836" t="s">
        <v>523</v>
      </c>
      <c r="B92" s="830" t="s">
        <v>356</v>
      </c>
      <c r="C92" s="1063">
        <v>9.6000000000000002E-2</v>
      </c>
      <c r="D92" s="1063">
        <v>9.6000000000000002E-2</v>
      </c>
      <c r="E92" s="1063">
        <v>7.2999999999999995E-2</v>
      </c>
      <c r="F92" s="1075"/>
    </row>
    <row r="93" spans="1:6" ht="14.25" thickBot="1">
      <c r="A93" s="836" t="s">
        <v>523</v>
      </c>
      <c r="B93" s="830" t="s">
        <v>366</v>
      </c>
      <c r="C93" s="1063">
        <v>9.6000000000000002E-2</v>
      </c>
      <c r="D93" s="1063">
        <v>9.6000000000000002E-2</v>
      </c>
      <c r="E93" s="1063">
        <v>9.9000000000000005E-2</v>
      </c>
      <c r="F93" s="1075"/>
    </row>
    <row r="94" spans="1:6" ht="14.25" thickBot="1">
      <c r="A94" s="836" t="s">
        <v>523</v>
      </c>
      <c r="B94" s="830" t="s">
        <v>376</v>
      </c>
      <c r="C94" s="1063">
        <v>7.5999999999999998E-2</v>
      </c>
      <c r="D94" s="1063">
        <v>7.3999999999999996E-2</v>
      </c>
      <c r="E94" s="1063">
        <v>9.7000000000000003E-2</v>
      </c>
      <c r="F94" s="1075"/>
    </row>
    <row r="95" spans="1:6" ht="14.25" thickBot="1">
      <c r="A95" s="836" t="s">
        <v>523</v>
      </c>
      <c r="B95" s="830" t="s">
        <v>385</v>
      </c>
      <c r="C95" s="1063">
        <v>9.9000000000000005E-2</v>
      </c>
      <c r="D95" s="1063">
        <v>9.4E-2</v>
      </c>
      <c r="E95" s="1063">
        <v>9.6000000000000002E-2</v>
      </c>
      <c r="F95" s="1075"/>
    </row>
    <row r="96" spans="1:6" ht="14.25" thickBot="1">
      <c r="A96" s="836" t="s">
        <v>523</v>
      </c>
      <c r="B96" s="830" t="s">
        <v>394</v>
      </c>
      <c r="C96" s="1063">
        <v>9.9000000000000005E-2</v>
      </c>
      <c r="D96" s="1063">
        <v>9.9000000000000005E-2</v>
      </c>
      <c r="E96" s="1063">
        <v>9.9000000000000005E-2</v>
      </c>
      <c r="F96" s="1075"/>
    </row>
    <row r="97" spans="1:6" ht="14.25" thickBot="1">
      <c r="A97" s="836" t="s">
        <v>523</v>
      </c>
      <c r="B97" s="830" t="s">
        <v>402</v>
      </c>
      <c r="C97" s="1063">
        <v>9.8000000000000004E-2</v>
      </c>
      <c r="D97" s="1063">
        <v>9.8000000000000004E-2</v>
      </c>
      <c r="E97" s="1063">
        <v>9.7000000000000003E-2</v>
      </c>
      <c r="F97" s="1075"/>
    </row>
    <row r="98" spans="1:6" ht="14.25" thickBot="1">
      <c r="A98" s="836" t="s">
        <v>523</v>
      </c>
      <c r="B98" s="830" t="s">
        <v>409</v>
      </c>
      <c r="C98" s="1063">
        <v>0.1</v>
      </c>
      <c r="D98" s="1063">
        <v>0.1</v>
      </c>
      <c r="E98" s="1063">
        <v>9.7000000000000003E-2</v>
      </c>
      <c r="F98" s="1075"/>
    </row>
    <row r="99" spans="1:6" ht="14.25" thickBot="1">
      <c r="A99" s="836" t="s">
        <v>523</v>
      </c>
      <c r="B99" s="830" t="s">
        <v>416</v>
      </c>
      <c r="C99" s="1063">
        <v>0.1</v>
      </c>
      <c r="D99" s="1063">
        <v>0.1</v>
      </c>
      <c r="E99" s="1076"/>
      <c r="F99" s="1075"/>
    </row>
    <row r="100" spans="1:6" ht="14.25" thickBot="1">
      <c r="A100" s="836" t="s">
        <v>523</v>
      </c>
      <c r="B100" s="830" t="s">
        <v>423</v>
      </c>
      <c r="C100" s="1063">
        <v>0.09</v>
      </c>
      <c r="D100" s="1063">
        <v>8.8999999999999996E-2</v>
      </c>
      <c r="E100" s="1076"/>
      <c r="F100" s="1075"/>
    </row>
    <row r="101" spans="1:6" ht="14.25" thickBot="1">
      <c r="A101" s="836" t="s">
        <v>523</v>
      </c>
      <c r="B101" s="830" t="s">
        <v>430</v>
      </c>
      <c r="C101" s="1063">
        <v>9.8000000000000004E-2</v>
      </c>
      <c r="D101" s="1063">
        <v>9.7000000000000003E-2</v>
      </c>
      <c r="E101" s="1076"/>
      <c r="F101" s="1075"/>
    </row>
    <row r="102" spans="1:6" ht="14.25" thickBot="1">
      <c r="A102" s="836" t="s">
        <v>523</v>
      </c>
      <c r="B102" s="830" t="s">
        <v>890</v>
      </c>
      <c r="C102" s="1076"/>
      <c r="D102" s="1076"/>
      <c r="E102" s="1076"/>
      <c r="F102" s="1064">
        <v>0.05</v>
      </c>
    </row>
    <row r="103" spans="1:6" ht="24.75" thickBot="1">
      <c r="A103" s="836" t="s">
        <v>523</v>
      </c>
      <c r="B103" s="830" t="s">
        <v>891</v>
      </c>
      <c r="C103" s="1076"/>
      <c r="D103" s="1076"/>
      <c r="E103" s="1076"/>
      <c r="F103" s="1064">
        <v>0.05</v>
      </c>
    </row>
    <row r="104" spans="1:6" ht="14.25" thickBot="1">
      <c r="A104" s="836" t="s">
        <v>523</v>
      </c>
      <c r="B104" s="830" t="s">
        <v>892</v>
      </c>
      <c r="C104" s="1076"/>
      <c r="D104" s="1076"/>
      <c r="E104" s="1076"/>
      <c r="F104" s="1064">
        <v>0.05</v>
      </c>
    </row>
    <row r="105" spans="1:6" ht="14.25" thickBot="1">
      <c r="A105" s="836" t="s">
        <v>523</v>
      </c>
      <c r="B105" s="830" t="s">
        <v>893</v>
      </c>
      <c r="C105" s="1076"/>
      <c r="D105" s="1076"/>
      <c r="E105" s="1076"/>
      <c r="F105" s="1064">
        <v>0.05</v>
      </c>
    </row>
    <row r="106" spans="1:6" ht="14.25" thickBot="1">
      <c r="A106" s="836" t="s">
        <v>523</v>
      </c>
      <c r="B106" s="830" t="s">
        <v>894</v>
      </c>
      <c r="C106" s="1076"/>
      <c r="D106" s="1076"/>
      <c r="E106" s="1076"/>
      <c r="F106" s="1064">
        <v>0.05</v>
      </c>
    </row>
    <row r="107" spans="1:6" ht="24.75" thickBot="1">
      <c r="A107" s="836" t="s">
        <v>523</v>
      </c>
      <c r="B107" s="830" t="s">
        <v>895</v>
      </c>
      <c r="C107" s="1076"/>
      <c r="D107" s="1076"/>
      <c r="E107" s="1076"/>
      <c r="F107" s="1064">
        <v>0.05</v>
      </c>
    </row>
    <row r="108" spans="1:6" ht="24.75" thickBot="1">
      <c r="A108" s="836" t="s">
        <v>523</v>
      </c>
      <c r="B108" s="830" t="s">
        <v>896</v>
      </c>
      <c r="C108" s="1076"/>
      <c r="D108" s="1076"/>
      <c r="E108" s="1076"/>
      <c r="F108" s="1064">
        <v>0.05</v>
      </c>
    </row>
    <row r="109" spans="1:6" ht="24.75" thickBot="1">
      <c r="A109" s="846" t="s">
        <v>523</v>
      </c>
      <c r="B109" s="842" t="s">
        <v>897</v>
      </c>
      <c r="C109" s="1073"/>
      <c r="D109" s="1073"/>
      <c r="E109" s="1073"/>
      <c r="F109" s="1066">
        <v>0.05</v>
      </c>
    </row>
    <row r="110" spans="1:6" ht="14.25" thickBot="1">
      <c r="A110" s="836" t="s">
        <v>56</v>
      </c>
      <c r="B110" s="837" t="s">
        <v>898</v>
      </c>
      <c r="C110" s="1061">
        <v>0.129</v>
      </c>
      <c r="D110" s="1061">
        <v>0.129</v>
      </c>
      <c r="E110" s="1061">
        <v>0.126</v>
      </c>
      <c r="F110" s="1062">
        <v>0.13</v>
      </c>
    </row>
    <row r="111" spans="1:6" ht="14.25" thickBot="1">
      <c r="A111" s="836" t="s">
        <v>56</v>
      </c>
      <c r="B111" s="830" t="s">
        <v>192</v>
      </c>
      <c r="C111" s="1063">
        <v>0.11</v>
      </c>
      <c r="D111" s="1063">
        <v>0.11</v>
      </c>
      <c r="E111" s="1063">
        <v>9.9000000000000005E-2</v>
      </c>
      <c r="F111" s="1064">
        <v>0.128</v>
      </c>
    </row>
    <row r="112" spans="1:6" ht="14.25" thickBot="1">
      <c r="A112" s="836" t="s">
        <v>56</v>
      </c>
      <c r="B112" s="830" t="s">
        <v>205</v>
      </c>
      <c r="C112" s="1063">
        <v>0.125</v>
      </c>
      <c r="D112" s="1063">
        <v>0.125</v>
      </c>
      <c r="E112" s="1063">
        <v>0.12</v>
      </c>
      <c r="F112" s="1064">
        <v>0.125</v>
      </c>
    </row>
    <row r="113" spans="1:6" ht="14.25" thickBot="1">
      <c r="A113" s="836" t="s">
        <v>56</v>
      </c>
      <c r="B113" s="830" t="s">
        <v>218</v>
      </c>
      <c r="C113" s="1063">
        <v>0.13</v>
      </c>
      <c r="D113" s="1063">
        <v>0.13</v>
      </c>
      <c r="E113" s="1063">
        <v>0.13</v>
      </c>
      <c r="F113" s="1064">
        <v>0.13</v>
      </c>
    </row>
    <row r="114" spans="1:6" ht="14.25" thickBot="1">
      <c r="A114" s="836" t="s">
        <v>56</v>
      </c>
      <c r="B114" s="830" t="s">
        <v>230</v>
      </c>
      <c r="C114" s="1063">
        <v>0.123</v>
      </c>
      <c r="D114" s="1063">
        <v>0.123</v>
      </c>
      <c r="E114" s="1063">
        <v>0.12</v>
      </c>
      <c r="F114" s="1064">
        <v>0.13</v>
      </c>
    </row>
    <row r="115" spans="1:6" ht="14.25" thickBot="1">
      <c r="A115" s="836" t="s">
        <v>56</v>
      </c>
      <c r="B115" s="830" t="s">
        <v>241</v>
      </c>
      <c r="C115" s="1063">
        <v>0.125</v>
      </c>
      <c r="D115" s="1063">
        <v>0.125</v>
      </c>
      <c r="E115" s="1063">
        <v>0.11700000000000001</v>
      </c>
      <c r="F115" s="1064">
        <v>0.13</v>
      </c>
    </row>
    <row r="116" spans="1:6" ht="14.25" thickBot="1">
      <c r="A116" s="836" t="s">
        <v>56</v>
      </c>
      <c r="B116" s="830" t="s">
        <v>252</v>
      </c>
      <c r="C116" s="1063">
        <v>0.11700000000000001</v>
      </c>
      <c r="D116" s="1063">
        <v>0.11700000000000001</v>
      </c>
      <c r="E116" s="1063">
        <v>8.7999999999999995E-2</v>
      </c>
      <c r="F116" s="1064">
        <v>0.13</v>
      </c>
    </row>
    <row r="117" spans="1:6" ht="14.25" thickBot="1">
      <c r="A117" s="836" t="s">
        <v>56</v>
      </c>
      <c r="B117" s="830" t="s">
        <v>263</v>
      </c>
      <c r="C117" s="1063">
        <v>0.13</v>
      </c>
      <c r="D117" s="1063">
        <v>0.13</v>
      </c>
      <c r="E117" s="1063">
        <v>0.129</v>
      </c>
      <c r="F117" s="1064">
        <v>0.13</v>
      </c>
    </row>
    <row r="118" spans="1:6" ht="14.25" thickBot="1">
      <c r="A118" s="836" t="s">
        <v>56</v>
      </c>
      <c r="B118" s="830" t="s">
        <v>275</v>
      </c>
      <c r="C118" s="1063">
        <v>0.123</v>
      </c>
      <c r="D118" s="1063">
        <v>0.123</v>
      </c>
      <c r="E118" s="1063">
        <v>0.11600000000000001</v>
      </c>
      <c r="F118" s="1064">
        <v>0.13</v>
      </c>
    </row>
    <row r="119" spans="1:6" ht="14.25" thickBot="1">
      <c r="A119" s="836" t="s">
        <v>56</v>
      </c>
      <c r="B119" s="830" t="s">
        <v>285</v>
      </c>
      <c r="C119" s="1063">
        <v>0.127</v>
      </c>
      <c r="D119" s="1063">
        <v>0.127</v>
      </c>
      <c r="E119" s="1063">
        <v>0.124</v>
      </c>
      <c r="F119" s="1064">
        <v>0.13</v>
      </c>
    </row>
    <row r="120" spans="1:6" ht="14.25" thickBot="1">
      <c r="A120" s="836" t="s">
        <v>56</v>
      </c>
      <c r="B120" s="830" t="s">
        <v>295</v>
      </c>
      <c r="C120" s="1063">
        <v>0.125</v>
      </c>
      <c r="D120" s="1063">
        <v>0.125</v>
      </c>
      <c r="E120" s="1063">
        <v>0.122</v>
      </c>
      <c r="F120" s="1064">
        <v>0.13</v>
      </c>
    </row>
    <row r="121" spans="1:6" ht="14.25" thickBot="1">
      <c r="A121" s="836" t="s">
        <v>56</v>
      </c>
      <c r="B121" s="830" t="s">
        <v>305</v>
      </c>
      <c r="C121" s="1063">
        <v>0.13</v>
      </c>
      <c r="D121" s="1063">
        <v>0.13</v>
      </c>
      <c r="E121" s="1063">
        <v>0.13</v>
      </c>
      <c r="F121" s="1064">
        <v>0.13</v>
      </c>
    </row>
    <row r="122" spans="1:6" ht="14.25" thickBot="1">
      <c r="A122" s="836" t="s">
        <v>56</v>
      </c>
      <c r="B122" s="830" t="s">
        <v>315</v>
      </c>
      <c r="C122" s="1063">
        <v>0.13</v>
      </c>
      <c r="D122" s="1063">
        <v>0.13</v>
      </c>
      <c r="E122" s="1063">
        <v>0.125</v>
      </c>
      <c r="F122" s="1064">
        <v>0.13</v>
      </c>
    </row>
    <row r="123" spans="1:6" ht="14.25" thickBot="1">
      <c r="A123" s="836" t="s">
        <v>56</v>
      </c>
      <c r="B123" s="830" t="s">
        <v>326</v>
      </c>
      <c r="C123" s="1063">
        <v>0.129</v>
      </c>
      <c r="D123" s="1063">
        <v>0.129</v>
      </c>
      <c r="E123" s="1063">
        <v>0.123</v>
      </c>
      <c r="F123" s="1064">
        <v>0.13</v>
      </c>
    </row>
    <row r="124" spans="1:6" ht="14.25" thickBot="1">
      <c r="A124" s="836" t="s">
        <v>56</v>
      </c>
      <c r="B124" s="830" t="s">
        <v>337</v>
      </c>
      <c r="C124" s="1063">
        <v>0.10199999999999999</v>
      </c>
      <c r="D124" s="1063">
        <v>0.10100000000000001</v>
      </c>
      <c r="E124" s="1063">
        <v>0.08</v>
      </c>
      <c r="F124" s="1075"/>
    </row>
    <row r="125" spans="1:6" ht="14.25" thickBot="1">
      <c r="A125" s="836" t="s">
        <v>56</v>
      </c>
      <c r="B125" s="830" t="s">
        <v>347</v>
      </c>
      <c r="C125" s="1063">
        <v>0.13</v>
      </c>
      <c r="D125" s="1063">
        <v>0.13</v>
      </c>
      <c r="E125" s="1063">
        <v>0.129</v>
      </c>
      <c r="F125" s="1075"/>
    </row>
    <row r="126" spans="1:6" ht="14.25" thickBot="1">
      <c r="A126" s="836" t="s">
        <v>56</v>
      </c>
      <c r="B126" s="830" t="s">
        <v>357</v>
      </c>
      <c r="C126" s="1063">
        <v>0.13</v>
      </c>
      <c r="D126" s="1063">
        <v>0.13</v>
      </c>
      <c r="E126" s="1063">
        <v>0.126</v>
      </c>
      <c r="F126" s="1075"/>
    </row>
    <row r="127" spans="1:6" ht="14.25" thickBot="1">
      <c r="A127" s="836" t="s">
        <v>56</v>
      </c>
      <c r="B127" s="830" t="s">
        <v>367</v>
      </c>
      <c r="C127" s="1063">
        <v>0.125</v>
      </c>
      <c r="D127" s="1063">
        <v>0.125</v>
      </c>
      <c r="E127" s="1063">
        <v>0.121</v>
      </c>
      <c r="F127" s="1075"/>
    </row>
    <row r="128" spans="1:6" ht="14.25" thickBot="1">
      <c r="A128" s="836" t="s">
        <v>56</v>
      </c>
      <c r="B128" s="830" t="s">
        <v>377</v>
      </c>
      <c r="C128" s="1063">
        <v>0.12</v>
      </c>
      <c r="D128" s="1063">
        <v>0.12</v>
      </c>
      <c r="E128" s="1063">
        <v>0.105</v>
      </c>
      <c r="F128" s="1075"/>
    </row>
    <row r="129" spans="1:6" ht="14.25" thickBot="1">
      <c r="A129" s="836" t="s">
        <v>56</v>
      </c>
      <c r="B129" s="830" t="s">
        <v>386</v>
      </c>
      <c r="C129" s="1063">
        <v>0.13</v>
      </c>
      <c r="D129" s="1063">
        <v>0.13</v>
      </c>
      <c r="E129" s="1063">
        <v>0.126</v>
      </c>
      <c r="F129" s="1075"/>
    </row>
    <row r="130" spans="1:6" ht="14.25" thickBot="1">
      <c r="A130" s="836" t="s">
        <v>56</v>
      </c>
      <c r="B130" s="830" t="s">
        <v>395</v>
      </c>
      <c r="C130" s="1063">
        <v>0.125</v>
      </c>
      <c r="D130" s="1063">
        <v>0.125</v>
      </c>
      <c r="E130" s="1063">
        <v>0.122</v>
      </c>
      <c r="F130" s="1075"/>
    </row>
    <row r="131" spans="1:6" ht="14.25" thickBot="1">
      <c r="A131" s="836" t="s">
        <v>56</v>
      </c>
      <c r="B131" s="830" t="s">
        <v>403</v>
      </c>
      <c r="C131" s="1063">
        <v>0.127</v>
      </c>
      <c r="D131" s="1063">
        <v>0.126</v>
      </c>
      <c r="E131" s="1063">
        <v>0.123</v>
      </c>
      <c r="F131" s="1075"/>
    </row>
    <row r="132" spans="1:6" ht="14.25" thickBot="1">
      <c r="A132" s="836" t="s">
        <v>56</v>
      </c>
      <c r="B132" s="830" t="s">
        <v>410</v>
      </c>
      <c r="C132" s="1063">
        <v>9.0999999999999998E-2</v>
      </c>
      <c r="D132" s="1063">
        <v>0.121</v>
      </c>
      <c r="E132" s="1063">
        <v>9.9000000000000005E-2</v>
      </c>
      <c r="F132" s="1075"/>
    </row>
    <row r="133" spans="1:6" ht="14.25" thickBot="1">
      <c r="A133" s="836" t="s">
        <v>56</v>
      </c>
      <c r="B133" s="830" t="s">
        <v>417</v>
      </c>
      <c r="C133" s="1063">
        <v>0.13</v>
      </c>
      <c r="D133" s="1063">
        <v>0.13</v>
      </c>
      <c r="E133" s="1063">
        <v>0.129</v>
      </c>
      <c r="F133" s="1075"/>
    </row>
    <row r="134" spans="1:6" ht="14.25" thickBot="1">
      <c r="A134" s="836" t="s">
        <v>56</v>
      </c>
      <c r="B134" s="830" t="s">
        <v>899</v>
      </c>
      <c r="C134" s="1063">
        <v>6.8000000000000005E-2</v>
      </c>
      <c r="D134" s="1063">
        <v>6.5000000000000002E-2</v>
      </c>
      <c r="E134" s="1063">
        <v>6.5000000000000002E-2</v>
      </c>
      <c r="F134" s="1064">
        <v>0.13</v>
      </c>
    </row>
    <row r="135" spans="1:6" ht="14.25" thickBot="1">
      <c r="A135" s="836" t="s">
        <v>56</v>
      </c>
      <c r="B135" s="830" t="s">
        <v>431</v>
      </c>
      <c r="C135" s="1063">
        <v>0.123</v>
      </c>
      <c r="D135" s="1063">
        <v>0.123</v>
      </c>
      <c r="E135" s="1063">
        <v>0.11</v>
      </c>
      <c r="F135" s="1075"/>
    </row>
    <row r="136" spans="1:6" ht="14.25" thickBot="1">
      <c r="A136" s="836" t="s">
        <v>56</v>
      </c>
      <c r="B136" s="830" t="s">
        <v>438</v>
      </c>
      <c r="C136" s="1063">
        <v>0.13</v>
      </c>
      <c r="D136" s="1063">
        <v>0.13</v>
      </c>
      <c r="E136" s="1063">
        <v>0.125</v>
      </c>
      <c r="F136" s="1075"/>
    </row>
    <row r="137" spans="1:6" ht="14.25" thickBot="1">
      <c r="A137" s="836" t="s">
        <v>56</v>
      </c>
      <c r="B137" s="830" t="s">
        <v>445</v>
      </c>
      <c r="C137" s="1063">
        <v>0.121</v>
      </c>
      <c r="D137" s="1063">
        <v>0.122</v>
      </c>
      <c r="E137" s="1063">
        <v>0.115</v>
      </c>
      <c r="F137" s="1075"/>
    </row>
    <row r="138" spans="1:6" ht="14.25" thickBot="1">
      <c r="A138" s="836" t="s">
        <v>56</v>
      </c>
      <c r="B138" s="830" t="s">
        <v>900</v>
      </c>
      <c r="C138" s="1063">
        <v>0.105</v>
      </c>
      <c r="D138" s="1063">
        <v>0.125</v>
      </c>
      <c r="E138" s="1063">
        <v>0.112</v>
      </c>
      <c r="F138" s="1075"/>
    </row>
    <row r="139" spans="1:6" ht="14.25" thickBot="1">
      <c r="A139" s="836" t="s">
        <v>56</v>
      </c>
      <c r="B139" s="830" t="s">
        <v>901</v>
      </c>
      <c r="C139" s="1063">
        <v>0.127</v>
      </c>
      <c r="D139" s="1063">
        <v>0.127</v>
      </c>
      <c r="E139" s="1063">
        <v>0.122</v>
      </c>
      <c r="F139" s="1064">
        <v>0.13</v>
      </c>
    </row>
    <row r="140" spans="1:6" ht="14.25" thickBot="1">
      <c r="A140" s="836" t="s">
        <v>56</v>
      </c>
      <c r="B140" s="830" t="s">
        <v>902</v>
      </c>
      <c r="C140" s="1063">
        <v>0.125</v>
      </c>
      <c r="D140" s="1063">
        <v>0.125</v>
      </c>
      <c r="E140" s="1063">
        <v>0.11899999999999999</v>
      </c>
      <c r="F140" s="1064">
        <v>0.13</v>
      </c>
    </row>
    <row r="141" spans="1:6" ht="14.25" thickBot="1">
      <c r="A141" s="836" t="s">
        <v>56</v>
      </c>
      <c r="B141" s="830" t="s">
        <v>464</v>
      </c>
      <c r="C141" s="1063">
        <v>0.125</v>
      </c>
      <c r="D141" s="1063">
        <v>0.125</v>
      </c>
      <c r="E141" s="1063">
        <v>0.11700000000000001</v>
      </c>
      <c r="F141" s="1075"/>
    </row>
    <row r="142" spans="1:6" ht="14.25" thickBot="1">
      <c r="A142" s="836" t="s">
        <v>56</v>
      </c>
      <c r="B142" s="830" t="s">
        <v>469</v>
      </c>
      <c r="C142" s="1063">
        <v>0.125</v>
      </c>
      <c r="D142" s="1063">
        <v>0.125</v>
      </c>
      <c r="E142" s="1063">
        <v>0.115</v>
      </c>
      <c r="F142" s="1075"/>
    </row>
    <row r="143" spans="1:6" ht="14.25" thickBot="1">
      <c r="A143" s="836" t="s">
        <v>56</v>
      </c>
      <c r="B143" s="830" t="s">
        <v>474</v>
      </c>
      <c r="C143" s="1063">
        <v>0.121</v>
      </c>
      <c r="D143" s="1063">
        <v>0.121</v>
      </c>
      <c r="E143" s="1063">
        <v>0.108</v>
      </c>
      <c r="F143" s="1075"/>
    </row>
    <row r="144" spans="1:6" ht="14.25" thickBot="1">
      <c r="A144" s="836" t="s">
        <v>56</v>
      </c>
      <c r="B144" s="1067" t="s">
        <v>903</v>
      </c>
      <c r="C144" s="1068">
        <v>0.126</v>
      </c>
      <c r="D144" s="1068">
        <v>0.126</v>
      </c>
      <c r="E144" s="1068">
        <v>0.121</v>
      </c>
      <c r="F144" s="1075"/>
    </row>
    <row r="145" spans="1:6" ht="14.25" thickBot="1">
      <c r="A145" s="846" t="s">
        <v>56</v>
      </c>
      <c r="B145" s="1069" t="s">
        <v>904</v>
      </c>
      <c r="C145" s="1077"/>
      <c r="D145" s="1077"/>
      <c r="E145" s="1077"/>
      <c r="F145" s="1070">
        <v>0.05</v>
      </c>
    </row>
    <row r="146" spans="1:6" ht="24.75" thickBot="1">
      <c r="A146" s="1071" t="s">
        <v>56</v>
      </c>
      <c r="B146" s="840" t="s">
        <v>905</v>
      </c>
      <c r="C146" s="1076"/>
      <c r="D146" s="1076"/>
      <c r="E146" s="1076"/>
      <c r="F146" s="1072">
        <v>0.05</v>
      </c>
    </row>
    <row r="147" spans="1:6" ht="24.75" thickBot="1">
      <c r="A147" s="836" t="s">
        <v>56</v>
      </c>
      <c r="B147" s="830" t="s">
        <v>906</v>
      </c>
      <c r="C147" s="1076"/>
      <c r="D147" s="1076"/>
      <c r="E147" s="1076"/>
      <c r="F147" s="1064">
        <v>0.05</v>
      </c>
    </row>
    <row r="148" spans="1:6" ht="24.75" thickBot="1">
      <c r="A148" s="836" t="s">
        <v>56</v>
      </c>
      <c r="B148" s="830" t="s">
        <v>907</v>
      </c>
      <c r="C148" s="1076"/>
      <c r="D148" s="1076"/>
      <c r="E148" s="1076"/>
      <c r="F148" s="1064">
        <v>0.05</v>
      </c>
    </row>
    <row r="149" spans="1:6" ht="24.75" thickBot="1">
      <c r="A149" s="836" t="s">
        <v>56</v>
      </c>
      <c r="B149" s="830" t="s">
        <v>908</v>
      </c>
      <c r="C149" s="1076"/>
      <c r="D149" s="1076"/>
      <c r="E149" s="1076"/>
      <c r="F149" s="1064">
        <v>0.05</v>
      </c>
    </row>
    <row r="150" spans="1:6" ht="24.75" thickBot="1">
      <c r="A150" s="836" t="s">
        <v>56</v>
      </c>
      <c r="B150" s="830" t="s">
        <v>909</v>
      </c>
      <c r="C150" s="1076"/>
      <c r="D150" s="1076"/>
      <c r="E150" s="1076"/>
      <c r="F150" s="1064">
        <v>0.05</v>
      </c>
    </row>
    <row r="151" spans="1:6" ht="24.75" thickBot="1">
      <c r="A151" s="836" t="s">
        <v>56</v>
      </c>
      <c r="B151" s="830" t="s">
        <v>910</v>
      </c>
      <c r="C151" s="1076"/>
      <c r="D151" s="1076"/>
      <c r="E151" s="1076"/>
      <c r="F151" s="1064">
        <v>0.05</v>
      </c>
    </row>
    <row r="152" spans="1:6" ht="24.75" thickBot="1">
      <c r="A152" s="836" t="s">
        <v>56</v>
      </c>
      <c r="B152" s="830" t="s">
        <v>507</v>
      </c>
      <c r="C152" s="1076"/>
      <c r="D152" s="1076"/>
      <c r="E152" s="1076"/>
      <c r="F152" s="1064">
        <v>0.05</v>
      </c>
    </row>
    <row r="153" spans="1:6" ht="14.25" thickBot="1">
      <c r="A153" s="836" t="s">
        <v>56</v>
      </c>
      <c r="B153" s="830" t="s">
        <v>911</v>
      </c>
      <c r="C153" s="1076"/>
      <c r="D153" s="1076"/>
      <c r="E153" s="1076"/>
      <c r="F153" s="1064">
        <v>0.05</v>
      </c>
    </row>
    <row r="154" spans="1:6" ht="14.25" thickBot="1">
      <c r="A154" s="836" t="s">
        <v>56</v>
      </c>
      <c r="B154" s="830" t="s">
        <v>912</v>
      </c>
      <c r="C154" s="1076"/>
      <c r="D154" s="1076"/>
      <c r="E154" s="1076"/>
      <c r="F154" s="1064">
        <v>0.05</v>
      </c>
    </row>
    <row r="155" spans="1:6" ht="24.75" thickBot="1">
      <c r="A155" s="836" t="s">
        <v>56</v>
      </c>
      <c r="B155" s="830" t="s">
        <v>913</v>
      </c>
      <c r="C155" s="1076"/>
      <c r="D155" s="1076"/>
      <c r="E155" s="1076"/>
      <c r="F155" s="1064">
        <v>0.05</v>
      </c>
    </row>
    <row r="156" spans="1:6" ht="24.75" thickBot="1">
      <c r="A156" s="836" t="s">
        <v>56</v>
      </c>
      <c r="B156" s="830" t="s">
        <v>914</v>
      </c>
      <c r="C156" s="1076"/>
      <c r="D156" s="1076"/>
      <c r="E156" s="1076"/>
      <c r="F156" s="1064">
        <v>0.05</v>
      </c>
    </row>
    <row r="157" spans="1:6" ht="14.25" thickBot="1">
      <c r="A157" s="846" t="s">
        <v>56</v>
      </c>
      <c r="B157" s="842" t="s">
        <v>915</v>
      </c>
      <c r="C157" s="1073"/>
      <c r="D157" s="1073"/>
      <c r="E157" s="1073"/>
      <c r="F157" s="1066">
        <v>0.05</v>
      </c>
    </row>
    <row r="158" spans="1:6" ht="14.25" thickBot="1">
      <c r="A158" s="836" t="s">
        <v>526</v>
      </c>
      <c r="B158" s="837" t="s">
        <v>916</v>
      </c>
      <c r="C158" s="1061">
        <v>0.13</v>
      </c>
      <c r="D158" s="1061">
        <v>0.13</v>
      </c>
      <c r="E158" s="1061">
        <v>0.13</v>
      </c>
      <c r="F158" s="1062">
        <v>0.13</v>
      </c>
    </row>
    <row r="159" spans="1:6" ht="14.25" thickBot="1">
      <c r="A159" s="836" t="s">
        <v>526</v>
      </c>
      <c r="B159" s="830" t="s">
        <v>193</v>
      </c>
      <c r="C159" s="1063">
        <v>0.13</v>
      </c>
      <c r="D159" s="1063">
        <v>0.13</v>
      </c>
      <c r="E159" s="1063">
        <v>0.13</v>
      </c>
      <c r="F159" s="1064">
        <v>0.13</v>
      </c>
    </row>
    <row r="160" spans="1:6" ht="14.25" thickBot="1">
      <c r="A160" s="836" t="s">
        <v>526</v>
      </c>
      <c r="B160" s="830" t="s">
        <v>206</v>
      </c>
      <c r="C160" s="1063">
        <v>0.13</v>
      </c>
      <c r="D160" s="1063">
        <v>0.13</v>
      </c>
      <c r="E160" s="1063">
        <v>0.129</v>
      </c>
      <c r="F160" s="1064">
        <v>0.13</v>
      </c>
    </row>
    <row r="161" spans="1:6" ht="14.25" thickBot="1">
      <c r="A161" s="836" t="s">
        <v>526</v>
      </c>
      <c r="B161" s="830" t="s">
        <v>219</v>
      </c>
      <c r="C161" s="1063">
        <v>0.128</v>
      </c>
      <c r="D161" s="1063">
        <v>0.128</v>
      </c>
      <c r="E161" s="1063">
        <v>0.125</v>
      </c>
      <c r="F161" s="1064">
        <v>0.13</v>
      </c>
    </row>
    <row r="162" spans="1:6" ht="14.25" thickBot="1">
      <c r="A162" s="836" t="s">
        <v>526</v>
      </c>
      <c r="B162" s="830" t="s">
        <v>231</v>
      </c>
      <c r="C162" s="1063">
        <v>0.122</v>
      </c>
      <c r="D162" s="1063">
        <v>0.122</v>
      </c>
      <c r="E162" s="1063">
        <v>0.126</v>
      </c>
      <c r="F162" s="1064">
        <v>0.122</v>
      </c>
    </row>
    <row r="163" spans="1:6" ht="14.25" thickBot="1">
      <c r="A163" s="836" t="s">
        <v>526</v>
      </c>
      <c r="B163" s="830" t="s">
        <v>242</v>
      </c>
      <c r="C163" s="1063">
        <v>0.13</v>
      </c>
      <c r="D163" s="1063">
        <v>0.13</v>
      </c>
      <c r="E163" s="1063">
        <v>0.125</v>
      </c>
      <c r="F163" s="1064">
        <v>0.13</v>
      </c>
    </row>
    <row r="164" spans="1:6" ht="14.25" thickBot="1">
      <c r="A164" s="836" t="s">
        <v>526</v>
      </c>
      <c r="B164" s="830" t="s">
        <v>253</v>
      </c>
      <c r="C164" s="1063">
        <v>0.13</v>
      </c>
      <c r="D164" s="1063">
        <v>0.13</v>
      </c>
      <c r="E164" s="1063">
        <v>0.13</v>
      </c>
      <c r="F164" s="1064">
        <v>0.13</v>
      </c>
    </row>
    <row r="165" spans="1:6" ht="14.25" thickBot="1">
      <c r="A165" s="836" t="s">
        <v>526</v>
      </c>
      <c r="B165" s="830" t="s">
        <v>264</v>
      </c>
      <c r="C165" s="1063">
        <v>0.13</v>
      </c>
      <c r="D165" s="1063">
        <v>0.13</v>
      </c>
      <c r="E165" s="1063">
        <v>0.124</v>
      </c>
      <c r="F165" s="1064">
        <v>0.13</v>
      </c>
    </row>
    <row r="166" spans="1:6" ht="14.25" thickBot="1">
      <c r="A166" s="836" t="s">
        <v>526</v>
      </c>
      <c r="B166" s="830" t="s">
        <v>276</v>
      </c>
      <c r="C166" s="1063">
        <v>0.13</v>
      </c>
      <c r="D166" s="1063">
        <v>0.13</v>
      </c>
      <c r="E166" s="1063">
        <v>0.13</v>
      </c>
      <c r="F166" s="1064">
        <v>0.13</v>
      </c>
    </row>
    <row r="167" spans="1:6" ht="14.25" thickBot="1">
      <c r="A167" s="836" t="s">
        <v>526</v>
      </c>
      <c r="B167" s="830" t="s">
        <v>286</v>
      </c>
      <c r="C167" s="1063">
        <v>0.125</v>
      </c>
      <c r="D167" s="1063">
        <v>0.125</v>
      </c>
      <c r="E167" s="1063">
        <v>0.121</v>
      </c>
      <c r="F167" s="1075"/>
    </row>
    <row r="168" spans="1:6" ht="14.25" thickBot="1">
      <c r="A168" s="836" t="s">
        <v>526</v>
      </c>
      <c r="B168" s="830" t="s">
        <v>296</v>
      </c>
      <c r="C168" s="1063">
        <v>0.13</v>
      </c>
      <c r="D168" s="1063">
        <v>0.13</v>
      </c>
      <c r="E168" s="1063">
        <v>0.126</v>
      </c>
      <c r="F168" s="1075"/>
    </row>
    <row r="169" spans="1:6" ht="14.25" thickBot="1">
      <c r="A169" s="836" t="s">
        <v>526</v>
      </c>
      <c r="B169" s="830" t="s">
        <v>306</v>
      </c>
      <c r="C169" s="1063">
        <v>0.128</v>
      </c>
      <c r="D169" s="1063">
        <v>0.129</v>
      </c>
      <c r="E169" s="1063">
        <v>0.13</v>
      </c>
      <c r="F169" s="1075"/>
    </row>
    <row r="170" spans="1:6" ht="14.25" thickBot="1">
      <c r="A170" s="836" t="s">
        <v>526</v>
      </c>
      <c r="B170" s="830" t="s">
        <v>316</v>
      </c>
      <c r="C170" s="1063">
        <v>0.14099999999999999</v>
      </c>
      <c r="D170" s="1063">
        <v>0.13</v>
      </c>
      <c r="E170" s="1063">
        <v>0.125</v>
      </c>
      <c r="F170" s="1075"/>
    </row>
    <row r="171" spans="1:6" ht="14.25" thickBot="1">
      <c r="A171" s="836" t="s">
        <v>526</v>
      </c>
      <c r="B171" s="830" t="s">
        <v>917</v>
      </c>
      <c r="C171" s="1063">
        <v>0.127</v>
      </c>
      <c r="D171" s="1063">
        <v>0.126</v>
      </c>
      <c r="E171" s="1063">
        <v>0.126</v>
      </c>
      <c r="F171" s="1064">
        <v>0.11799999999999999</v>
      </c>
    </row>
    <row r="172" spans="1:6" ht="14.25" thickBot="1">
      <c r="A172" s="836" t="s">
        <v>526</v>
      </c>
      <c r="B172" s="830" t="s">
        <v>918</v>
      </c>
      <c r="C172" s="1063">
        <v>0.13</v>
      </c>
      <c r="D172" s="1063">
        <v>0.13</v>
      </c>
      <c r="E172" s="1063">
        <v>0.13</v>
      </c>
      <c r="F172" s="1075"/>
    </row>
    <row r="173" spans="1:6" ht="14.25" thickBot="1">
      <c r="A173" s="836" t="s">
        <v>526</v>
      </c>
      <c r="B173" s="830" t="s">
        <v>348</v>
      </c>
      <c r="C173" s="1063">
        <v>0.13</v>
      </c>
      <c r="D173" s="1063">
        <v>0.13</v>
      </c>
      <c r="E173" s="1063">
        <v>0.13</v>
      </c>
      <c r="F173" s="1075"/>
    </row>
    <row r="174" spans="1:6" ht="14.25" thickBot="1">
      <c r="A174" s="836" t="s">
        <v>526</v>
      </c>
      <c r="B174" s="830" t="s">
        <v>919</v>
      </c>
      <c r="C174" s="1063">
        <v>0.13</v>
      </c>
      <c r="D174" s="1063">
        <v>0.13</v>
      </c>
      <c r="E174" s="1063">
        <v>0.13</v>
      </c>
      <c r="F174" s="1064">
        <v>0.13</v>
      </c>
    </row>
    <row r="175" spans="1:6" ht="14.25" thickBot="1">
      <c r="A175" s="836" t="s">
        <v>526</v>
      </c>
      <c r="B175" s="830" t="s">
        <v>920</v>
      </c>
      <c r="C175" s="1063">
        <v>0.13</v>
      </c>
      <c r="D175" s="1063">
        <v>0.13</v>
      </c>
      <c r="E175" s="1063">
        <v>0.13</v>
      </c>
      <c r="F175" s="1064">
        <v>0.13</v>
      </c>
    </row>
    <row r="176" spans="1:6" ht="14.25" thickBot="1">
      <c r="A176" s="836" t="s">
        <v>526</v>
      </c>
      <c r="B176" s="830" t="s">
        <v>378</v>
      </c>
      <c r="C176" s="1063">
        <v>0.13</v>
      </c>
      <c r="D176" s="1063">
        <v>0.13</v>
      </c>
      <c r="E176" s="1063">
        <v>0.13</v>
      </c>
      <c r="F176" s="1064">
        <v>0.13</v>
      </c>
    </row>
    <row r="177" spans="1:6" ht="14.25" thickBot="1">
      <c r="A177" s="836" t="s">
        <v>526</v>
      </c>
      <c r="B177" s="830" t="s">
        <v>921</v>
      </c>
      <c r="C177" s="1063">
        <v>0.13</v>
      </c>
      <c r="D177" s="1063">
        <v>0.13</v>
      </c>
      <c r="E177" s="1063">
        <v>0.13</v>
      </c>
      <c r="F177" s="1064">
        <v>0.13</v>
      </c>
    </row>
    <row r="178" spans="1:6" ht="14.25" thickBot="1">
      <c r="A178" s="836" t="s">
        <v>526</v>
      </c>
      <c r="B178" s="830" t="s">
        <v>396</v>
      </c>
      <c r="C178" s="1063">
        <v>0.13</v>
      </c>
      <c r="D178" s="1063">
        <v>0.13</v>
      </c>
      <c r="E178" s="1063">
        <v>0.13</v>
      </c>
      <c r="F178" s="1064">
        <v>0.127</v>
      </c>
    </row>
    <row r="179" spans="1:6" ht="14.25" thickBot="1">
      <c r="A179" s="836" t="s">
        <v>526</v>
      </c>
      <c r="B179" s="830" t="s">
        <v>404</v>
      </c>
      <c r="C179" s="1063">
        <v>0.13</v>
      </c>
      <c r="D179" s="1063">
        <v>0.13</v>
      </c>
      <c r="E179" s="1063">
        <v>0.13</v>
      </c>
      <c r="F179" s="1075"/>
    </row>
    <row r="180" spans="1:6" ht="14.25" thickBot="1">
      <c r="A180" s="836" t="s">
        <v>526</v>
      </c>
      <c r="B180" s="830" t="s">
        <v>922</v>
      </c>
      <c r="C180" s="1063">
        <v>0.13</v>
      </c>
      <c r="D180" s="1063">
        <v>0.13</v>
      </c>
      <c r="E180" s="1063">
        <v>0.125</v>
      </c>
      <c r="F180" s="1064">
        <v>0.13</v>
      </c>
    </row>
    <row r="181" spans="1:6" ht="14.25" thickBot="1">
      <c r="A181" s="836" t="s">
        <v>526</v>
      </c>
      <c r="B181" s="830" t="s">
        <v>418</v>
      </c>
      <c r="C181" s="1063">
        <v>0.122</v>
      </c>
      <c r="D181" s="1063">
        <v>0.123</v>
      </c>
      <c r="E181" s="1063">
        <v>0.126</v>
      </c>
      <c r="F181" s="1064">
        <v>0.121</v>
      </c>
    </row>
    <row r="182" spans="1:6" ht="14.25" thickBot="1">
      <c r="A182" s="836" t="s">
        <v>526</v>
      </c>
      <c r="B182" s="830" t="s">
        <v>425</v>
      </c>
      <c r="C182" s="1063">
        <v>0.125</v>
      </c>
      <c r="D182" s="1063">
        <v>0.125</v>
      </c>
      <c r="E182" s="1063">
        <v>0.11700000000000001</v>
      </c>
      <c r="F182" s="1064">
        <v>0.13</v>
      </c>
    </row>
    <row r="183" spans="1:6" ht="14.25" thickBot="1">
      <c r="A183" s="836" t="s">
        <v>526</v>
      </c>
      <c r="B183" s="830" t="s">
        <v>432</v>
      </c>
      <c r="C183" s="1063">
        <v>0.127</v>
      </c>
      <c r="D183" s="1063">
        <v>0.127</v>
      </c>
      <c r="E183" s="1063">
        <v>0.128</v>
      </c>
      <c r="F183" s="1075"/>
    </row>
    <row r="184" spans="1:6" ht="14.25" thickBot="1">
      <c r="A184" s="836" t="s">
        <v>526</v>
      </c>
      <c r="B184" s="830" t="s">
        <v>439</v>
      </c>
      <c r="C184" s="1063">
        <v>0.125</v>
      </c>
      <c r="D184" s="1063">
        <v>0.125</v>
      </c>
      <c r="E184" s="1063">
        <v>0.127</v>
      </c>
      <c r="F184" s="1075"/>
    </row>
    <row r="185" spans="1:6" ht="14.25" thickBot="1">
      <c r="A185" s="836" t="s">
        <v>526</v>
      </c>
      <c r="B185" s="830" t="s">
        <v>923</v>
      </c>
      <c r="C185" s="1063">
        <v>0.127</v>
      </c>
      <c r="D185" s="1063">
        <v>0.127</v>
      </c>
      <c r="E185" s="1063">
        <v>0.128</v>
      </c>
      <c r="F185" s="1064">
        <v>0.13</v>
      </c>
    </row>
    <row r="186" spans="1:6" ht="24.75" thickBot="1">
      <c r="A186" s="836" t="s">
        <v>526</v>
      </c>
      <c r="B186" s="830" t="s">
        <v>924</v>
      </c>
      <c r="C186" s="1076"/>
      <c r="D186" s="1076"/>
      <c r="E186" s="1076"/>
      <c r="F186" s="1064">
        <v>0.05</v>
      </c>
    </row>
    <row r="187" spans="1:6" ht="14.25" thickBot="1">
      <c r="A187" s="836" t="s">
        <v>526</v>
      </c>
      <c r="B187" s="830" t="s">
        <v>925</v>
      </c>
      <c r="C187" s="1076"/>
      <c r="D187" s="1076"/>
      <c r="E187" s="1076"/>
      <c r="F187" s="1064">
        <v>0.05</v>
      </c>
    </row>
    <row r="188" spans="1:6" ht="14.25" thickBot="1">
      <c r="A188" s="836" t="s">
        <v>526</v>
      </c>
      <c r="B188" s="830" t="s">
        <v>926</v>
      </c>
      <c r="C188" s="1076"/>
      <c r="D188" s="1076"/>
      <c r="E188" s="1076"/>
      <c r="F188" s="1064">
        <v>0.05</v>
      </c>
    </row>
    <row r="189" spans="1:6" ht="24.75" thickBot="1">
      <c r="A189" s="836" t="s">
        <v>526</v>
      </c>
      <c r="B189" s="830" t="s">
        <v>927</v>
      </c>
      <c r="C189" s="1076"/>
      <c r="D189" s="1076"/>
      <c r="E189" s="1076"/>
      <c r="F189" s="1064">
        <v>0.05</v>
      </c>
    </row>
    <row r="190" spans="1:6" ht="24.75" thickBot="1">
      <c r="A190" s="836" t="s">
        <v>526</v>
      </c>
      <c r="B190" s="830" t="s">
        <v>928</v>
      </c>
      <c r="C190" s="1076"/>
      <c r="D190" s="1076"/>
      <c r="E190" s="1076"/>
      <c r="F190" s="1064">
        <v>0.05</v>
      </c>
    </row>
    <row r="191" spans="1:6" ht="24.75" thickBot="1">
      <c r="A191" s="836" t="s">
        <v>526</v>
      </c>
      <c r="B191" s="830" t="s">
        <v>929</v>
      </c>
      <c r="C191" s="1076"/>
      <c r="D191" s="1076"/>
      <c r="E191" s="1076"/>
      <c r="F191" s="1064">
        <v>0.05</v>
      </c>
    </row>
    <row r="192" spans="1:6" ht="24.75" thickBot="1">
      <c r="A192" s="836" t="s">
        <v>526</v>
      </c>
      <c r="B192" s="830" t="s">
        <v>930</v>
      </c>
      <c r="C192" s="1076"/>
      <c r="D192" s="1076"/>
      <c r="E192" s="1076"/>
      <c r="F192" s="1064">
        <v>0.05</v>
      </c>
    </row>
    <row r="193" spans="1:6" ht="24.75" thickBot="1">
      <c r="A193" s="836" t="s">
        <v>526</v>
      </c>
      <c r="B193" s="830" t="s">
        <v>931</v>
      </c>
      <c r="C193" s="1076"/>
      <c r="D193" s="1076"/>
      <c r="E193" s="1076"/>
      <c r="F193" s="1064">
        <v>0.05</v>
      </c>
    </row>
    <row r="194" spans="1:6" ht="24.75" thickBot="1">
      <c r="A194" s="836" t="s">
        <v>526</v>
      </c>
      <c r="B194" s="830" t="s">
        <v>932</v>
      </c>
      <c r="C194" s="1076"/>
      <c r="D194" s="1076"/>
      <c r="E194" s="1076"/>
      <c r="F194" s="1064">
        <v>0.05</v>
      </c>
    </row>
    <row r="195" spans="1:6" ht="14.25" thickBot="1">
      <c r="A195" s="836" t="s">
        <v>526</v>
      </c>
      <c r="B195" s="830" t="s">
        <v>933</v>
      </c>
      <c r="C195" s="1076"/>
      <c r="D195" s="1076"/>
      <c r="E195" s="1076"/>
      <c r="F195" s="1064">
        <v>0.05</v>
      </c>
    </row>
    <row r="196" spans="1:6" ht="24.75" thickBot="1">
      <c r="A196" s="836" t="s">
        <v>526</v>
      </c>
      <c r="B196" s="830" t="s">
        <v>934</v>
      </c>
      <c r="C196" s="1076"/>
      <c r="D196" s="1076"/>
      <c r="E196" s="1076"/>
      <c r="F196" s="1064">
        <v>0.05</v>
      </c>
    </row>
    <row r="197" spans="1:6" ht="24.75" thickBot="1">
      <c r="A197" s="836" t="s">
        <v>526</v>
      </c>
      <c r="B197" s="830" t="s">
        <v>935</v>
      </c>
      <c r="C197" s="1076"/>
      <c r="D197" s="1076"/>
      <c r="E197" s="1076"/>
      <c r="F197" s="1064">
        <v>0.05</v>
      </c>
    </row>
    <row r="198" spans="1:6" ht="24.75" thickBot="1">
      <c r="A198" s="836" t="s">
        <v>526</v>
      </c>
      <c r="B198" s="830" t="s">
        <v>936</v>
      </c>
      <c r="C198" s="1076"/>
      <c r="D198" s="1076"/>
      <c r="E198" s="1076"/>
      <c r="F198" s="1064">
        <v>0.05</v>
      </c>
    </row>
    <row r="199" spans="1:6" ht="24.75" thickBot="1">
      <c r="A199" s="836" t="s">
        <v>526</v>
      </c>
      <c r="B199" s="830" t="s">
        <v>937</v>
      </c>
      <c r="C199" s="1076"/>
      <c r="D199" s="1076"/>
      <c r="E199" s="1076"/>
      <c r="F199" s="1064">
        <v>0.05</v>
      </c>
    </row>
    <row r="200" spans="1:6" ht="24.75" thickBot="1">
      <c r="A200" s="836" t="s">
        <v>526</v>
      </c>
      <c r="B200" s="830" t="s">
        <v>938</v>
      </c>
      <c r="C200" s="1076"/>
      <c r="D200" s="1076"/>
      <c r="E200" s="1076"/>
      <c r="F200" s="1064">
        <v>0.05</v>
      </c>
    </row>
    <row r="201" spans="1:6" ht="24.75" thickBot="1">
      <c r="A201" s="836" t="s">
        <v>526</v>
      </c>
      <c r="B201" s="830" t="s">
        <v>939</v>
      </c>
      <c r="C201" s="1076"/>
      <c r="D201" s="1076"/>
      <c r="E201" s="1076"/>
      <c r="F201" s="1064">
        <v>0.05</v>
      </c>
    </row>
    <row r="202" spans="1:6" ht="24.75" thickBot="1">
      <c r="A202" s="836" t="s">
        <v>526</v>
      </c>
      <c r="B202" s="830" t="s">
        <v>940</v>
      </c>
      <c r="C202" s="1076"/>
      <c r="D202" s="1076"/>
      <c r="E202" s="1076"/>
      <c r="F202" s="1064">
        <v>0.05</v>
      </c>
    </row>
    <row r="203" spans="1:6" ht="24.75" thickBot="1">
      <c r="A203" s="836" t="s">
        <v>526</v>
      </c>
      <c r="B203" s="830" t="s">
        <v>941</v>
      </c>
      <c r="C203" s="1076"/>
      <c r="D203" s="1076"/>
      <c r="E203" s="1076"/>
      <c r="F203" s="1064">
        <v>0.05</v>
      </c>
    </row>
    <row r="204" spans="1:6" ht="14.25" thickBot="1">
      <c r="A204" s="836" t="s">
        <v>526</v>
      </c>
      <c r="B204" s="830" t="s">
        <v>942</v>
      </c>
      <c r="C204" s="1076"/>
      <c r="D204" s="1076"/>
      <c r="E204" s="1076"/>
      <c r="F204" s="1064">
        <v>0.05</v>
      </c>
    </row>
    <row r="205" spans="1:6" ht="14.25" thickBot="1">
      <c r="A205" s="846" t="s">
        <v>526</v>
      </c>
      <c r="B205" s="842" t="s">
        <v>943</v>
      </c>
      <c r="C205" s="1073"/>
      <c r="D205" s="1073"/>
      <c r="E205" s="1073"/>
      <c r="F205" s="1066">
        <v>0.05</v>
      </c>
    </row>
    <row r="206" spans="1:6" ht="14.25" thickBot="1">
      <c r="A206" s="836" t="s">
        <v>528</v>
      </c>
      <c r="B206" s="837" t="s">
        <v>944</v>
      </c>
      <c r="C206" s="1061">
        <v>0.15</v>
      </c>
      <c r="D206" s="1061">
        <v>0.15</v>
      </c>
      <c r="E206" s="1061">
        <v>0.15</v>
      </c>
      <c r="F206" s="1062">
        <v>0.15</v>
      </c>
    </row>
    <row r="207" spans="1:6" ht="14.25" thickBot="1">
      <c r="A207" s="836" t="s">
        <v>528</v>
      </c>
      <c r="B207" s="830" t="s">
        <v>194</v>
      </c>
      <c r="C207" s="1063">
        <v>0.15</v>
      </c>
      <c r="D207" s="1063">
        <v>0.15</v>
      </c>
      <c r="E207" s="1063">
        <v>0.15</v>
      </c>
      <c r="F207" s="1064">
        <v>0.14399999999999999</v>
      </c>
    </row>
    <row r="208" spans="1:6" ht="14.25" thickBot="1">
      <c r="A208" s="836" t="s">
        <v>528</v>
      </c>
      <c r="B208" s="830" t="s">
        <v>207</v>
      </c>
      <c r="C208" s="1063">
        <v>0.15</v>
      </c>
      <c r="D208" s="1063">
        <v>0.15</v>
      </c>
      <c r="E208" s="1063">
        <v>0.15</v>
      </c>
      <c r="F208" s="1064">
        <v>0.15</v>
      </c>
    </row>
    <row r="209" spans="1:6" ht="14.25" thickBot="1">
      <c r="A209" s="836" t="s">
        <v>528</v>
      </c>
      <c r="B209" s="830" t="s">
        <v>220</v>
      </c>
      <c r="C209" s="1063">
        <v>0.13700000000000001</v>
      </c>
      <c r="D209" s="1063">
        <v>0.13700000000000001</v>
      </c>
      <c r="E209" s="1063">
        <v>0.14000000000000001</v>
      </c>
      <c r="F209" s="1064">
        <v>0.11700000000000001</v>
      </c>
    </row>
    <row r="210" spans="1:6" ht="14.25" thickBot="1">
      <c r="A210" s="836" t="s">
        <v>528</v>
      </c>
      <c r="B210" s="830" t="s">
        <v>945</v>
      </c>
      <c r="C210" s="1063">
        <v>0.15</v>
      </c>
      <c r="D210" s="1063">
        <v>0.15</v>
      </c>
      <c r="E210" s="1063">
        <v>0.15</v>
      </c>
      <c r="F210" s="1064">
        <v>0.13800000000000001</v>
      </c>
    </row>
    <row r="211" spans="1:6" ht="14.25" thickBot="1">
      <c r="A211" s="836" t="s">
        <v>528</v>
      </c>
      <c r="B211" s="830" t="s">
        <v>946</v>
      </c>
      <c r="C211" s="1063">
        <v>0.13700000000000001</v>
      </c>
      <c r="D211" s="1063">
        <v>0.13500000000000001</v>
      </c>
      <c r="E211" s="1063">
        <v>0.13600000000000001</v>
      </c>
      <c r="F211" s="1064">
        <v>0.1</v>
      </c>
    </row>
    <row r="212" spans="1:6" ht="14.25" thickBot="1">
      <c r="A212" s="836" t="s">
        <v>528</v>
      </c>
      <c r="B212" s="830" t="s">
        <v>947</v>
      </c>
      <c r="C212" s="1063">
        <v>0.15</v>
      </c>
      <c r="D212" s="1063">
        <v>0.15</v>
      </c>
      <c r="E212" s="1063">
        <v>0.14799999999999999</v>
      </c>
      <c r="F212" s="1064">
        <v>0.13600000000000001</v>
      </c>
    </row>
    <row r="213" spans="1:6" ht="14.25" thickBot="1">
      <c r="A213" s="836" t="s">
        <v>528</v>
      </c>
      <c r="B213" s="830" t="s">
        <v>265</v>
      </c>
      <c r="C213" s="1063">
        <v>0.15</v>
      </c>
      <c r="D213" s="1063">
        <v>0.15</v>
      </c>
      <c r="E213" s="1063">
        <v>0.15</v>
      </c>
      <c r="F213" s="1064">
        <v>0.13800000000000001</v>
      </c>
    </row>
    <row r="214" spans="1:6" ht="14.25" thickBot="1">
      <c r="A214" s="836" t="s">
        <v>528</v>
      </c>
      <c r="B214" s="830" t="s">
        <v>277</v>
      </c>
      <c r="C214" s="1063">
        <v>9.0999999999999998E-2</v>
      </c>
      <c r="D214" s="1063">
        <v>0.09</v>
      </c>
      <c r="E214" s="1063">
        <v>9.1999999999999998E-2</v>
      </c>
      <c r="F214" s="1075"/>
    </row>
    <row r="215" spans="1:6" ht="14.25" thickBot="1">
      <c r="A215" s="836" t="s">
        <v>528</v>
      </c>
      <c r="B215" s="830" t="s">
        <v>948</v>
      </c>
      <c r="C215" s="1063">
        <v>0.15</v>
      </c>
      <c r="D215" s="1063">
        <v>0.15</v>
      </c>
      <c r="E215" s="1063">
        <v>0.15</v>
      </c>
      <c r="F215" s="1064">
        <v>0.15</v>
      </c>
    </row>
    <row r="216" spans="1:6" ht="14.25" thickBot="1">
      <c r="A216" s="836" t="s">
        <v>528</v>
      </c>
      <c r="B216" s="830" t="s">
        <v>297</v>
      </c>
      <c r="C216" s="1063">
        <v>0.14699999999999999</v>
      </c>
      <c r="D216" s="1063">
        <v>0.14699999999999999</v>
      </c>
      <c r="E216" s="1063">
        <v>0.15</v>
      </c>
      <c r="F216" s="1064">
        <v>0.14000000000000001</v>
      </c>
    </row>
    <row r="217" spans="1:6" ht="14.25" thickBot="1">
      <c r="A217" s="836" t="s">
        <v>528</v>
      </c>
      <c r="B217" s="830" t="s">
        <v>307</v>
      </c>
      <c r="C217" s="1063">
        <v>0.15</v>
      </c>
      <c r="D217" s="1063">
        <v>0.15</v>
      </c>
      <c r="E217" s="1063">
        <v>0.15</v>
      </c>
      <c r="F217" s="1064">
        <v>0.15</v>
      </c>
    </row>
    <row r="218" spans="1:6" ht="14.25" thickBot="1">
      <c r="A218" s="836" t="s">
        <v>528</v>
      </c>
      <c r="B218" s="830" t="s">
        <v>949</v>
      </c>
      <c r="C218" s="1063">
        <v>0.15</v>
      </c>
      <c r="D218" s="1063">
        <v>0.15</v>
      </c>
      <c r="E218" s="1063">
        <v>0.15</v>
      </c>
      <c r="F218" s="1064">
        <v>0.15</v>
      </c>
    </row>
    <row r="219" spans="1:6" ht="14.25" thickBot="1">
      <c r="A219" s="836" t="s">
        <v>528</v>
      </c>
      <c r="B219" s="830" t="s">
        <v>328</v>
      </c>
      <c r="C219" s="1063">
        <v>0.15</v>
      </c>
      <c r="D219" s="1063">
        <v>0.15</v>
      </c>
      <c r="E219" s="1063">
        <v>0.15</v>
      </c>
      <c r="F219" s="1064">
        <v>0.14799999999999999</v>
      </c>
    </row>
    <row r="220" spans="1:6" ht="14.25" thickBot="1">
      <c r="A220" s="836" t="s">
        <v>528</v>
      </c>
      <c r="B220" s="830" t="s">
        <v>950</v>
      </c>
      <c r="C220" s="1063">
        <v>0.15</v>
      </c>
      <c r="D220" s="1063">
        <v>0.15</v>
      </c>
      <c r="E220" s="1063">
        <v>0.15</v>
      </c>
      <c r="F220" s="1064">
        <v>0.15</v>
      </c>
    </row>
    <row r="221" spans="1:6" ht="14.25" thickBot="1">
      <c r="A221" s="836" t="s">
        <v>528</v>
      </c>
      <c r="B221" s="830" t="s">
        <v>349</v>
      </c>
      <c r="C221" s="1063"/>
      <c r="D221" s="1076"/>
      <c r="E221" s="1076"/>
      <c r="F221" s="1064">
        <v>0.14799999999999999</v>
      </c>
    </row>
    <row r="222" spans="1:6" ht="14.25" thickBot="1">
      <c r="A222" s="836" t="s">
        <v>528</v>
      </c>
      <c r="B222" s="830" t="s">
        <v>359</v>
      </c>
      <c r="C222" s="1063"/>
      <c r="D222" s="1076"/>
      <c r="E222" s="1076"/>
      <c r="F222" s="1064">
        <v>0.1</v>
      </c>
    </row>
    <row r="223" spans="1:6" ht="14.25" thickBot="1">
      <c r="A223" s="836" t="s">
        <v>528</v>
      </c>
      <c r="B223" s="830" t="s">
        <v>369</v>
      </c>
      <c r="C223" s="1063"/>
      <c r="D223" s="1076"/>
      <c r="E223" s="1076"/>
      <c r="F223" s="1064">
        <v>0.15</v>
      </c>
    </row>
    <row r="224" spans="1:6" ht="14.25" thickBot="1">
      <c r="A224" s="836" t="s">
        <v>528</v>
      </c>
      <c r="B224" s="830" t="s">
        <v>379</v>
      </c>
      <c r="C224" s="1063"/>
      <c r="D224" s="1076"/>
      <c r="E224" s="1076"/>
      <c r="F224" s="1064">
        <v>0.15</v>
      </c>
    </row>
    <row r="225" spans="1:6" ht="14.25" thickBot="1">
      <c r="A225" s="836" t="s">
        <v>528</v>
      </c>
      <c r="B225" s="830" t="s">
        <v>951</v>
      </c>
      <c r="C225" s="1063">
        <v>0.15</v>
      </c>
      <c r="D225" s="1063">
        <v>0.15</v>
      </c>
      <c r="E225" s="1063">
        <v>0.15</v>
      </c>
      <c r="F225" s="1064">
        <v>0.15</v>
      </c>
    </row>
    <row r="226" spans="1:6" ht="14.25" thickBot="1">
      <c r="A226" s="836" t="s">
        <v>528</v>
      </c>
      <c r="B226" s="830" t="s">
        <v>397</v>
      </c>
      <c r="C226" s="1063">
        <v>0.15</v>
      </c>
      <c r="D226" s="1063">
        <v>0.15</v>
      </c>
      <c r="E226" s="1063">
        <v>0.15</v>
      </c>
      <c r="F226" s="1064">
        <v>0.14799999999999999</v>
      </c>
    </row>
    <row r="227" spans="1:6" ht="14.25" thickBot="1">
      <c r="A227" s="836" t="s">
        <v>528</v>
      </c>
      <c r="B227" s="830" t="s">
        <v>952</v>
      </c>
      <c r="C227" s="1063">
        <v>0.15</v>
      </c>
      <c r="D227" s="1063">
        <v>0.15</v>
      </c>
      <c r="E227" s="1063">
        <v>0.15</v>
      </c>
      <c r="F227" s="1064">
        <v>0.15</v>
      </c>
    </row>
    <row r="228" spans="1:6" ht="14.25" thickBot="1">
      <c r="A228" s="836" t="s">
        <v>528</v>
      </c>
      <c r="B228" s="830" t="s">
        <v>412</v>
      </c>
      <c r="C228" s="1063">
        <v>0.15</v>
      </c>
      <c r="D228" s="1063">
        <v>0.15</v>
      </c>
      <c r="E228" s="1063">
        <v>0.15</v>
      </c>
      <c r="F228" s="1064">
        <v>0.15</v>
      </c>
    </row>
    <row r="229" spans="1:6" ht="14.25" thickBot="1">
      <c r="A229" s="836" t="s">
        <v>528</v>
      </c>
      <c r="B229" s="830" t="s">
        <v>419</v>
      </c>
      <c r="C229" s="1063">
        <v>0.15</v>
      </c>
      <c r="D229" s="1063">
        <v>0.15</v>
      </c>
      <c r="E229" s="1063">
        <v>0.15</v>
      </c>
      <c r="F229" s="1075"/>
    </row>
    <row r="230" spans="1:6" ht="14.25" thickBot="1">
      <c r="A230" s="836" t="s">
        <v>528</v>
      </c>
      <c r="B230" s="830" t="s">
        <v>426</v>
      </c>
      <c r="C230" s="1063">
        <v>0.14499999999999999</v>
      </c>
      <c r="D230" s="1063">
        <v>0.14499999999999999</v>
      </c>
      <c r="E230" s="1063">
        <v>0.14399999999999999</v>
      </c>
      <c r="F230" s="1075"/>
    </row>
    <row r="231" spans="1:6" ht="14.25" thickBot="1">
      <c r="A231" s="836" t="s">
        <v>528</v>
      </c>
      <c r="B231" s="830" t="s">
        <v>953</v>
      </c>
      <c r="C231" s="1063">
        <v>0.128</v>
      </c>
      <c r="D231" s="1063">
        <v>0.125</v>
      </c>
      <c r="E231" s="1063">
        <v>0.13200000000000001</v>
      </c>
      <c r="F231" s="1075"/>
    </row>
    <row r="232" spans="1:6" ht="14.25" thickBot="1">
      <c r="A232" s="836" t="s">
        <v>528</v>
      </c>
      <c r="B232" s="830" t="s">
        <v>954</v>
      </c>
      <c r="C232" s="1063">
        <v>0.14499999999999999</v>
      </c>
      <c r="D232" s="1063">
        <v>0.14399999999999999</v>
      </c>
      <c r="E232" s="1063">
        <v>0.14599999999999999</v>
      </c>
      <c r="F232" s="1064">
        <v>0.13800000000000001</v>
      </c>
    </row>
    <row r="233" spans="1:6" ht="14.25" thickBot="1">
      <c r="A233" s="836" t="s">
        <v>528</v>
      </c>
      <c r="B233" s="830" t="s">
        <v>955</v>
      </c>
      <c r="C233" s="1063">
        <v>0.14499999999999999</v>
      </c>
      <c r="D233" s="1063">
        <v>0.14299999999999999</v>
      </c>
      <c r="E233" s="1063">
        <v>0.14199999999999999</v>
      </c>
      <c r="F233" s="1075"/>
    </row>
    <row r="234" spans="1:6" ht="14.25" thickBot="1">
      <c r="A234" s="836" t="s">
        <v>528</v>
      </c>
      <c r="B234" s="830" t="s">
        <v>956</v>
      </c>
      <c r="C234" s="1063">
        <v>0.14000000000000001</v>
      </c>
      <c r="D234" s="1063">
        <v>0.14000000000000001</v>
      </c>
      <c r="E234" s="1063">
        <v>0.14399999999999999</v>
      </c>
      <c r="F234" s="1075"/>
    </row>
    <row r="235" spans="1:6" ht="14.25" thickBot="1">
      <c r="A235" s="836" t="s">
        <v>528</v>
      </c>
      <c r="B235" s="830" t="s">
        <v>957</v>
      </c>
      <c r="C235" s="1063">
        <v>0.14099999999999999</v>
      </c>
      <c r="D235" s="1063">
        <v>0.14199999999999999</v>
      </c>
      <c r="E235" s="1063">
        <v>0.14499999999999999</v>
      </c>
      <c r="F235" s="1064">
        <v>0.15</v>
      </c>
    </row>
    <row r="236" spans="1:6" ht="14.25" thickBot="1">
      <c r="A236" s="836" t="s">
        <v>528</v>
      </c>
      <c r="B236" s="830" t="s">
        <v>461</v>
      </c>
      <c r="C236" s="1076"/>
      <c r="D236" s="1076"/>
      <c r="E236" s="1076"/>
      <c r="F236" s="1064">
        <v>0.14299999999999999</v>
      </c>
    </row>
    <row r="237" spans="1:6" ht="24.75" thickBot="1">
      <c r="A237" s="836" t="s">
        <v>528</v>
      </c>
      <c r="B237" s="830" t="s">
        <v>958</v>
      </c>
      <c r="C237" s="1076"/>
      <c r="D237" s="1076"/>
      <c r="E237" s="1076"/>
      <c r="F237" s="1064">
        <v>0.05</v>
      </c>
    </row>
    <row r="238" spans="1:6" ht="24.75" thickBot="1">
      <c r="A238" s="836" t="s">
        <v>528</v>
      </c>
      <c r="B238" s="830" t="s">
        <v>959</v>
      </c>
      <c r="C238" s="1076"/>
      <c r="D238" s="1076"/>
      <c r="E238" s="1076"/>
      <c r="F238" s="1064">
        <v>0.05</v>
      </c>
    </row>
    <row r="239" spans="1:6" ht="24.75" thickBot="1">
      <c r="A239" s="836" t="s">
        <v>528</v>
      </c>
      <c r="B239" s="830" t="s">
        <v>960</v>
      </c>
      <c r="C239" s="1076"/>
      <c r="D239" s="1076"/>
      <c r="E239" s="1076"/>
      <c r="F239" s="1064">
        <v>0.05</v>
      </c>
    </row>
    <row r="240" spans="1:6" ht="24.75" thickBot="1">
      <c r="A240" s="836" t="s">
        <v>528</v>
      </c>
      <c r="B240" s="830" t="s">
        <v>961</v>
      </c>
      <c r="C240" s="1076"/>
      <c r="D240" s="1076"/>
      <c r="E240" s="1076"/>
      <c r="F240" s="1064">
        <v>0.05</v>
      </c>
    </row>
    <row r="241" spans="1:6" ht="24.75" thickBot="1">
      <c r="A241" s="836" t="s">
        <v>528</v>
      </c>
      <c r="B241" s="830" t="s">
        <v>962</v>
      </c>
      <c r="C241" s="1076"/>
      <c r="D241" s="1076"/>
      <c r="E241" s="1076"/>
      <c r="F241" s="1064">
        <v>0.05</v>
      </c>
    </row>
    <row r="242" spans="1:6" ht="24.75" thickBot="1">
      <c r="A242" s="836" t="s">
        <v>528</v>
      </c>
      <c r="B242" s="830" t="s">
        <v>963</v>
      </c>
      <c r="C242" s="1076"/>
      <c r="D242" s="1076"/>
      <c r="E242" s="1076"/>
      <c r="F242" s="1064">
        <v>0.05</v>
      </c>
    </row>
    <row r="243" spans="1:6" ht="24.75" thickBot="1">
      <c r="A243" s="836" t="s">
        <v>528</v>
      </c>
      <c r="B243" s="830" t="s">
        <v>964</v>
      </c>
      <c r="C243" s="1076"/>
      <c r="D243" s="1076"/>
      <c r="E243" s="1076"/>
      <c r="F243" s="1064">
        <v>0.05</v>
      </c>
    </row>
    <row r="244" spans="1:6" ht="24.75" thickBot="1">
      <c r="A244" s="846" t="s">
        <v>528</v>
      </c>
      <c r="B244" s="842" t="s">
        <v>965</v>
      </c>
      <c r="C244" s="1073"/>
      <c r="D244" s="1073"/>
      <c r="E244" s="1073"/>
      <c r="F244" s="1066">
        <v>0.05</v>
      </c>
    </row>
    <row r="245" spans="1:6" ht="14.25" thickBot="1">
      <c r="A245" s="836" t="s">
        <v>530</v>
      </c>
      <c r="B245" s="837" t="s">
        <v>966</v>
      </c>
      <c r="C245" s="1061">
        <v>0.15</v>
      </c>
      <c r="D245" s="1061">
        <v>0.15</v>
      </c>
      <c r="E245" s="1061">
        <v>0.15</v>
      </c>
      <c r="F245" s="1062">
        <v>0.14299999999999999</v>
      </c>
    </row>
    <row r="246" spans="1:6" ht="14.25" thickBot="1">
      <c r="A246" s="836" t="s">
        <v>530</v>
      </c>
      <c r="B246" s="830" t="s">
        <v>195</v>
      </c>
      <c r="C246" s="1063">
        <v>0.15</v>
      </c>
      <c r="D246" s="1063">
        <v>0.15</v>
      </c>
      <c r="E246" s="1063">
        <v>0.15</v>
      </c>
      <c r="F246" s="1064">
        <v>0.114</v>
      </c>
    </row>
    <row r="247" spans="1:6" ht="14.25" thickBot="1">
      <c r="A247" s="836" t="s">
        <v>530</v>
      </c>
      <c r="B247" s="830" t="s">
        <v>967</v>
      </c>
      <c r="C247" s="1063">
        <v>0.15</v>
      </c>
      <c r="D247" s="1063">
        <v>0.15</v>
      </c>
      <c r="E247" s="1063">
        <v>0.15</v>
      </c>
      <c r="F247" s="1064">
        <v>0.15</v>
      </c>
    </row>
    <row r="248" spans="1:6" ht="14.25" thickBot="1">
      <c r="A248" s="836" t="s">
        <v>530</v>
      </c>
      <c r="B248" s="830" t="s">
        <v>968</v>
      </c>
      <c r="C248" s="1063">
        <v>0.15</v>
      </c>
      <c r="D248" s="1063">
        <v>0.15</v>
      </c>
      <c r="E248" s="1063">
        <v>0.15</v>
      </c>
      <c r="F248" s="1064">
        <v>0.14000000000000001</v>
      </c>
    </row>
    <row r="249" spans="1:6" ht="14.25" thickBot="1">
      <c r="A249" s="836" t="s">
        <v>530</v>
      </c>
      <c r="B249" s="830" t="s">
        <v>969</v>
      </c>
      <c r="C249" s="1063">
        <v>0.15</v>
      </c>
      <c r="D249" s="1063">
        <v>0.14899999999999999</v>
      </c>
      <c r="E249" s="1063">
        <v>0.15</v>
      </c>
      <c r="F249" s="1064">
        <v>0.1</v>
      </c>
    </row>
    <row r="250" spans="1:6" ht="14.25" thickBot="1">
      <c r="A250" s="836" t="s">
        <v>530</v>
      </c>
      <c r="B250" s="830" t="s">
        <v>970</v>
      </c>
      <c r="C250" s="1063">
        <v>0.15</v>
      </c>
      <c r="D250" s="1063">
        <v>0.15</v>
      </c>
      <c r="E250" s="1063">
        <v>0.15</v>
      </c>
      <c r="F250" s="1064">
        <v>0.14399999999999999</v>
      </c>
    </row>
    <row r="251" spans="1:6" ht="14.25" thickBot="1">
      <c r="A251" s="836" t="s">
        <v>530</v>
      </c>
      <c r="B251" s="830" t="s">
        <v>255</v>
      </c>
      <c r="C251" s="1063">
        <v>0.15</v>
      </c>
      <c r="D251" s="1063">
        <v>0.15</v>
      </c>
      <c r="E251" s="1063">
        <v>0.15</v>
      </c>
      <c r="F251" s="1064">
        <v>0.14299999999999999</v>
      </c>
    </row>
    <row r="252" spans="1:6" ht="14.25" thickBot="1">
      <c r="A252" s="836" t="s">
        <v>530</v>
      </c>
      <c r="B252" s="830" t="s">
        <v>266</v>
      </c>
      <c r="C252" s="1063">
        <v>0.15</v>
      </c>
      <c r="D252" s="1063">
        <v>0.15</v>
      </c>
      <c r="E252" s="1063">
        <v>0.15</v>
      </c>
      <c r="F252" s="1064">
        <v>0.1</v>
      </c>
    </row>
    <row r="253" spans="1:6" ht="14.25" thickBot="1">
      <c r="A253" s="836" t="s">
        <v>530</v>
      </c>
      <c r="B253" s="830" t="s">
        <v>278</v>
      </c>
      <c r="C253" s="1063">
        <v>0.15</v>
      </c>
      <c r="D253" s="1063">
        <v>0.15</v>
      </c>
      <c r="E253" s="1063">
        <v>0.15</v>
      </c>
      <c r="F253" s="1064">
        <v>0.1</v>
      </c>
    </row>
    <row r="254" spans="1:6" ht="14.25" thickBot="1">
      <c r="A254" s="836" t="s">
        <v>530</v>
      </c>
      <c r="B254" s="830" t="s">
        <v>288</v>
      </c>
      <c r="C254" s="1076"/>
      <c r="D254" s="1076"/>
      <c r="E254" s="1076"/>
      <c r="F254" s="1064">
        <v>0.15</v>
      </c>
    </row>
    <row r="255" spans="1:6" ht="14.25" thickBot="1">
      <c r="A255" s="836" t="s">
        <v>530</v>
      </c>
      <c r="B255" s="830" t="s">
        <v>298</v>
      </c>
      <c r="C255" s="1076"/>
      <c r="D255" s="1076"/>
      <c r="E255" s="1076"/>
      <c r="F255" s="1064">
        <v>0.14299999999999999</v>
      </c>
    </row>
    <row r="256" spans="1:6" ht="14.25" thickBot="1">
      <c r="A256" s="836" t="s">
        <v>530</v>
      </c>
      <c r="B256" s="830" t="s">
        <v>971</v>
      </c>
      <c r="C256" s="1063">
        <v>0.14599999999999999</v>
      </c>
      <c r="D256" s="1063">
        <v>0.14699999999999999</v>
      </c>
      <c r="E256" s="1063">
        <v>0.15</v>
      </c>
      <c r="F256" s="1064">
        <v>0.13200000000000001</v>
      </c>
    </row>
    <row r="257" spans="1:6" ht="14.25" thickBot="1">
      <c r="A257" s="836" t="s">
        <v>530</v>
      </c>
      <c r="B257" s="830" t="s">
        <v>318</v>
      </c>
      <c r="C257" s="1063">
        <v>0.15</v>
      </c>
      <c r="D257" s="1063">
        <v>0.15</v>
      </c>
      <c r="E257" s="1063">
        <v>0.15</v>
      </c>
      <c r="F257" s="1064">
        <v>0.13900000000000001</v>
      </c>
    </row>
    <row r="258" spans="1:6" ht="14.25" thickBot="1">
      <c r="A258" s="836" t="s">
        <v>530</v>
      </c>
      <c r="B258" s="830" t="s">
        <v>329</v>
      </c>
      <c r="C258" s="1063">
        <v>0.15</v>
      </c>
      <c r="D258" s="1063">
        <v>0.15</v>
      </c>
      <c r="E258" s="1063">
        <v>0.15</v>
      </c>
      <c r="F258" s="1064">
        <v>0.13</v>
      </c>
    </row>
    <row r="259" spans="1:6" ht="14.25" thickBot="1">
      <c r="A259" s="836" t="s">
        <v>530</v>
      </c>
      <c r="B259" s="830" t="s">
        <v>972</v>
      </c>
      <c r="C259" s="1063">
        <v>0.14799999999999999</v>
      </c>
      <c r="D259" s="1063">
        <v>0.14899999999999999</v>
      </c>
      <c r="E259" s="1063">
        <v>0.15</v>
      </c>
      <c r="F259" s="1064">
        <v>0.13700000000000001</v>
      </c>
    </row>
    <row r="260" spans="1:6" ht="14.25" thickBot="1">
      <c r="A260" s="836" t="s">
        <v>530</v>
      </c>
      <c r="B260" s="830" t="s">
        <v>350</v>
      </c>
      <c r="C260" s="1063">
        <v>0.15</v>
      </c>
      <c r="D260" s="1063">
        <v>0.15</v>
      </c>
      <c r="E260" s="1063">
        <v>0.15</v>
      </c>
      <c r="F260" s="1064">
        <v>0.14199999999999999</v>
      </c>
    </row>
    <row r="261" spans="1:6" ht="14.25" thickBot="1">
      <c r="A261" s="836" t="s">
        <v>530</v>
      </c>
      <c r="B261" s="830" t="s">
        <v>360</v>
      </c>
      <c r="C261" s="1063">
        <v>0.15</v>
      </c>
      <c r="D261" s="1063">
        <v>0.15</v>
      </c>
      <c r="E261" s="1063">
        <v>0.14899999999999999</v>
      </c>
      <c r="F261" s="1064">
        <v>0.14799999999999999</v>
      </c>
    </row>
    <row r="262" spans="1:6" ht="14.25" thickBot="1">
      <c r="A262" s="836" t="s">
        <v>530</v>
      </c>
      <c r="B262" s="830" t="s">
        <v>370</v>
      </c>
      <c r="C262" s="1063">
        <v>0.15</v>
      </c>
      <c r="D262" s="1063">
        <v>0.15</v>
      </c>
      <c r="E262" s="1063">
        <v>0.15</v>
      </c>
      <c r="F262" s="1075"/>
    </row>
    <row r="263" spans="1:6" ht="14.25" thickBot="1">
      <c r="A263" s="836" t="s">
        <v>530</v>
      </c>
      <c r="B263" s="830" t="s">
        <v>973</v>
      </c>
      <c r="C263" s="1063">
        <v>0.14899999999999999</v>
      </c>
      <c r="D263" s="1063">
        <v>0.14899999999999999</v>
      </c>
      <c r="E263" s="1063">
        <v>0.15</v>
      </c>
      <c r="F263" s="1064">
        <v>0.13</v>
      </c>
    </row>
    <row r="264" spans="1:6" ht="14.25" thickBot="1">
      <c r="A264" s="836" t="s">
        <v>530</v>
      </c>
      <c r="B264" s="830" t="s">
        <v>389</v>
      </c>
      <c r="C264" s="1063">
        <v>0.14799999999999999</v>
      </c>
      <c r="D264" s="1063">
        <v>0.14699999999999999</v>
      </c>
      <c r="E264" s="1063">
        <v>0.15</v>
      </c>
      <c r="F264" s="1064">
        <v>7.8E-2</v>
      </c>
    </row>
    <row r="265" spans="1:6" ht="14.25" thickBot="1">
      <c r="A265" s="836" t="s">
        <v>530</v>
      </c>
      <c r="B265" s="830" t="s">
        <v>398</v>
      </c>
      <c r="C265" s="1063">
        <v>0.15</v>
      </c>
      <c r="D265" s="1063">
        <v>0.15</v>
      </c>
      <c r="E265" s="1063">
        <v>0.15</v>
      </c>
      <c r="F265" s="1064">
        <v>7.3999999999999996E-2</v>
      </c>
    </row>
    <row r="266" spans="1:6" ht="14.25" thickBot="1">
      <c r="A266" s="836" t="s">
        <v>530</v>
      </c>
      <c r="B266" s="830" t="s">
        <v>406</v>
      </c>
      <c r="C266" s="1063">
        <v>0.14699999999999999</v>
      </c>
      <c r="D266" s="1063">
        <v>0.14699999999999999</v>
      </c>
      <c r="E266" s="1063">
        <v>0.15</v>
      </c>
      <c r="F266" s="1064">
        <v>0.14299999999999999</v>
      </c>
    </row>
    <row r="267" spans="1:6" ht="14.25" thickBot="1">
      <c r="A267" s="836" t="s">
        <v>530</v>
      </c>
      <c r="B267" s="830" t="s">
        <v>413</v>
      </c>
      <c r="C267" s="1063">
        <v>0.14199999999999999</v>
      </c>
      <c r="D267" s="1063">
        <v>0.14299999999999999</v>
      </c>
      <c r="E267" s="1063">
        <v>0.15</v>
      </c>
      <c r="F267" s="1075"/>
    </row>
    <row r="268" spans="1:6" ht="14.25" thickBot="1">
      <c r="A268" s="836" t="s">
        <v>530</v>
      </c>
      <c r="B268" s="830" t="s">
        <v>974</v>
      </c>
      <c r="C268" s="1063">
        <v>0.15</v>
      </c>
      <c r="D268" s="1063">
        <v>0.15</v>
      </c>
      <c r="E268" s="1063">
        <v>0.15</v>
      </c>
      <c r="F268" s="1064">
        <v>0.13</v>
      </c>
    </row>
    <row r="269" spans="1:6" ht="14.25" thickBot="1">
      <c r="A269" s="836" t="s">
        <v>530</v>
      </c>
      <c r="B269" s="830" t="s">
        <v>427</v>
      </c>
      <c r="C269" s="1063">
        <v>0.15</v>
      </c>
      <c r="D269" s="1063">
        <v>0.15</v>
      </c>
      <c r="E269" s="1063">
        <v>0.15</v>
      </c>
      <c r="F269" s="1064">
        <v>0.14299999999999999</v>
      </c>
    </row>
    <row r="270" spans="1:6" ht="14.25" thickBot="1">
      <c r="A270" s="836" t="s">
        <v>530</v>
      </c>
      <c r="B270" s="830" t="s">
        <v>434</v>
      </c>
      <c r="C270" s="1063">
        <v>0.14499999999999999</v>
      </c>
      <c r="D270" s="1063">
        <v>0.14499999999999999</v>
      </c>
      <c r="E270" s="1063">
        <v>0.15</v>
      </c>
      <c r="F270" s="1064">
        <v>0.14699999999999999</v>
      </c>
    </row>
    <row r="271" spans="1:6" ht="14.25" thickBot="1">
      <c r="A271" s="836" t="s">
        <v>530</v>
      </c>
      <c r="B271" s="830" t="s">
        <v>441</v>
      </c>
      <c r="C271" s="1063">
        <v>0.15</v>
      </c>
      <c r="D271" s="1063">
        <v>0.15</v>
      </c>
      <c r="E271" s="1063">
        <v>0.15</v>
      </c>
      <c r="F271" s="1064">
        <v>0.13800000000000001</v>
      </c>
    </row>
    <row r="272" spans="1:6" ht="14.25" thickBot="1">
      <c r="A272" s="836" t="s">
        <v>530</v>
      </c>
      <c r="B272" s="830" t="s">
        <v>448</v>
      </c>
      <c r="C272" s="1076"/>
      <c r="D272" s="1076"/>
      <c r="E272" s="1076"/>
      <c r="F272" s="1064">
        <v>0.14000000000000001</v>
      </c>
    </row>
    <row r="273" spans="1:6" ht="14.25" thickBot="1">
      <c r="A273" s="836" t="s">
        <v>530</v>
      </c>
      <c r="B273" s="830" t="s">
        <v>975</v>
      </c>
      <c r="C273" s="1063">
        <v>0.14199999999999999</v>
      </c>
      <c r="D273" s="1063">
        <v>0.14299999999999999</v>
      </c>
      <c r="E273" s="1063">
        <v>0.15</v>
      </c>
      <c r="F273" s="1064">
        <v>0.1</v>
      </c>
    </row>
    <row r="274" spans="1:6" ht="14.25" thickBot="1">
      <c r="A274" s="836" t="s">
        <v>530</v>
      </c>
      <c r="B274" s="830" t="s">
        <v>976</v>
      </c>
      <c r="C274" s="1063">
        <v>0.14799999999999999</v>
      </c>
      <c r="D274" s="1063">
        <v>0.14799999999999999</v>
      </c>
      <c r="E274" s="1063">
        <v>0.15</v>
      </c>
      <c r="F274" s="1064">
        <v>6.7000000000000004E-2</v>
      </c>
    </row>
    <row r="275" spans="1:6" ht="14.25" thickBot="1">
      <c r="A275" s="836" t="s">
        <v>530</v>
      </c>
      <c r="B275" s="830" t="s">
        <v>977</v>
      </c>
      <c r="C275" s="1063">
        <v>0.15</v>
      </c>
      <c r="D275" s="1063">
        <v>0.15</v>
      </c>
      <c r="E275" s="1063">
        <v>0.15</v>
      </c>
      <c r="F275" s="1064">
        <v>0.15</v>
      </c>
    </row>
    <row r="276" spans="1:6" ht="14.25" thickBot="1">
      <c r="A276" s="836" t="s">
        <v>530</v>
      </c>
      <c r="B276" s="830" t="s">
        <v>978</v>
      </c>
      <c r="C276" s="1063">
        <v>0.14499999999999999</v>
      </c>
      <c r="D276" s="1063">
        <v>0.14299999999999999</v>
      </c>
      <c r="E276" s="1063">
        <v>0.15</v>
      </c>
      <c r="F276" s="1064">
        <v>5.8999999999999997E-2</v>
      </c>
    </row>
    <row r="277" spans="1:6" ht="14.25" thickBot="1">
      <c r="A277" s="836" t="s">
        <v>530</v>
      </c>
      <c r="B277" s="830" t="s">
        <v>979</v>
      </c>
      <c r="C277" s="1063">
        <v>0.15</v>
      </c>
      <c r="D277" s="1063">
        <v>0.15</v>
      </c>
      <c r="E277" s="1063">
        <v>0.15</v>
      </c>
      <c r="F277" s="1064">
        <v>0.121</v>
      </c>
    </row>
    <row r="278" spans="1:6" ht="14.25" thickBot="1">
      <c r="A278" s="836" t="s">
        <v>530</v>
      </c>
      <c r="B278" s="830" t="s">
        <v>980</v>
      </c>
      <c r="C278" s="1063">
        <v>0.15</v>
      </c>
      <c r="D278" s="1063">
        <v>0.15</v>
      </c>
      <c r="E278" s="1063">
        <v>0.15</v>
      </c>
      <c r="F278" s="1064">
        <v>0.13800000000000001</v>
      </c>
    </row>
    <row r="279" spans="1:6" ht="24.75" thickBot="1">
      <c r="A279" s="836" t="s">
        <v>530</v>
      </c>
      <c r="B279" s="830" t="s">
        <v>981</v>
      </c>
      <c r="C279" s="1076"/>
      <c r="D279" s="1076"/>
      <c r="E279" s="1076"/>
      <c r="F279" s="1064">
        <v>0.05</v>
      </c>
    </row>
    <row r="280" spans="1:6" ht="24.75" thickBot="1">
      <c r="A280" s="836" t="s">
        <v>530</v>
      </c>
      <c r="B280" s="830" t="s">
        <v>982</v>
      </c>
      <c r="C280" s="1076"/>
      <c r="D280" s="1076"/>
      <c r="E280" s="1076"/>
      <c r="F280" s="1064">
        <v>0.05</v>
      </c>
    </row>
    <row r="281" spans="1:6" ht="24.75" thickBot="1">
      <c r="A281" s="836" t="s">
        <v>530</v>
      </c>
      <c r="B281" s="830" t="s">
        <v>983</v>
      </c>
      <c r="C281" s="1076"/>
      <c r="D281" s="1076"/>
      <c r="E281" s="1076"/>
      <c r="F281" s="1064">
        <v>0.05</v>
      </c>
    </row>
    <row r="282" spans="1:6" ht="24.75" thickBot="1">
      <c r="A282" s="836" t="s">
        <v>530</v>
      </c>
      <c r="B282" s="830" t="s">
        <v>984</v>
      </c>
      <c r="C282" s="1076"/>
      <c r="D282" s="1076"/>
      <c r="E282" s="1076"/>
      <c r="F282" s="1064">
        <v>0.05</v>
      </c>
    </row>
    <row r="283" spans="1:6" ht="24.75" thickBot="1">
      <c r="A283" s="836" t="s">
        <v>530</v>
      </c>
      <c r="B283" s="830" t="s">
        <v>985</v>
      </c>
      <c r="C283" s="1076"/>
      <c r="D283" s="1076"/>
      <c r="E283" s="1076"/>
      <c r="F283" s="1064">
        <v>0.05</v>
      </c>
    </row>
    <row r="284" spans="1:6" ht="24.75" thickBot="1">
      <c r="A284" s="836" t="s">
        <v>530</v>
      </c>
      <c r="B284" s="830" t="s">
        <v>986</v>
      </c>
      <c r="C284" s="1076"/>
      <c r="D284" s="1076"/>
      <c r="E284" s="1076"/>
      <c r="F284" s="1064">
        <v>0.05</v>
      </c>
    </row>
    <row r="285" spans="1:6" ht="24.75" thickBot="1">
      <c r="A285" s="836" t="s">
        <v>530</v>
      </c>
      <c r="B285" s="830" t="s">
        <v>987</v>
      </c>
      <c r="C285" s="1076"/>
      <c r="D285" s="1076"/>
      <c r="E285" s="1076"/>
      <c r="F285" s="1064">
        <v>0.05</v>
      </c>
    </row>
    <row r="286" spans="1:6" ht="24.75" thickBot="1">
      <c r="A286" s="836" t="s">
        <v>530</v>
      </c>
      <c r="B286" s="830" t="s">
        <v>988</v>
      </c>
      <c r="C286" s="1076"/>
      <c r="D286" s="1076"/>
      <c r="E286" s="1076"/>
      <c r="F286" s="1064">
        <v>0.05</v>
      </c>
    </row>
    <row r="287" spans="1:6" ht="24.75" thickBot="1">
      <c r="A287" s="836" t="s">
        <v>530</v>
      </c>
      <c r="B287" s="830" t="s">
        <v>989</v>
      </c>
      <c r="C287" s="1076"/>
      <c r="D287" s="1076"/>
      <c r="E287" s="1076"/>
      <c r="F287" s="1064">
        <v>0.05</v>
      </c>
    </row>
    <row r="288" spans="1:6" ht="24.75" thickBot="1">
      <c r="A288" s="836" t="s">
        <v>530</v>
      </c>
      <c r="B288" s="830" t="s">
        <v>990</v>
      </c>
      <c r="C288" s="1076"/>
      <c r="D288" s="1076"/>
      <c r="E288" s="1076"/>
      <c r="F288" s="1064">
        <v>0.05</v>
      </c>
    </row>
    <row r="289" spans="1:6" ht="24.75" thickBot="1">
      <c r="A289" s="846" t="s">
        <v>530</v>
      </c>
      <c r="B289" s="842" t="s">
        <v>991</v>
      </c>
      <c r="C289" s="1073"/>
      <c r="D289" s="1073"/>
      <c r="E289" s="1073"/>
      <c r="F289" s="1066">
        <v>0.05</v>
      </c>
    </row>
    <row r="290" spans="1:6" ht="14.25" thickBot="1">
      <c r="A290" s="836" t="s">
        <v>534</v>
      </c>
      <c r="B290" s="837" t="s">
        <v>992</v>
      </c>
      <c r="C290" s="1061">
        <v>0.15</v>
      </c>
      <c r="D290" s="1061">
        <v>0.15</v>
      </c>
      <c r="E290" s="1061">
        <v>0.15</v>
      </c>
      <c r="F290" s="1078"/>
    </row>
    <row r="291" spans="1:6" ht="14.25" thickBot="1">
      <c r="A291" s="836" t="s">
        <v>534</v>
      </c>
      <c r="B291" s="830" t="s">
        <v>196</v>
      </c>
      <c r="C291" s="1063">
        <v>0.15</v>
      </c>
      <c r="D291" s="1063">
        <v>0.15</v>
      </c>
      <c r="E291" s="1063">
        <v>0.15</v>
      </c>
      <c r="F291" s="1075"/>
    </row>
    <row r="292" spans="1:6" ht="14.25" thickBot="1">
      <c r="A292" s="836" t="s">
        <v>534</v>
      </c>
      <c r="B292" s="830" t="s">
        <v>993</v>
      </c>
      <c r="C292" s="1063">
        <v>0.15</v>
      </c>
      <c r="D292" s="1063">
        <v>0.15</v>
      </c>
      <c r="E292" s="1063">
        <v>0.15</v>
      </c>
      <c r="F292" s="1064">
        <v>0.14699999999999999</v>
      </c>
    </row>
    <row r="293" spans="1:6" ht="14.25" thickBot="1">
      <c r="A293" s="836" t="s">
        <v>534</v>
      </c>
      <c r="B293" s="830" t="s">
        <v>994</v>
      </c>
      <c r="C293" s="1076"/>
      <c r="D293" s="1076"/>
      <c r="E293" s="1076"/>
      <c r="F293" s="1064">
        <v>0.1</v>
      </c>
    </row>
    <row r="294" spans="1:6" ht="14.25" thickBot="1">
      <c r="A294" s="836" t="s">
        <v>534</v>
      </c>
      <c r="B294" s="830" t="s">
        <v>995</v>
      </c>
      <c r="C294" s="1063">
        <v>0.15</v>
      </c>
      <c r="D294" s="1063">
        <v>0.15</v>
      </c>
      <c r="E294" s="1063">
        <v>0.15</v>
      </c>
      <c r="F294" s="1064">
        <v>0.15</v>
      </c>
    </row>
    <row r="295" spans="1:6" ht="14.25" thickBot="1">
      <c r="A295" s="836" t="s">
        <v>534</v>
      </c>
      <c r="B295" s="830" t="s">
        <v>234</v>
      </c>
      <c r="C295" s="1063">
        <v>0.15</v>
      </c>
      <c r="D295" s="1063">
        <v>0.15</v>
      </c>
      <c r="E295" s="1063">
        <v>0.15</v>
      </c>
      <c r="F295" s="1064">
        <v>0.15</v>
      </c>
    </row>
    <row r="296" spans="1:6" ht="14.25" thickBot="1">
      <c r="A296" s="836" t="s">
        <v>534</v>
      </c>
      <c r="B296" s="830" t="s">
        <v>996</v>
      </c>
      <c r="C296" s="1063">
        <v>0.15</v>
      </c>
      <c r="D296" s="1063">
        <v>0.15</v>
      </c>
      <c r="E296" s="1063">
        <v>0.15</v>
      </c>
      <c r="F296" s="1064">
        <v>0.15</v>
      </c>
    </row>
    <row r="297" spans="1:6" ht="14.25" thickBot="1">
      <c r="A297" s="836" t="s">
        <v>534</v>
      </c>
      <c r="B297" s="830" t="s">
        <v>997</v>
      </c>
      <c r="C297" s="1063">
        <v>0.14799999999999999</v>
      </c>
      <c r="D297" s="1063">
        <v>0.14899999999999999</v>
      </c>
      <c r="E297" s="1063">
        <v>0.15</v>
      </c>
      <c r="F297" s="1064">
        <v>0.13700000000000001</v>
      </c>
    </row>
    <row r="298" spans="1:6" ht="14.25" thickBot="1">
      <c r="A298" s="836" t="s">
        <v>534</v>
      </c>
      <c r="B298" s="830" t="s">
        <v>267</v>
      </c>
      <c r="C298" s="1063">
        <v>0.13400000000000001</v>
      </c>
      <c r="D298" s="1063">
        <v>0.13400000000000001</v>
      </c>
      <c r="E298" s="1063">
        <v>0.14499999999999999</v>
      </c>
      <c r="F298" s="1064">
        <v>0.14799999999999999</v>
      </c>
    </row>
    <row r="299" spans="1:6" ht="14.25" thickBot="1">
      <c r="A299" s="836" t="s">
        <v>534</v>
      </c>
      <c r="B299" s="830" t="s">
        <v>279</v>
      </c>
      <c r="C299" s="1063">
        <v>0.15</v>
      </c>
      <c r="D299" s="1063">
        <v>0.15</v>
      </c>
      <c r="E299" s="1063">
        <v>0.15</v>
      </c>
      <c r="F299" s="1075"/>
    </row>
    <row r="300" spans="1:6" ht="14.25" thickBot="1">
      <c r="A300" s="836" t="s">
        <v>534</v>
      </c>
      <c r="B300" s="830" t="s">
        <v>998</v>
      </c>
      <c r="C300" s="1063">
        <v>0.15</v>
      </c>
      <c r="D300" s="1063">
        <v>0.15</v>
      </c>
      <c r="E300" s="1063">
        <v>0.15</v>
      </c>
      <c r="F300" s="1064">
        <v>0.15</v>
      </c>
    </row>
    <row r="301" spans="1:6" ht="14.25" thickBot="1">
      <c r="A301" s="836" t="s">
        <v>534</v>
      </c>
      <c r="B301" s="830" t="s">
        <v>299</v>
      </c>
      <c r="C301" s="1063">
        <v>0.15</v>
      </c>
      <c r="D301" s="1063">
        <v>0.15</v>
      </c>
      <c r="E301" s="1063">
        <v>0.15</v>
      </c>
      <c r="F301" s="1075"/>
    </row>
    <row r="302" spans="1:6" ht="14.25" thickBot="1">
      <c r="A302" s="836" t="s">
        <v>534</v>
      </c>
      <c r="B302" s="830" t="s">
        <v>999</v>
      </c>
      <c r="C302" s="1063">
        <v>0.15</v>
      </c>
      <c r="D302" s="1063">
        <v>0.15</v>
      </c>
      <c r="E302" s="1063">
        <v>0.15</v>
      </c>
      <c r="F302" s="1064">
        <v>0.15</v>
      </c>
    </row>
    <row r="303" spans="1:6" ht="14.25" thickBot="1">
      <c r="A303" s="836" t="s">
        <v>534</v>
      </c>
      <c r="B303" s="830" t="s">
        <v>319</v>
      </c>
      <c r="C303" s="1063">
        <v>0.15</v>
      </c>
      <c r="D303" s="1063">
        <v>0.15</v>
      </c>
      <c r="E303" s="1063">
        <v>0.15</v>
      </c>
      <c r="F303" s="1064">
        <v>0.15</v>
      </c>
    </row>
    <row r="304" spans="1:6" ht="14.25" thickBot="1">
      <c r="A304" s="836" t="s">
        <v>534</v>
      </c>
      <c r="B304" s="830" t="s">
        <v>330</v>
      </c>
      <c r="C304" s="1063">
        <v>0.15</v>
      </c>
      <c r="D304" s="1063">
        <v>0.15</v>
      </c>
      <c r="E304" s="1063">
        <v>0.15</v>
      </c>
      <c r="F304" s="1075"/>
    </row>
    <row r="305" spans="1:6" ht="14.25" thickBot="1">
      <c r="A305" s="836" t="s">
        <v>534</v>
      </c>
      <c r="B305" s="830" t="s">
        <v>1000</v>
      </c>
      <c r="C305" s="1063">
        <v>0.15</v>
      </c>
      <c r="D305" s="1063">
        <v>0.15</v>
      </c>
      <c r="E305" s="1063">
        <v>0.15</v>
      </c>
      <c r="F305" s="1064">
        <v>0.14000000000000001</v>
      </c>
    </row>
    <row r="306" spans="1:6" ht="14.25" thickBot="1">
      <c r="A306" s="836" t="s">
        <v>534</v>
      </c>
      <c r="B306" s="830" t="s">
        <v>351</v>
      </c>
      <c r="C306" s="1063">
        <v>0.15</v>
      </c>
      <c r="D306" s="1063">
        <v>0.15</v>
      </c>
      <c r="E306" s="1063">
        <v>0.15</v>
      </c>
      <c r="F306" s="1075"/>
    </row>
    <row r="307" spans="1:6" ht="14.25" thickBot="1">
      <c r="A307" s="836" t="s">
        <v>534</v>
      </c>
      <c r="B307" s="830" t="s">
        <v>1001</v>
      </c>
      <c r="C307" s="1063">
        <v>0.15</v>
      </c>
      <c r="D307" s="1063">
        <v>0.15</v>
      </c>
      <c r="E307" s="1063">
        <v>0.15</v>
      </c>
      <c r="F307" s="1064">
        <v>0.14299999999999999</v>
      </c>
    </row>
    <row r="308" spans="1:6" ht="14.25" thickBot="1">
      <c r="A308" s="836" t="s">
        <v>534</v>
      </c>
      <c r="B308" s="830" t="s">
        <v>371</v>
      </c>
      <c r="C308" s="1063">
        <v>0.15</v>
      </c>
      <c r="D308" s="1063">
        <v>0.15</v>
      </c>
      <c r="E308" s="1063">
        <v>0.15</v>
      </c>
      <c r="F308" s="1064">
        <v>0.15</v>
      </c>
    </row>
    <row r="309" spans="1:6" ht="14.25" thickBot="1">
      <c r="A309" s="836" t="s">
        <v>534</v>
      </c>
      <c r="B309" s="830" t="s">
        <v>381</v>
      </c>
      <c r="C309" s="1063">
        <v>0.15</v>
      </c>
      <c r="D309" s="1063">
        <v>0.15</v>
      </c>
      <c r="E309" s="1063">
        <v>0.15</v>
      </c>
      <c r="F309" s="1075"/>
    </row>
    <row r="310" spans="1:6" ht="14.25" thickBot="1">
      <c r="A310" s="836" t="s">
        <v>534</v>
      </c>
      <c r="B310" s="830" t="s">
        <v>1002</v>
      </c>
      <c r="C310" s="1063">
        <v>0.15</v>
      </c>
      <c r="D310" s="1063">
        <v>0.15</v>
      </c>
      <c r="E310" s="1063">
        <v>0.15</v>
      </c>
      <c r="F310" s="1064">
        <v>0.13700000000000001</v>
      </c>
    </row>
    <row r="311" spans="1:6" ht="14.25" thickBot="1">
      <c r="A311" s="836" t="s">
        <v>534</v>
      </c>
      <c r="B311" s="830" t="s">
        <v>1003</v>
      </c>
      <c r="C311" s="1063">
        <v>0.15</v>
      </c>
      <c r="D311" s="1063">
        <v>0.15</v>
      </c>
      <c r="E311" s="1063">
        <v>0.15</v>
      </c>
      <c r="F311" s="1064">
        <v>0.15</v>
      </c>
    </row>
    <row r="312" spans="1:6" ht="14.25" thickBot="1">
      <c r="A312" s="836" t="s">
        <v>534</v>
      </c>
      <c r="B312" s="830" t="s">
        <v>407</v>
      </c>
      <c r="C312" s="1063">
        <v>0.15</v>
      </c>
      <c r="D312" s="1063">
        <v>0.15</v>
      </c>
      <c r="E312" s="1063">
        <v>0.15</v>
      </c>
      <c r="F312" s="1064">
        <v>0.1</v>
      </c>
    </row>
    <row r="313" spans="1:6" ht="14.25" thickBot="1">
      <c r="A313" s="836" t="s">
        <v>534</v>
      </c>
      <c r="B313" s="830" t="s">
        <v>1004</v>
      </c>
      <c r="C313" s="1063">
        <v>0.15</v>
      </c>
      <c r="D313" s="1063">
        <v>0.15</v>
      </c>
      <c r="E313" s="1063">
        <v>0.15</v>
      </c>
      <c r="F313" s="1064">
        <v>0.15</v>
      </c>
    </row>
    <row r="314" spans="1:6" ht="24.75" thickBot="1">
      <c r="A314" s="836" t="s">
        <v>534</v>
      </c>
      <c r="B314" s="830" t="s">
        <v>1005</v>
      </c>
      <c r="C314" s="1076"/>
      <c r="D314" s="1076"/>
      <c r="E314" s="1076"/>
      <c r="F314" s="1064">
        <v>0.05</v>
      </c>
    </row>
    <row r="315" spans="1:6" ht="24.75" thickBot="1">
      <c r="A315" s="836" t="s">
        <v>534</v>
      </c>
      <c r="B315" s="830" t="s">
        <v>1006</v>
      </c>
      <c r="C315" s="1076"/>
      <c r="D315" s="1076"/>
      <c r="E315" s="1076"/>
      <c r="F315" s="1064">
        <v>0.05</v>
      </c>
    </row>
    <row r="316" spans="1:6" ht="24.75" thickBot="1">
      <c r="A316" s="846" t="s">
        <v>534</v>
      </c>
      <c r="B316" s="842" t="s">
        <v>1007</v>
      </c>
      <c r="C316" s="1073"/>
      <c r="D316" s="1073"/>
      <c r="E316" s="1073"/>
      <c r="F316" s="1066">
        <v>0.05</v>
      </c>
    </row>
    <row r="317" spans="1:6" ht="14.25" thickBot="1">
      <c r="A317" s="836" t="s">
        <v>1008</v>
      </c>
      <c r="B317" s="837" t="s">
        <v>1009</v>
      </c>
      <c r="C317" s="1061">
        <v>0.15</v>
      </c>
      <c r="D317" s="1061">
        <v>0.15</v>
      </c>
      <c r="E317" s="1061">
        <v>0.15</v>
      </c>
      <c r="F317" s="1062">
        <v>0.15</v>
      </c>
    </row>
    <row r="318" spans="1:6" ht="14.25" thickBot="1">
      <c r="A318" s="836" t="s">
        <v>1008</v>
      </c>
      <c r="B318" s="830" t="s">
        <v>1010</v>
      </c>
      <c r="C318" s="1063">
        <v>0.107</v>
      </c>
      <c r="D318" s="1063">
        <v>0.11</v>
      </c>
      <c r="E318" s="1063">
        <v>0.112</v>
      </c>
      <c r="F318" s="1075"/>
    </row>
    <row r="319" spans="1:6" ht="14.25" thickBot="1">
      <c r="A319" s="836" t="s">
        <v>1008</v>
      </c>
      <c r="B319" s="830" t="s">
        <v>1011</v>
      </c>
      <c r="C319" s="1063">
        <v>0.15</v>
      </c>
      <c r="D319" s="1063">
        <v>0.15</v>
      </c>
      <c r="E319" s="1063">
        <v>0.15</v>
      </c>
      <c r="F319" s="1064">
        <v>0.15</v>
      </c>
    </row>
    <row r="320" spans="1:6" ht="14.25" thickBot="1">
      <c r="A320" s="836" t="s">
        <v>1008</v>
      </c>
      <c r="B320" s="830" t="s">
        <v>223</v>
      </c>
      <c r="C320" s="1063">
        <v>0.15</v>
      </c>
      <c r="D320" s="1063">
        <v>0.15</v>
      </c>
      <c r="E320" s="1063">
        <v>0.15</v>
      </c>
      <c r="F320" s="1075"/>
    </row>
    <row r="321" spans="1:6" ht="14.25" thickBot="1">
      <c r="A321" s="836" t="s">
        <v>1008</v>
      </c>
      <c r="B321" s="830" t="s">
        <v>1012</v>
      </c>
      <c r="C321" s="1063">
        <v>0.15</v>
      </c>
      <c r="D321" s="1063">
        <v>0.15</v>
      </c>
      <c r="E321" s="1063">
        <v>0.15</v>
      </c>
      <c r="F321" s="1075"/>
    </row>
    <row r="322" spans="1:6" ht="14.25" thickBot="1">
      <c r="A322" s="836" t="s">
        <v>1008</v>
      </c>
      <c r="B322" s="830" t="s">
        <v>1013</v>
      </c>
      <c r="C322" s="1063">
        <v>0.15</v>
      </c>
      <c r="D322" s="1063">
        <v>0.15</v>
      </c>
      <c r="E322" s="1063">
        <v>0.15</v>
      </c>
      <c r="F322" s="1064">
        <v>0.15</v>
      </c>
    </row>
    <row r="323" spans="1:6" ht="14.25" thickBot="1">
      <c r="A323" s="836" t="s">
        <v>1008</v>
      </c>
      <c r="B323" s="830" t="s">
        <v>1014</v>
      </c>
      <c r="C323" s="1063">
        <v>0.15</v>
      </c>
      <c r="D323" s="1063">
        <v>0.15</v>
      </c>
      <c r="E323" s="1063">
        <v>0.15</v>
      </c>
      <c r="F323" s="1075"/>
    </row>
    <row r="324" spans="1:6" ht="14.25" thickBot="1">
      <c r="A324" s="836" t="s">
        <v>1008</v>
      </c>
      <c r="B324" s="830" t="s">
        <v>1015</v>
      </c>
      <c r="C324" s="1063">
        <v>0.15</v>
      </c>
      <c r="D324" s="1063">
        <v>0.15</v>
      </c>
      <c r="E324" s="1063">
        <v>0.15</v>
      </c>
      <c r="F324" s="1075"/>
    </row>
    <row r="325" spans="1:6" ht="14.25" thickBot="1">
      <c r="A325" s="836" t="s">
        <v>1008</v>
      </c>
      <c r="B325" s="830" t="s">
        <v>1016</v>
      </c>
      <c r="C325" s="1063">
        <v>0.15</v>
      </c>
      <c r="D325" s="1063">
        <v>0.15</v>
      </c>
      <c r="E325" s="1063">
        <v>0.15</v>
      </c>
      <c r="F325" s="1064">
        <v>0.14699999999999999</v>
      </c>
    </row>
    <row r="326" spans="1:6" ht="14.25" thickBot="1">
      <c r="A326" s="836" t="s">
        <v>1008</v>
      </c>
      <c r="B326" s="830" t="s">
        <v>290</v>
      </c>
      <c r="C326" s="1063">
        <v>0.15</v>
      </c>
      <c r="D326" s="1063">
        <v>0.15</v>
      </c>
      <c r="E326" s="1063">
        <v>0.15</v>
      </c>
      <c r="F326" s="1075"/>
    </row>
    <row r="327" spans="1:6" ht="14.25" thickBot="1">
      <c r="A327" s="836" t="s">
        <v>1008</v>
      </c>
      <c r="B327" s="830" t="s">
        <v>1017</v>
      </c>
      <c r="C327" s="1063">
        <v>0.15</v>
      </c>
      <c r="D327" s="1063">
        <v>0.15</v>
      </c>
      <c r="E327" s="1063">
        <v>0.15</v>
      </c>
      <c r="F327" s="1064">
        <v>0.15</v>
      </c>
    </row>
    <row r="328" spans="1:6" ht="14.25" thickBot="1">
      <c r="A328" s="836" t="s">
        <v>1008</v>
      </c>
      <c r="B328" s="830" t="s">
        <v>310</v>
      </c>
      <c r="C328" s="1063">
        <v>0.15</v>
      </c>
      <c r="D328" s="1063">
        <v>0.15</v>
      </c>
      <c r="E328" s="1063">
        <v>0.15</v>
      </c>
      <c r="F328" s="1064">
        <v>0.14099999999999999</v>
      </c>
    </row>
    <row r="329" spans="1:6" ht="14.25" thickBot="1">
      <c r="A329" s="836" t="s">
        <v>1008</v>
      </c>
      <c r="B329" s="830" t="s">
        <v>320</v>
      </c>
      <c r="C329" s="1063">
        <v>0.15</v>
      </c>
      <c r="D329" s="1063">
        <v>0.15</v>
      </c>
      <c r="E329" s="1063">
        <v>0.15</v>
      </c>
      <c r="F329" s="1064">
        <v>0.15</v>
      </c>
    </row>
    <row r="330" spans="1:6" ht="14.25" thickBot="1">
      <c r="A330" s="836" t="s">
        <v>1008</v>
      </c>
      <c r="B330" s="830" t="s">
        <v>331</v>
      </c>
      <c r="C330" s="1063">
        <v>0.15</v>
      </c>
      <c r="D330" s="1063">
        <v>0.15</v>
      </c>
      <c r="E330" s="1063">
        <v>0.15</v>
      </c>
      <c r="F330" s="1075"/>
    </row>
    <row r="331" spans="1:6" ht="14.25" thickBot="1">
      <c r="A331" s="836" t="s">
        <v>1008</v>
      </c>
      <c r="B331" s="830" t="s">
        <v>1018</v>
      </c>
      <c r="C331" s="1063">
        <v>0.15</v>
      </c>
      <c r="D331" s="1063">
        <v>0.15</v>
      </c>
      <c r="E331" s="1063">
        <v>0.15</v>
      </c>
      <c r="F331" s="1064">
        <v>0.15</v>
      </c>
    </row>
    <row r="332" spans="1:6" ht="14.25" thickBot="1">
      <c r="A332" s="836" t="s">
        <v>1008</v>
      </c>
      <c r="B332" s="830" t="s">
        <v>352</v>
      </c>
      <c r="C332" s="1063">
        <v>0.15</v>
      </c>
      <c r="D332" s="1063">
        <v>0.15</v>
      </c>
      <c r="E332" s="1063">
        <v>0.15</v>
      </c>
      <c r="F332" s="1064">
        <v>0.15</v>
      </c>
    </row>
    <row r="333" spans="1:6" ht="14.25" thickBot="1">
      <c r="A333" s="836" t="s">
        <v>1008</v>
      </c>
      <c r="B333" s="830" t="s">
        <v>1019</v>
      </c>
      <c r="C333" s="1063">
        <v>0.15</v>
      </c>
      <c r="D333" s="1063">
        <v>0.15</v>
      </c>
      <c r="E333" s="1063">
        <v>0.15</v>
      </c>
      <c r="F333" s="1064">
        <v>0.14099999999999999</v>
      </c>
    </row>
    <row r="334" spans="1:6" ht="14.25" thickBot="1">
      <c r="A334" s="836" t="s">
        <v>1008</v>
      </c>
      <c r="B334" s="830" t="s">
        <v>372</v>
      </c>
      <c r="C334" s="1063">
        <v>0.15</v>
      </c>
      <c r="D334" s="1063">
        <v>0.15</v>
      </c>
      <c r="E334" s="1063">
        <v>0.15</v>
      </c>
      <c r="F334" s="1064">
        <v>0.15</v>
      </c>
    </row>
    <row r="335" spans="1:6" ht="14.25" thickBot="1">
      <c r="A335" s="836" t="s">
        <v>1008</v>
      </c>
      <c r="B335" s="830" t="s">
        <v>382</v>
      </c>
      <c r="C335" s="1063">
        <v>0.15</v>
      </c>
      <c r="D335" s="1063">
        <v>0.15</v>
      </c>
      <c r="E335" s="1063">
        <v>0.15</v>
      </c>
      <c r="F335" s="1075"/>
    </row>
    <row r="336" spans="1:6" ht="14.25" thickBot="1">
      <c r="A336" s="836" t="s">
        <v>1008</v>
      </c>
      <c r="B336" s="830" t="s">
        <v>1020</v>
      </c>
      <c r="C336" s="1063">
        <v>0.15</v>
      </c>
      <c r="D336" s="1063">
        <v>0.15</v>
      </c>
      <c r="E336" s="1063">
        <v>0.15</v>
      </c>
      <c r="F336" s="1064">
        <v>0.11799999999999999</v>
      </c>
    </row>
    <row r="337" spans="1:6" ht="14.25" thickBot="1">
      <c r="A337" s="846" t="s">
        <v>1008</v>
      </c>
      <c r="B337" s="842" t="s">
        <v>400</v>
      </c>
      <c r="C337" s="1073"/>
      <c r="D337" s="1073"/>
      <c r="E337" s="1073"/>
      <c r="F337" s="1066">
        <v>0.14299999999999999</v>
      </c>
    </row>
    <row r="338" spans="1:6" ht="14.25" thickBot="1">
      <c r="A338" s="836" t="s">
        <v>1021</v>
      </c>
      <c r="B338" s="837" t="s">
        <v>1022</v>
      </c>
      <c r="C338" s="1061">
        <v>0.15</v>
      </c>
      <c r="D338" s="1061">
        <v>0.15</v>
      </c>
      <c r="E338" s="1061">
        <v>0.15</v>
      </c>
      <c r="F338" s="1078"/>
    </row>
    <row r="339" spans="1:6" ht="14.25" thickBot="1">
      <c r="A339" s="836" t="s">
        <v>1021</v>
      </c>
      <c r="B339" s="830" t="s">
        <v>1023</v>
      </c>
      <c r="C339" s="1063">
        <v>0.15</v>
      </c>
      <c r="D339" s="1063">
        <v>0.15</v>
      </c>
      <c r="E339" s="1063">
        <v>0.15</v>
      </c>
      <c r="F339" s="1075"/>
    </row>
    <row r="340" spans="1:6" ht="14.25" thickBot="1">
      <c r="A340" s="836" t="s">
        <v>1021</v>
      </c>
      <c r="B340" s="830" t="s">
        <v>1024</v>
      </c>
      <c r="C340" s="1063">
        <v>0.15</v>
      </c>
      <c r="D340" s="1063">
        <v>0.15</v>
      </c>
      <c r="E340" s="1063">
        <v>0.15</v>
      </c>
      <c r="F340" s="1075"/>
    </row>
    <row r="341" spans="1:6" ht="14.25" thickBot="1">
      <c r="A341" s="836" t="s">
        <v>1021</v>
      </c>
      <c r="B341" s="830" t="s">
        <v>1025</v>
      </c>
      <c r="C341" s="1063">
        <v>0.15</v>
      </c>
      <c r="D341" s="1063">
        <v>0.15</v>
      </c>
      <c r="E341" s="1063">
        <v>0.15</v>
      </c>
      <c r="F341" s="1064">
        <v>0.15</v>
      </c>
    </row>
    <row r="342" spans="1:6" ht="14.25" thickBot="1">
      <c r="A342" s="836" t="s">
        <v>1021</v>
      </c>
      <c r="B342" s="830" t="s">
        <v>1026</v>
      </c>
      <c r="C342" s="1063">
        <v>0.15</v>
      </c>
      <c r="D342" s="1063">
        <v>0.15</v>
      </c>
      <c r="E342" s="1063">
        <v>0.15</v>
      </c>
      <c r="F342" s="1064">
        <v>0.15</v>
      </c>
    </row>
    <row r="343" spans="1:6" ht="14.25" thickBot="1">
      <c r="A343" s="836" t="s">
        <v>1021</v>
      </c>
      <c r="B343" s="830" t="s">
        <v>1027</v>
      </c>
      <c r="C343" s="1063">
        <v>0.15</v>
      </c>
      <c r="D343" s="1063">
        <v>0.15</v>
      </c>
      <c r="E343" s="1063">
        <v>0.15</v>
      </c>
      <c r="F343" s="1064">
        <v>0.15</v>
      </c>
    </row>
    <row r="344" spans="1:6" ht="14.25" thickBot="1">
      <c r="A344" s="846" t="s">
        <v>1021</v>
      </c>
      <c r="B344" s="842" t="s">
        <v>1028</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3028" t="str">
        <f>IF(项目基本情况!B9="房地产市场价值","估价结果一览表","结果表-2")</f>
        <v>结果表-2</v>
      </c>
      <c r="B1" s="3028"/>
      <c r="C1" s="3028"/>
      <c r="D1" s="3028"/>
      <c r="E1" s="3028"/>
      <c r="F1" s="3028"/>
      <c r="G1" s="3028"/>
      <c r="H1" s="3028"/>
      <c r="I1" s="3028"/>
    </row>
    <row r="2" spans="1:9" ht="30" customHeight="1" thickTop="1">
      <c r="A2" s="3029" t="s">
        <v>1641</v>
      </c>
      <c r="B2" s="3029" t="s">
        <v>1642</v>
      </c>
      <c r="C2" s="3029" t="s">
        <v>1643</v>
      </c>
      <c r="D2" s="3029" t="str">
        <f>结果表办公!D116</f>
        <v>出让国有建设用地使用权价值</v>
      </c>
      <c r="E2" s="3029"/>
      <c r="F2" s="3029" t="str">
        <f>结果表办公!F116</f>
        <v>在建建筑物价值</v>
      </c>
      <c r="G2" s="3029"/>
      <c r="H2" s="3029" t="str">
        <f>IF(项目基本情况!B9="房地产市场价值","房地产市场价值","房地产价值")</f>
        <v>房地产价值</v>
      </c>
      <c r="I2" s="3029"/>
    </row>
    <row r="3" spans="1:9" ht="15">
      <c r="A3" s="3023"/>
      <c r="B3" s="3023"/>
      <c r="C3" s="3023"/>
      <c r="D3" s="1043" t="s">
        <v>1638</v>
      </c>
      <c r="E3" s="1043" t="s">
        <v>1644</v>
      </c>
      <c r="F3" s="1043" t="s">
        <v>1638</v>
      </c>
      <c r="G3" s="1043" t="s">
        <v>1639</v>
      </c>
      <c r="H3" s="1043" t="s">
        <v>1638</v>
      </c>
      <c r="I3" s="1043" t="s">
        <v>1639</v>
      </c>
    </row>
    <row r="4" spans="1:9" ht="15">
      <c r="A4" s="1972" t="str">
        <f>项目基本情况!S2</f>
        <v>北京市房地产</v>
      </c>
      <c r="B4" s="1043">
        <f>项目基本情况!C17</f>
        <v>14974.55</v>
      </c>
      <c r="C4" s="1043">
        <f>项目基本情况!C18</f>
        <v>3260.64</v>
      </c>
      <c r="D4" s="1043" t="e">
        <f ca="1">结果表办公!D118</f>
        <v>#REF!</v>
      </c>
      <c r="E4" s="1043" t="e">
        <f ca="1">结果表办公!E118</f>
        <v>#REF!</v>
      </c>
      <c r="F4" s="1043" t="e">
        <f ca="1">结果表办公!F118</f>
        <v>#REF!</v>
      </c>
      <c r="G4" s="1043" t="e">
        <f ca="1">结果表办公!G118</f>
        <v>#REF!</v>
      </c>
      <c r="H4" s="1043">
        <f ca="1">结果表办公!H118</f>
        <v>57111</v>
      </c>
      <c r="I4" s="1043">
        <f ca="1">结果表办公!I118</f>
        <v>38139</v>
      </c>
    </row>
    <row r="5" spans="1:9" ht="30" customHeight="1">
      <c r="A5" s="3023" t="s">
        <v>1640</v>
      </c>
      <c r="B5" s="3023"/>
      <c r="C5" s="3023"/>
      <c r="D5" s="3024" t="e">
        <f ca="1">结果表办公!D119</f>
        <v>#REF!</v>
      </c>
      <c r="E5" s="3024"/>
      <c r="F5" s="3024" t="e">
        <f ca="1">结果表办公!F119</f>
        <v>#REF!</v>
      </c>
      <c r="G5" s="3024"/>
      <c r="H5" s="3024" t="str">
        <f ca="1">结果表办公!H119</f>
        <v>伍亿柒仟壹佰壹拾壹万元整</v>
      </c>
      <c r="I5" s="3024"/>
    </row>
    <row r="6" spans="1:9" ht="15.75">
      <c r="A6" s="3022" t="str">
        <f>结果表办公!A120</f>
        <v>估价师知悉的法定优先受偿款</v>
      </c>
      <c r="B6" s="3022"/>
      <c r="C6" s="3022"/>
      <c r="D6" s="3022">
        <f>结果表办公!D120</f>
        <v>0</v>
      </c>
      <c r="E6" s="3022"/>
      <c r="F6" s="3022"/>
      <c r="G6" s="3022"/>
      <c r="H6" s="3022"/>
      <c r="I6" s="3022"/>
    </row>
    <row r="7" spans="1:9" ht="15">
      <c r="A7" s="3023" t="s">
        <v>1640</v>
      </c>
      <c r="B7" s="3023"/>
      <c r="C7" s="3023"/>
      <c r="D7" s="3025" t="str">
        <f>结果表办公!D121</f>
        <v>零元整</v>
      </c>
      <c r="E7" s="3026"/>
      <c r="F7" s="3026"/>
      <c r="G7" s="3026"/>
      <c r="H7" s="3026"/>
      <c r="I7" s="3027"/>
    </row>
    <row r="8" spans="1:9" ht="15.75">
      <c r="A8" s="3022" t="str">
        <f>结果表办公!A122</f>
        <v>房地产抵押价值</v>
      </c>
      <c r="B8" s="3022"/>
      <c r="C8" s="3022"/>
      <c r="D8" s="3022">
        <f ca="1">结果表办公!D122</f>
        <v>57111</v>
      </c>
      <c r="E8" s="3022"/>
      <c r="F8" s="3022"/>
      <c r="G8" s="3022"/>
      <c r="H8" s="3022"/>
      <c r="I8" s="3022"/>
    </row>
    <row r="9" spans="1:9" ht="15">
      <c r="A9" s="3023" t="s">
        <v>1640</v>
      </c>
      <c r="B9" s="3023"/>
      <c r="C9" s="3023"/>
      <c r="D9" s="3024" t="str">
        <f ca="1">结果表办公!D123</f>
        <v>伍亿柒仟壹佰壹拾壹万元整</v>
      </c>
      <c r="E9" s="3024"/>
      <c r="F9" s="3024"/>
      <c r="G9" s="3024"/>
      <c r="H9" s="3024"/>
      <c r="I9" s="3024"/>
    </row>
    <row r="10" spans="1:9" ht="15.75">
      <c r="A10" s="3022" t="str">
        <f>结果表办公!A124</f>
        <v/>
      </c>
      <c r="B10" s="3022"/>
      <c r="C10" s="3022"/>
      <c r="D10" s="3022" t="str">
        <f>结果表办公!D124</f>
        <v>——</v>
      </c>
      <c r="E10" s="3022"/>
      <c r="F10" s="3022"/>
      <c r="G10" s="3022"/>
      <c r="H10" s="3022"/>
      <c r="I10" s="3022"/>
    </row>
    <row r="11" spans="1:9" ht="15">
      <c r="A11" s="3023" t="s">
        <v>1640</v>
      </c>
      <c r="B11" s="3023"/>
      <c r="C11" s="3023"/>
      <c r="D11" s="3024" t="e">
        <f>结果表办公!D125</f>
        <v>#VALUE!</v>
      </c>
      <c r="E11" s="3024"/>
      <c r="F11" s="3024"/>
      <c r="G11" s="3024"/>
      <c r="H11" s="3024"/>
      <c r="I11" s="3024"/>
    </row>
    <row r="12" spans="1:9" ht="15.75">
      <c r="A12" s="3022" t="str">
        <f>结果表办公!A126</f>
        <v/>
      </c>
      <c r="B12" s="3022"/>
      <c r="C12" s="3022"/>
      <c r="D12" s="3022" t="str">
        <f>结果表办公!D126</f>
        <v>——</v>
      </c>
      <c r="E12" s="3022"/>
      <c r="F12" s="3022"/>
      <c r="G12" s="3022"/>
      <c r="H12" s="3022"/>
      <c r="I12" s="3022"/>
    </row>
    <row r="13" spans="1:9" ht="15.75" thickBot="1">
      <c r="A13" s="3019" t="s">
        <v>1640</v>
      </c>
      <c r="B13" s="3019"/>
      <c r="C13" s="3019"/>
      <c r="D13" s="3020" t="e">
        <f>结果表办公!D127</f>
        <v>#VALUE!</v>
      </c>
      <c r="E13" s="3020"/>
      <c r="F13" s="3020"/>
      <c r="G13" s="3020"/>
      <c r="H13" s="3020"/>
      <c r="I13" s="3020"/>
    </row>
    <row r="14" spans="1:9" ht="15" thickTop="1">
      <c r="A14" s="3021" t="s">
        <v>1645</v>
      </c>
      <c r="B14" s="3021"/>
      <c r="C14" s="3021"/>
      <c r="D14" s="3021"/>
      <c r="E14" s="3021"/>
      <c r="F14" s="3021"/>
      <c r="G14" s="3021"/>
      <c r="H14" s="3021"/>
      <c r="I14" s="3021"/>
    </row>
    <row r="16" spans="1:9" ht="18.75">
      <c r="A16" s="1973" t="s">
        <v>1628</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1300</v>
      </c>
      <c r="C1" s="1693">
        <f>项目基本情况!D3</f>
        <v>43252</v>
      </c>
      <c r="D1" s="1699" t="s">
        <v>1301</v>
      </c>
      <c r="E1" s="1694">
        <f>'数据-取费表'!B22</f>
        <v>2</v>
      </c>
      <c r="F1" s="1699" t="s">
        <v>1302</v>
      </c>
      <c r="G1" s="1695">
        <f ca="1">INDIRECT("d"&amp;$K$1)/100</f>
        <v>4.7500000000000001E-2</v>
      </c>
      <c r="H1" s="1699" t="s">
        <v>1332</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1303</v>
      </c>
      <c r="E2" s="1635"/>
      <c r="F2" s="1635" t="s">
        <v>1304</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1305</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1306</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1307</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1308</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1309</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1310</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1311</v>
      </c>
      <c r="C10" s="1663"/>
      <c r="D10" s="1663"/>
      <c r="E10" s="1663"/>
      <c r="F10" s="1663"/>
      <c r="G10" s="1663"/>
      <c r="H10" s="1663"/>
      <c r="I10" s="1637"/>
      <c r="J10" s="1637"/>
      <c r="K10" s="1663"/>
      <c r="L10" s="1664" t="s">
        <v>1312</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1313</v>
      </c>
      <c r="C11" s="1668" t="s">
        <v>1314</v>
      </c>
      <c r="D11" s="1669" t="s">
        <v>1315</v>
      </c>
      <c r="E11" s="1670"/>
      <c r="F11" s="1669" t="s">
        <v>1316</v>
      </c>
      <c r="G11" s="1671"/>
      <c r="H11" s="1670"/>
      <c r="I11" s="1669" t="s">
        <v>1317</v>
      </c>
      <c r="J11" s="1670"/>
      <c r="K11" s="1666"/>
      <c r="L11" s="1667" t="s">
        <v>1313</v>
      </c>
      <c r="M11" s="1668" t="s">
        <v>1314</v>
      </c>
      <c r="N11" s="1667" t="s">
        <v>1318</v>
      </c>
      <c r="O11" s="1669" t="s">
        <v>1319</v>
      </c>
      <c r="P11" s="1671"/>
      <c r="Q11" s="1671"/>
      <c r="R11" s="1671"/>
      <c r="S11" s="1671"/>
      <c r="T11" s="1670"/>
      <c r="U11" s="1669" t="s">
        <v>1320</v>
      </c>
      <c r="V11" s="1671"/>
      <c r="W11" s="1670"/>
      <c r="X11" s="1667" t="s">
        <v>1321</v>
      </c>
      <c r="Y11" s="1667" t="s">
        <v>1322</v>
      </c>
      <c r="Z11" s="1667" t="s">
        <v>1323</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1324</v>
      </c>
      <c r="E12" s="1676" t="s">
        <v>1325</v>
      </c>
      <c r="F12" s="1676" t="s">
        <v>1326</v>
      </c>
      <c r="G12" s="1676" t="s">
        <v>1327</v>
      </c>
      <c r="H12" s="1676" t="s">
        <v>1309</v>
      </c>
      <c r="I12" s="1677" t="s">
        <v>1328</v>
      </c>
      <c r="J12" s="1677" t="s">
        <v>1328</v>
      </c>
      <c r="K12" s="1673"/>
      <c r="L12" s="1674"/>
      <c r="M12" s="1675"/>
      <c r="N12" s="1674"/>
      <c r="O12" s="1677" t="s">
        <v>1329</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1330</v>
      </c>
      <c r="C13" s="1681">
        <v>42301</v>
      </c>
      <c r="D13" s="1682">
        <v>4.3499999999999996</v>
      </c>
      <c r="E13" s="1682">
        <v>4.3499999999999996</v>
      </c>
      <c r="F13" s="1682">
        <v>4.75</v>
      </c>
      <c r="G13" s="1682">
        <v>4.75</v>
      </c>
      <c r="H13" s="1682">
        <v>4.9000000000000004</v>
      </c>
      <c r="I13" s="1682">
        <v>2.75</v>
      </c>
      <c r="J13" s="1682">
        <v>3.25</v>
      </c>
      <c r="K13" s="1679"/>
      <c r="L13" s="1680" t="s">
        <v>1330</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1331</v>
      </c>
      <c r="Y42" s="1686" t="s">
        <v>1331</v>
      </c>
      <c r="Z42" s="1686" t="s">
        <v>1331</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1331</v>
      </c>
      <c r="Y43" s="1686" t="s">
        <v>1331</v>
      </c>
      <c r="Z43" s="1686" t="s">
        <v>1331</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1331</v>
      </c>
      <c r="Y44" s="1686" t="s">
        <v>1331</v>
      </c>
      <c r="Z44" s="1686" t="s">
        <v>1331</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1331</v>
      </c>
      <c r="Y45" s="1686" t="s">
        <v>1331</v>
      </c>
      <c r="Z45" s="1686" t="s">
        <v>1331</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1331</v>
      </c>
      <c r="Y46" s="1686" t="s">
        <v>1331</v>
      </c>
      <c r="Z46" s="1686" t="s">
        <v>1331</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1331</v>
      </c>
      <c r="Y47" s="1686" t="s">
        <v>1331</v>
      </c>
      <c r="Z47" s="1686" t="s">
        <v>1331</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1331</v>
      </c>
      <c r="Y48" s="1686" t="s">
        <v>1331</v>
      </c>
      <c r="Z48" s="1686" t="s">
        <v>1331</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1331</v>
      </c>
      <c r="Y49" s="1686" t="s">
        <v>1331</v>
      </c>
      <c r="Z49" s="1686" t="s">
        <v>1331</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1331</v>
      </c>
      <c r="Y50" s="1686" t="s">
        <v>1331</v>
      </c>
      <c r="Z50" s="1686" t="s">
        <v>1331</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1331</v>
      </c>
      <c r="V51" s="1686" t="s">
        <v>1331</v>
      </c>
      <c r="W51" s="1686" t="s">
        <v>1331</v>
      </c>
      <c r="X51" s="1686" t="s">
        <v>1331</v>
      </c>
      <c r="Y51" s="1686" t="s">
        <v>1331</v>
      </c>
      <c r="Z51" s="1686" t="s">
        <v>1331</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1331</v>
      </c>
      <c r="J55" s="1686" t="s">
        <v>1331</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1372</v>
      </c>
      <c r="E1" s="1775" t="s">
        <v>1376</v>
      </c>
      <c r="F1" s="1776" t="s">
        <v>1380</v>
      </c>
    </row>
    <row r="2" spans="1:13" ht="20.25">
      <c r="A2" s="1782" t="s">
        <v>1373</v>
      </c>
    </row>
    <row r="3" spans="1:13" ht="16.5">
      <c r="A3" s="1783" t="s">
        <v>1374</v>
      </c>
    </row>
    <row r="4" spans="1:13" ht="14.25">
      <c r="A4" s="1773" t="s">
        <v>1375</v>
      </c>
      <c r="B4" s="1778" t="s">
        <v>1377</v>
      </c>
      <c r="C4" s="1779"/>
      <c r="D4" s="1780"/>
      <c r="E4" s="1778" t="s">
        <v>27</v>
      </c>
      <c r="F4" s="1779"/>
      <c r="G4" s="1780"/>
      <c r="H4" s="1778" t="s">
        <v>1378</v>
      </c>
      <c r="I4" s="1779"/>
      <c r="J4" s="1780"/>
      <c r="K4" s="1778" t="s">
        <v>6</v>
      </c>
      <c r="L4" s="1779"/>
      <c r="M4" s="1780"/>
    </row>
    <row r="5" spans="1:13" ht="14.25">
      <c r="A5" s="1774" t="s">
        <v>1379</v>
      </c>
      <c r="B5" s="1773" t="s">
        <v>1381</v>
      </c>
      <c r="C5" s="1773" t="s">
        <v>1382</v>
      </c>
      <c r="D5" s="1773" t="s">
        <v>1383</v>
      </c>
      <c r="E5" s="1773" t="s">
        <v>1381</v>
      </c>
      <c r="F5" s="1773" t="s">
        <v>1382</v>
      </c>
      <c r="G5" s="1773" t="s">
        <v>1383</v>
      </c>
      <c r="H5" s="1773" t="s">
        <v>1381</v>
      </c>
      <c r="I5" s="1773" t="s">
        <v>1382</v>
      </c>
      <c r="J5" s="1773" t="s">
        <v>1383</v>
      </c>
      <c r="K5" s="1773" t="s">
        <v>1381</v>
      </c>
      <c r="L5" s="1773" t="s">
        <v>1382</v>
      </c>
      <c r="M5" s="1773" t="s">
        <v>1383</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4"/>
  <sheetViews>
    <sheetView topLeftCell="A16" workbookViewId="0">
      <selection activeCell="I112" sqref="I112"/>
    </sheetView>
  </sheetViews>
  <sheetFormatPr defaultRowHeight="13.5"/>
  <sheetData>
    <row r="74" spans="1:1">
      <c r="A74" s="2997" t="s">
        <v>3372</v>
      </c>
    </row>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3036" t="s">
        <v>1662</v>
      </c>
      <c r="B1" s="3036"/>
      <c r="C1" s="3036"/>
      <c r="D1" s="3036"/>
    </row>
    <row r="2" spans="1:4" ht="18">
      <c r="A2" s="3037" t="s">
        <v>1646</v>
      </c>
      <c r="B2" s="3037"/>
      <c r="C2" s="3037"/>
      <c r="D2" s="3037"/>
    </row>
    <row r="3" spans="1:4" ht="18.75">
      <c r="A3" s="1976" t="s">
        <v>1647</v>
      </c>
      <c r="B3" s="1976" t="s">
        <v>1648</v>
      </c>
      <c r="C3" s="1976" t="s">
        <v>1649</v>
      </c>
      <c r="D3" s="1976" t="s">
        <v>1650</v>
      </c>
    </row>
    <row r="4" spans="1:4" ht="56.25" customHeight="1">
      <c r="A4" s="1977" t="str">
        <f>项目基本情况!B4</f>
        <v>刘梅</v>
      </c>
      <c r="B4" s="1978">
        <f ca="1">项目基本情况!C4</f>
        <v>1120140022</v>
      </c>
      <c r="C4" s="1979"/>
      <c r="D4" s="1980" t="s">
        <v>1651</v>
      </c>
    </row>
    <row r="5" spans="1:4" ht="56.25" customHeight="1">
      <c r="A5" s="1977" t="str">
        <f>项目基本情况!D4</f>
        <v>吴薇</v>
      </c>
      <c r="B5" s="1978">
        <f ca="1">项目基本情况!E4</f>
        <v>1419970001</v>
      </c>
      <c r="C5" s="1981"/>
      <c r="D5" s="1980" t="s">
        <v>1651</v>
      </c>
    </row>
    <row r="6" spans="1:4" ht="18">
      <c r="A6" s="3037" t="s">
        <v>1652</v>
      </c>
      <c r="B6" s="3037"/>
      <c r="C6" s="3037"/>
      <c r="D6" s="3037"/>
    </row>
    <row r="7" spans="1:4" ht="18.75">
      <c r="A7" s="1976" t="s">
        <v>1647</v>
      </c>
      <c r="B7" s="1978" t="s">
        <v>1653</v>
      </c>
      <c r="C7" s="1976" t="s">
        <v>1649</v>
      </c>
      <c r="D7" s="1976" t="s">
        <v>1650</v>
      </c>
    </row>
    <row r="8" spans="1:4" ht="56.25" customHeight="1">
      <c r="A8" s="1982" t="s">
        <v>869</v>
      </c>
      <c r="B8" s="1982" t="s">
        <v>1</v>
      </c>
      <c r="C8" s="1979"/>
      <c r="D8" s="1980" t="s">
        <v>1651</v>
      </c>
    </row>
    <row r="9" spans="1:4">
      <c r="A9" s="727"/>
      <c r="B9" s="727"/>
      <c r="C9" s="727"/>
      <c r="D9" s="727"/>
    </row>
    <row r="10" spans="1:4" ht="18.75">
      <c r="A10" s="1983" t="s">
        <v>1654</v>
      </c>
      <c r="B10" s="727"/>
      <c r="C10" s="727"/>
      <c r="D10" s="727"/>
    </row>
    <row r="11" spans="1:4" ht="30" customHeight="1">
      <c r="A11" s="3038" t="s">
        <v>1655</v>
      </c>
      <c r="B11" s="3030"/>
      <c r="C11" s="3030"/>
      <c r="D11" s="3030"/>
    </row>
    <row r="12" spans="1:4" ht="15.75">
      <c r="A12" s="30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5"/>
      <c r="C12" s="3035"/>
      <c r="D12" s="3035"/>
    </row>
    <row r="13" spans="1:4" ht="30" customHeight="1">
      <c r="A13" s="30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5"/>
      <c r="C13" s="3035"/>
      <c r="D13" s="3035"/>
    </row>
    <row r="14" spans="1:4" ht="15.75" customHeight="1">
      <c r="A14" s="3030" t="str">
        <f>IF(项目基本情况!B8="抵押","4.本次评估估价师所知悉的法定优先受偿款情况说明如下：","——")</f>
        <v>4.本次评估估价师所知悉的法定优先受偿款情况说明如下：</v>
      </c>
      <c r="B14" s="3035"/>
      <c r="C14" s="3035"/>
      <c r="D14" s="3035"/>
    </row>
    <row r="15" spans="1:4" ht="42" customHeight="1">
      <c r="A15" s="303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0"/>
      <c r="C15" s="3030"/>
      <c r="D15" s="3030"/>
    </row>
    <row r="16" spans="1:4" ht="30" customHeight="1">
      <c r="A16" s="3032" t="s">
        <v>1656</v>
      </c>
      <c r="B16" s="3032"/>
      <c r="C16" s="3032"/>
      <c r="D16" s="3032"/>
    </row>
    <row r="17" spans="1:4" ht="144" customHeight="1">
      <c r="A17" s="3032" t="s">
        <v>1657</v>
      </c>
      <c r="B17" s="3032"/>
      <c r="C17" s="3032"/>
      <c r="D17" s="3032"/>
    </row>
    <row r="18" spans="1:4" ht="15.75" customHeight="1">
      <c r="A18" s="3030" t="str">
        <f>IF(项目基本情况!B8="抵押",结果表办公!K120,"——")</f>
        <v>故，本次评估不存在估价师知悉的法定优先受偿款</v>
      </c>
      <c r="B18" s="3030"/>
      <c r="C18" s="3030"/>
      <c r="D18" s="3030"/>
    </row>
    <row r="19" spans="1:4" ht="46.5" customHeight="1">
      <c r="A19" s="30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0"/>
      <c r="C19" s="3030"/>
      <c r="D19" s="3030"/>
    </row>
    <row r="20" spans="1:4" ht="57.75" customHeight="1">
      <c r="A20" s="3030"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0"/>
      <c r="C20" s="3030"/>
      <c r="D20" s="3030"/>
    </row>
    <row r="21" spans="1:4" ht="57.75" customHeight="1">
      <c r="A21" s="3033"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3"/>
      <c r="C21" s="3033"/>
      <c r="D21" s="3033"/>
    </row>
    <row r="22" spans="1:4" ht="18.75" customHeight="1">
      <c r="A22" s="3034" t="s">
        <v>1658</v>
      </c>
      <c r="B22" s="3034"/>
      <c r="C22" s="3034"/>
      <c r="D22" s="3034"/>
    </row>
    <row r="23" spans="1:4">
      <c r="A23" s="1984"/>
      <c r="B23" s="1956"/>
      <c r="C23" s="1956"/>
      <c r="D23" s="1956"/>
    </row>
    <row r="24" spans="1:4">
      <c r="A24" s="1984"/>
      <c r="B24" s="1956"/>
      <c r="C24" s="1956"/>
      <c r="D24" s="1956"/>
    </row>
    <row r="25" spans="1:4" ht="18.75">
      <c r="A25" s="1985" t="s">
        <v>1659</v>
      </c>
    </row>
    <row r="26" spans="1:4" ht="18">
      <c r="A26" s="1954"/>
    </row>
    <row r="27" spans="1:4" ht="18.75">
      <c r="A27" s="1954" t="s">
        <v>1660</v>
      </c>
    </row>
    <row r="30" spans="1:4" ht="18.75">
      <c r="D30" s="1985" t="s">
        <v>1661</v>
      </c>
    </row>
    <row r="31" spans="1:4" ht="13.5" customHeight="1">
      <c r="C31" s="3031">
        <v>42551</v>
      </c>
      <c r="D31" s="303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2" customWidth="1"/>
    <col min="2" max="16384" width="14.5" style="1974"/>
  </cols>
  <sheetData>
    <row r="1" spans="1:7" s="1989" customFormat="1" ht="18.75">
      <c r="A1" s="1988" t="s">
        <v>1663</v>
      </c>
    </row>
    <row r="3" spans="1:7">
      <c r="A3" s="1990" t="s">
        <v>82</v>
      </c>
      <c r="B3" s="1974" t="s">
        <v>1664</v>
      </c>
      <c r="G3" s="1991"/>
    </row>
    <row r="4" spans="1:7">
      <c r="G4" s="1991"/>
    </row>
    <row r="5" spans="1:7">
      <c r="A5" s="1993" t="s">
        <v>73</v>
      </c>
      <c r="B5" s="1974" t="s">
        <v>1665</v>
      </c>
      <c r="G5" s="1991"/>
    </row>
    <row r="6" spans="1:7">
      <c r="G6" s="1991"/>
    </row>
    <row r="7" spans="1:7">
      <c r="A7" s="1994" t="s">
        <v>135</v>
      </c>
      <c r="B7" s="1974" t="s">
        <v>1666</v>
      </c>
      <c r="G7" s="1991"/>
    </row>
    <row r="8" spans="1:7">
      <c r="G8" s="1991"/>
    </row>
    <row r="9" spans="1:7">
      <c r="A9" s="1995" t="s">
        <v>74</v>
      </c>
      <c r="B9" s="1974" t="s">
        <v>1667</v>
      </c>
    </row>
    <row r="11" spans="1:7">
      <c r="A11" s="1996" t="s">
        <v>75</v>
      </c>
      <c r="B11" s="1997" t="s">
        <v>72</v>
      </c>
    </row>
    <row r="13" spans="1:7">
      <c r="A13" s="1998" t="s">
        <v>1668</v>
      </c>
    </row>
    <row r="15" spans="1:7" ht="13.5">
      <c r="A15" s="3044" t="s">
        <v>1669</v>
      </c>
      <c r="B15" s="3039" t="s">
        <v>136</v>
      </c>
      <c r="C15" s="3040"/>
    </row>
    <row r="16" spans="1:7" ht="13.5">
      <c r="A16" s="3045"/>
      <c r="B16" s="3039" t="s">
        <v>69</v>
      </c>
      <c r="C16" s="3040"/>
    </row>
    <row r="17" spans="1:3" ht="13.5">
      <c r="A17" s="3045"/>
      <c r="B17" s="3042" t="s">
        <v>1670</v>
      </c>
      <c r="C17" s="1999" t="s">
        <v>1669</v>
      </c>
    </row>
    <row r="18" spans="1:3" ht="13.5">
      <c r="A18" s="3045"/>
      <c r="B18" s="3042"/>
      <c r="C18" s="1999" t="s">
        <v>1671</v>
      </c>
    </row>
    <row r="19" spans="1:3" ht="13.5">
      <c r="A19" s="3045"/>
      <c r="B19" s="3042"/>
      <c r="C19" s="1999" t="s">
        <v>1672</v>
      </c>
    </row>
    <row r="20" spans="1:3" ht="13.5">
      <c r="A20" s="3046"/>
      <c r="B20" s="3041" t="s">
        <v>1673</v>
      </c>
      <c r="C20" s="3040"/>
    </row>
    <row r="21" spans="1:3" ht="13.5">
      <c r="A21" s="2000" t="s">
        <v>1674</v>
      </c>
      <c r="B21" s="2001"/>
      <c r="C21" s="2002"/>
    </row>
    <row r="22" spans="1:3" ht="13.5">
      <c r="A22" s="3043" t="s">
        <v>1675</v>
      </c>
      <c r="B22" s="3041" t="s">
        <v>1676</v>
      </c>
      <c r="C22" s="3040"/>
    </row>
    <row r="23" spans="1:3" ht="13.5">
      <c r="A23" s="3043"/>
      <c r="B23" s="3041" t="s">
        <v>1677</v>
      </c>
      <c r="C23" s="3040"/>
    </row>
    <row r="24" spans="1:3" ht="13.5">
      <c r="A24" s="3043"/>
      <c r="B24" s="3041" t="s">
        <v>1678</v>
      </c>
      <c r="C24" s="3040"/>
    </row>
    <row r="25" spans="1:3" ht="13.5">
      <c r="A25" s="3043"/>
      <c r="B25" s="3042" t="s">
        <v>1679</v>
      </c>
      <c r="C25" s="1999" t="s">
        <v>1680</v>
      </c>
    </row>
    <row r="26" spans="1:3" ht="13.5">
      <c r="A26" s="3043"/>
      <c r="B26" s="3042"/>
      <c r="C26" s="1999" t="s">
        <v>1681</v>
      </c>
    </row>
    <row r="27" spans="1:3" ht="13.5">
      <c r="A27" s="3043"/>
      <c r="B27" s="3042"/>
      <c r="C27" s="1999" t="s">
        <v>1682</v>
      </c>
    </row>
    <row r="28" spans="1:3" ht="13.5">
      <c r="A28" s="3043"/>
      <c r="B28" s="3042"/>
      <c r="C28" s="1999" t="s">
        <v>1683</v>
      </c>
    </row>
    <row r="29" spans="1:3" ht="13.5">
      <c r="A29" s="3043"/>
      <c r="B29" s="3042"/>
      <c r="C29" s="1999" t="s">
        <v>1684</v>
      </c>
    </row>
    <row r="30" spans="1:3" ht="13.5">
      <c r="A30" s="3043"/>
      <c r="B30" s="3042"/>
      <c r="C30" s="1999" t="s">
        <v>1685</v>
      </c>
    </row>
    <row r="31" spans="1:3" ht="13.5">
      <c r="A31" s="3043"/>
      <c r="B31" s="3042"/>
      <c r="C31" s="1999" t="s">
        <v>1686</v>
      </c>
    </row>
    <row r="32" spans="1:3" ht="13.5">
      <c r="A32" s="3043"/>
      <c r="B32" s="3042"/>
      <c r="C32" s="1999" t="s">
        <v>1687</v>
      </c>
    </row>
    <row r="33" spans="1:3" ht="13.5">
      <c r="A33" s="3043"/>
      <c r="B33" s="3042"/>
      <c r="C33" s="1999" t="s">
        <v>1688</v>
      </c>
    </row>
    <row r="34" spans="1:3">
      <c r="A34" s="2003" t="s">
        <v>76</v>
      </c>
    </row>
    <row r="37" spans="1:3">
      <c r="A37" s="2003" t="s">
        <v>1689</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B49" sqref="B49"/>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43298</v>
      </c>
      <c r="C2" s="1018" t="s">
        <v>826</v>
      </c>
      <c r="D2" s="1018"/>
    </row>
    <row r="3" spans="1:6" ht="24" customHeight="1">
      <c r="A3" s="1019" t="s">
        <v>827</v>
      </c>
      <c r="B3" s="1020" t="s">
        <v>828</v>
      </c>
      <c r="C3" s="2344" t="s">
        <v>829</v>
      </c>
      <c r="D3" s="2347" t="s">
        <v>830</v>
      </c>
      <c r="E3" s="1021" t="s">
        <v>831</v>
      </c>
      <c r="F3" s="1020" t="s">
        <v>829</v>
      </c>
    </row>
    <row r="4" spans="1:6" ht="24" customHeight="1">
      <c r="A4" s="1701" t="s">
        <v>832</v>
      </c>
      <c r="B4" s="1021">
        <f ca="1">IF(C4&lt;B2,"已过期",1119970066)</f>
        <v>1119970066</v>
      </c>
      <c r="C4" s="2345">
        <v>43849</v>
      </c>
      <c r="D4" s="2348" t="s">
        <v>832</v>
      </c>
      <c r="E4" s="1021">
        <f ca="1">IF(F4&lt;B2,"已过期",96010014)</f>
        <v>96010014</v>
      </c>
      <c r="F4" s="1029">
        <v>47118</v>
      </c>
    </row>
    <row r="5" spans="1:6" ht="24" customHeight="1">
      <c r="A5" s="1701" t="s">
        <v>833</v>
      </c>
      <c r="B5" s="1021">
        <f ca="1">IF(C5&lt;B2,"已过期",1119970074)</f>
        <v>1119970074</v>
      </c>
      <c r="C5" s="2345">
        <v>43849</v>
      </c>
      <c r="D5" s="2348" t="s">
        <v>833</v>
      </c>
      <c r="E5" s="1021">
        <f ca="1">IF(F5&lt;B2,"已过期",2002110027)</f>
        <v>2002110027</v>
      </c>
      <c r="F5" s="1029">
        <v>46752</v>
      </c>
    </row>
    <row r="6" spans="1:6" ht="24" customHeight="1">
      <c r="A6" s="1701" t="s">
        <v>834</v>
      </c>
      <c r="B6" s="1021">
        <f ca="1">IF(C6&lt;B2,"已过期",1119970111)</f>
        <v>1119970111</v>
      </c>
      <c r="C6" s="2345">
        <v>43849</v>
      </c>
      <c r="D6" s="2348" t="s">
        <v>834</v>
      </c>
      <c r="E6" s="1021">
        <f ca="1">IF(F6&lt;B2,"已过期",94010078)</f>
        <v>94010078</v>
      </c>
      <c r="F6" s="1029">
        <v>46387</v>
      </c>
    </row>
    <row r="7" spans="1:6" ht="24" customHeight="1">
      <c r="A7" s="1701" t="s">
        <v>835</v>
      </c>
      <c r="B7" s="1021">
        <f ca="1">IF(C7&lt;B2,"已过期",1120050019)</f>
        <v>1120050019</v>
      </c>
      <c r="C7" s="2345">
        <v>43359</v>
      </c>
      <c r="D7" s="2348" t="s">
        <v>835</v>
      </c>
      <c r="E7" s="1021">
        <f ca="1">IF(F7&lt;B2,"已过期",2002110030)</f>
        <v>2002110030</v>
      </c>
      <c r="F7" s="1029">
        <v>46387</v>
      </c>
    </row>
    <row r="8" spans="1:6" ht="24" customHeight="1">
      <c r="A8" s="1701" t="s">
        <v>836</v>
      </c>
      <c r="B8" s="1021">
        <f ca="1">IF(C8&lt;B2,"已过期",1120000080)</f>
        <v>1120000080</v>
      </c>
      <c r="C8" s="2345">
        <v>43849</v>
      </c>
      <c r="D8" s="2348" t="s">
        <v>836</v>
      </c>
      <c r="E8" s="1021">
        <f ca="1">IF(F8&lt;B2,"已过期",2000110082)</f>
        <v>2000110082</v>
      </c>
      <c r="F8" s="1029">
        <v>46387</v>
      </c>
    </row>
    <row r="9" spans="1:6" ht="24" customHeight="1">
      <c r="A9" s="1701" t="s">
        <v>837</v>
      </c>
      <c r="B9" s="1021">
        <f ca="1">IF(C9&lt;B2,"已过期",1419970001)</f>
        <v>1419970001</v>
      </c>
      <c r="C9" s="2345">
        <v>43867</v>
      </c>
      <c r="D9" s="2348" t="s">
        <v>837</v>
      </c>
      <c r="E9" s="1021">
        <f ca="1">IF(F9&lt;B2,"已过期",2002110125)</f>
        <v>2002110125</v>
      </c>
      <c r="F9" s="1029">
        <v>47118</v>
      </c>
    </row>
    <row r="10" spans="1:6" ht="24" customHeight="1">
      <c r="A10" s="1701" t="s">
        <v>838</v>
      </c>
      <c r="B10" s="1021">
        <f ca="1">IF(C10&lt;B2,"已过期",1120060040)</f>
        <v>1120060040</v>
      </c>
      <c r="C10" s="2345">
        <v>43483</v>
      </c>
      <c r="D10" s="2348" t="s">
        <v>838</v>
      </c>
      <c r="E10" s="1021">
        <f ca="1">IF(F10&lt;B2,"已过期",2004110096)</f>
        <v>2004110096</v>
      </c>
      <c r="F10" s="1029">
        <v>47118</v>
      </c>
    </row>
    <row r="11" spans="1:6" ht="24" customHeight="1">
      <c r="A11" s="1701" t="s">
        <v>839</v>
      </c>
      <c r="B11" s="1021">
        <f ca="1">IF(C11&lt;B2,"已过期",1120100036)</f>
        <v>1120100036</v>
      </c>
      <c r="C11" s="2345">
        <v>43622</v>
      </c>
      <c r="D11" s="2348" t="s">
        <v>839</v>
      </c>
      <c r="E11" s="1021">
        <f ca="1">IF(F11&lt;B2,"已过期",2010110070)</f>
        <v>2010110070</v>
      </c>
      <c r="F11" s="1029">
        <v>47907</v>
      </c>
    </row>
    <row r="12" spans="1:6" ht="24" customHeight="1">
      <c r="A12" s="1701" t="s">
        <v>3049</v>
      </c>
      <c r="B12" s="1021">
        <v>1120110054</v>
      </c>
      <c r="C12" s="2941">
        <v>43937</v>
      </c>
      <c r="D12" s="1701" t="s">
        <v>3049</v>
      </c>
      <c r="E12" s="1021">
        <v>2008110060</v>
      </c>
      <c r="F12" s="1029">
        <v>47177</v>
      </c>
    </row>
    <row r="13" spans="1:6" ht="24" customHeight="1">
      <c r="A13" s="1701" t="s">
        <v>840</v>
      </c>
      <c r="B13" s="1021">
        <f ca="1">IF(C13&lt;B2,"已过期",1120070131)</f>
        <v>1120070131</v>
      </c>
      <c r="C13" s="2345">
        <v>43814</v>
      </c>
      <c r="D13" s="2348" t="s">
        <v>840</v>
      </c>
      <c r="E13" s="1021">
        <v>2014110011</v>
      </c>
      <c r="F13" s="1029">
        <v>49302</v>
      </c>
    </row>
    <row r="14" spans="1:6" ht="24" customHeight="1">
      <c r="A14" s="1701" t="s">
        <v>841</v>
      </c>
      <c r="B14" s="1021">
        <f ca="1">IF(C14&lt;B2,"已过期",1120130020)</f>
        <v>1120130020</v>
      </c>
      <c r="C14" s="2345">
        <v>43622</v>
      </c>
      <c r="D14" s="2348"/>
      <c r="E14" s="1021"/>
      <c r="F14" s="1021"/>
    </row>
    <row r="15" spans="1:6" ht="24" customHeight="1">
      <c r="A15" s="1702" t="s">
        <v>1149</v>
      </c>
      <c r="B15" s="1021">
        <v>1120070085</v>
      </c>
      <c r="C15" s="2345">
        <v>43814</v>
      </c>
      <c r="D15" s="2349" t="s">
        <v>1149</v>
      </c>
      <c r="E15" s="1021">
        <v>2004110128</v>
      </c>
      <c r="F15" s="1022">
        <v>47118</v>
      </c>
    </row>
    <row r="16" spans="1:6" ht="24" customHeight="1">
      <c r="A16" s="1701" t="s">
        <v>842</v>
      </c>
      <c r="B16" s="1021">
        <f ca="1">IF(C16&lt;B2,"已过期",1120140022)</f>
        <v>1120140022</v>
      </c>
      <c r="C16" s="2345">
        <v>44029</v>
      </c>
      <c r="D16" s="2348" t="s">
        <v>842</v>
      </c>
      <c r="E16" s="1021">
        <f ca="1">IF(F16&lt;B2,"已过期",2008110059)</f>
        <v>2008110059</v>
      </c>
      <c r="F16" s="1029">
        <v>47177</v>
      </c>
    </row>
    <row r="17" spans="1:7" ht="24" customHeight="1">
      <c r="A17" s="1701"/>
      <c r="B17" s="1021"/>
      <c r="C17" s="2345"/>
      <c r="D17" s="2348"/>
      <c r="E17" s="1021"/>
      <c r="F17" s="1029"/>
    </row>
    <row r="18" spans="1:7" ht="24" customHeight="1">
      <c r="A18" s="1701"/>
      <c r="B18" s="1021"/>
      <c r="C18" s="2345"/>
      <c r="D18" s="2348"/>
      <c r="E18" s="1021"/>
      <c r="F18" s="1029"/>
    </row>
    <row r="19" spans="1:7" ht="24" customHeight="1">
      <c r="A19" s="1701"/>
      <c r="B19" s="1021"/>
      <c r="C19" s="2345"/>
      <c r="D19" s="2348"/>
      <c r="E19" s="1021"/>
      <c r="F19" s="1021"/>
    </row>
    <row r="20" spans="1:7" ht="24" customHeight="1">
      <c r="A20" s="1701"/>
      <c r="B20" s="1021"/>
      <c r="C20" s="2345"/>
      <c r="D20" s="2348"/>
      <c r="E20" s="1021"/>
      <c r="F20" s="1021"/>
    </row>
    <row r="21" spans="1:7" ht="24" customHeight="1">
      <c r="A21" s="1701"/>
      <c r="B21" s="1021"/>
      <c r="C21" s="2345"/>
      <c r="D21" s="2348" t="s">
        <v>843</v>
      </c>
      <c r="E21" s="1021">
        <f ca="1">IF(F21&lt;B2,"已过期",2011110090)</f>
        <v>2011110090</v>
      </c>
      <c r="F21" s="1029">
        <v>48302</v>
      </c>
    </row>
    <row r="22" spans="1:7" ht="24" customHeight="1">
      <c r="A22" s="1701" t="s">
        <v>844</v>
      </c>
      <c r="B22" s="1021">
        <f ca="1">IF(C22&lt;B2,"已过期",1120020033)</f>
        <v>1120020033</v>
      </c>
      <c r="C22" s="2345">
        <v>43304</v>
      </c>
      <c r="D22" s="2348" t="s">
        <v>844</v>
      </c>
      <c r="E22" s="1021">
        <f ca="1">IF(F22&lt;B2,"已过期",2000110137)</f>
        <v>2000110137</v>
      </c>
      <c r="F22" s="1029">
        <v>46387</v>
      </c>
    </row>
    <row r="23" spans="1:7" ht="24" customHeight="1">
      <c r="A23" s="1701" t="s">
        <v>845</v>
      </c>
      <c r="B23" s="1021">
        <f ca="1">IF(C23&lt;B2,"已过期",1120130048)</f>
        <v>1120130048</v>
      </c>
      <c r="C23" s="2345">
        <v>43686</v>
      </c>
      <c r="D23" s="2348"/>
      <c r="E23" s="1021"/>
      <c r="F23" s="1021"/>
    </row>
    <row r="24" spans="1:7" s="1023" customFormat="1" ht="24" customHeight="1">
      <c r="A24" s="1702" t="s">
        <v>1333</v>
      </c>
      <c r="B24" s="1702" t="s">
        <v>1333</v>
      </c>
      <c r="C24" s="2346" t="s">
        <v>1333</v>
      </c>
      <c r="D24" s="2349" t="s">
        <v>1333</v>
      </c>
      <c r="E24" s="1702" t="s">
        <v>1333</v>
      </c>
      <c r="F24" s="1702" t="s">
        <v>1333</v>
      </c>
    </row>
    <row r="25" spans="1:7" ht="24" customHeight="1">
      <c r="A25" s="3047" t="s">
        <v>846</v>
      </c>
      <c r="B25" s="3047"/>
      <c r="C25" s="3047"/>
      <c r="D25" s="3047"/>
      <c r="E25" s="3047"/>
      <c r="F25" s="3047"/>
      <c r="G25" s="3047"/>
    </row>
    <row r="26" spans="1:7" s="1024" customFormat="1" ht="24" customHeight="1">
      <c r="A26" s="3048" t="s">
        <v>847</v>
      </c>
      <c r="B26" s="3048"/>
      <c r="C26" s="3049"/>
      <c r="D26" s="3050" t="s">
        <v>848</v>
      </c>
      <c r="E26" s="3048"/>
      <c r="F26" s="3048"/>
    </row>
    <row r="27" spans="1:7" s="1026" customFormat="1" ht="24" customHeight="1">
      <c r="A27" s="1025" t="s">
        <v>849</v>
      </c>
      <c r="B27" s="1020" t="s">
        <v>850</v>
      </c>
      <c r="C27" s="2344" t="s">
        <v>851</v>
      </c>
      <c r="D27" s="2352" t="s">
        <v>849</v>
      </c>
      <c r="E27" s="1020" t="s">
        <v>850</v>
      </c>
      <c r="F27" s="1020" t="s">
        <v>851</v>
      </c>
    </row>
    <row r="28" spans="1:7" s="1026" customFormat="1" ht="24" customHeight="1">
      <c r="A28" s="1027" t="s">
        <v>852</v>
      </c>
      <c r="B28" s="1028" t="s">
        <v>853</v>
      </c>
      <c r="C28" s="2350">
        <v>43725</v>
      </c>
      <c r="D28" s="2353" t="s">
        <v>854</v>
      </c>
      <c r="E28" s="1027" t="s">
        <v>855</v>
      </c>
      <c r="F28" s="1057">
        <v>44377</v>
      </c>
    </row>
    <row r="29" spans="1:7" s="1026" customFormat="1" ht="24" customHeight="1">
      <c r="A29" s="1027"/>
      <c r="B29" s="1027"/>
      <c r="C29" s="2351"/>
      <c r="D29" s="2353" t="s">
        <v>856</v>
      </c>
      <c r="E29" s="1201" t="s">
        <v>1384</v>
      </c>
      <c r="F29" s="1202">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58" priority="62">
      <formula>AND($C28-TODAY()&lt;30,TODAY()&lt;$C28)</formula>
    </cfRule>
  </conditionalFormatting>
  <conditionalFormatting sqref="C28 F4">
    <cfRule type="cellIs" dxfId="257" priority="64" stopIfTrue="1" operator="lessThan">
      <formula>$B$2</formula>
    </cfRule>
  </conditionalFormatting>
  <conditionalFormatting sqref="C5">
    <cfRule type="expression" dxfId="256" priority="59">
      <formula>AND($C5-TODAY()&lt;30,TODAY()&lt;$C5)</formula>
    </cfRule>
  </conditionalFormatting>
  <conditionalFormatting sqref="C5 F5">
    <cfRule type="cellIs" dxfId="255" priority="60" stopIfTrue="1" operator="lessThan">
      <formula>$B$2</formula>
    </cfRule>
  </conditionalFormatting>
  <conditionalFormatting sqref="F6 F8 F10">
    <cfRule type="cellIs" dxfId="254" priority="58" stopIfTrue="1" operator="lessThan">
      <formula>$B$2</formula>
    </cfRule>
  </conditionalFormatting>
  <conditionalFormatting sqref="C4:C11 C13:C23">
    <cfRule type="expression" dxfId="253" priority="56">
      <formula>AND($C4-TODAY()&lt;30,TODAY()&lt;$C4)</formula>
    </cfRule>
  </conditionalFormatting>
  <conditionalFormatting sqref="F7 F9 F11 C4:C11 C13:C23">
    <cfRule type="cellIs" dxfId="252" priority="57" stopIfTrue="1" operator="lessThan">
      <formula>$B$2</formula>
    </cfRule>
  </conditionalFormatting>
  <conditionalFormatting sqref="C14">
    <cfRule type="expression" dxfId="251" priority="50">
      <formula>AND($C14-TODAY()&lt;30,TODAY()&lt;$C14)</formula>
    </cfRule>
  </conditionalFormatting>
  <conditionalFormatting sqref="C14">
    <cfRule type="cellIs" dxfId="250" priority="51" stopIfTrue="1" operator="lessThan">
      <formula>$B$2</formula>
    </cfRule>
  </conditionalFormatting>
  <conditionalFormatting sqref="C16">
    <cfRule type="expression" dxfId="249" priority="48">
      <formula>AND($C16-TODAY()&lt;30,TODAY()&lt;$C16)</formula>
    </cfRule>
  </conditionalFormatting>
  <conditionalFormatting sqref="C16">
    <cfRule type="cellIs" dxfId="248" priority="49" stopIfTrue="1" operator="lessThan">
      <formula>$B$2</formula>
    </cfRule>
  </conditionalFormatting>
  <conditionalFormatting sqref="C18">
    <cfRule type="expression" dxfId="247" priority="46">
      <formula>AND($C18-TODAY()&lt;30,TODAY()&lt;$C18)</formula>
    </cfRule>
  </conditionalFormatting>
  <conditionalFormatting sqref="C18">
    <cfRule type="cellIs" dxfId="246" priority="47" stopIfTrue="1" operator="lessThan">
      <formula>$B$2</formula>
    </cfRule>
  </conditionalFormatting>
  <conditionalFormatting sqref="C20">
    <cfRule type="expression" dxfId="245" priority="44">
      <formula>AND($C20-TODAY()&lt;30,TODAY()&lt;$C20)</formula>
    </cfRule>
  </conditionalFormatting>
  <conditionalFormatting sqref="C20">
    <cfRule type="cellIs" dxfId="244" priority="45" stopIfTrue="1" operator="lessThan">
      <formula>$B$2</formula>
    </cfRule>
  </conditionalFormatting>
  <conditionalFormatting sqref="C22">
    <cfRule type="expression" dxfId="243" priority="42">
      <formula>AND($C22-TODAY()&lt;30,TODAY()&lt;$C22)</formula>
    </cfRule>
  </conditionalFormatting>
  <conditionalFormatting sqref="C22">
    <cfRule type="cellIs" dxfId="242" priority="43" stopIfTrue="1" operator="lessThan">
      <formula>$B$2</formula>
    </cfRule>
  </conditionalFormatting>
  <conditionalFormatting sqref="C15">
    <cfRule type="expression" dxfId="241" priority="40">
      <formula>AND($C15-TODAY()&lt;30,TODAY()&lt;$C15)</formula>
    </cfRule>
  </conditionalFormatting>
  <conditionalFormatting sqref="C15">
    <cfRule type="cellIs" dxfId="240" priority="41" stopIfTrue="1" operator="lessThan">
      <formula>$B$2</formula>
    </cfRule>
  </conditionalFormatting>
  <conditionalFormatting sqref="C17">
    <cfRule type="expression" dxfId="239" priority="38">
      <formula>AND($C17-TODAY()&lt;30,TODAY()&lt;$C17)</formula>
    </cfRule>
  </conditionalFormatting>
  <conditionalFormatting sqref="C17">
    <cfRule type="cellIs" dxfId="238" priority="39" stopIfTrue="1" operator="lessThan">
      <formula>$B$2</formula>
    </cfRule>
  </conditionalFormatting>
  <conditionalFormatting sqref="C19">
    <cfRule type="expression" dxfId="237" priority="36">
      <formula>AND($C19-TODAY()&lt;30,TODAY()&lt;$C19)</formula>
    </cfRule>
  </conditionalFormatting>
  <conditionalFormatting sqref="C19">
    <cfRule type="cellIs" dxfId="236" priority="37" stopIfTrue="1" operator="lessThan">
      <formula>$B$2</formula>
    </cfRule>
  </conditionalFormatting>
  <conditionalFormatting sqref="C21">
    <cfRule type="expression" dxfId="235" priority="34">
      <formula>AND($C21-TODAY()&lt;30,TODAY()&lt;$C21)</formula>
    </cfRule>
  </conditionalFormatting>
  <conditionalFormatting sqref="C21">
    <cfRule type="cellIs" dxfId="234" priority="35" stopIfTrue="1" operator="lessThan">
      <formula>$B$2</formula>
    </cfRule>
  </conditionalFormatting>
  <conditionalFormatting sqref="C23">
    <cfRule type="expression" dxfId="233" priority="32">
      <formula>AND($C23-TODAY()&lt;30,TODAY()&lt;$C23)</formula>
    </cfRule>
  </conditionalFormatting>
  <conditionalFormatting sqref="C23">
    <cfRule type="cellIs" dxfId="232" priority="33" stopIfTrue="1" operator="lessThan">
      <formula>$B$2</formula>
    </cfRule>
  </conditionalFormatting>
  <conditionalFormatting sqref="F16">
    <cfRule type="cellIs" dxfId="231" priority="30" stopIfTrue="1" operator="lessThan">
      <formula>$B$2</formula>
    </cfRule>
  </conditionalFormatting>
  <conditionalFormatting sqref="F18">
    <cfRule type="cellIs" dxfId="230" priority="29" stopIfTrue="1" operator="lessThan">
      <formula>$B$2</formula>
    </cfRule>
  </conditionalFormatting>
  <conditionalFormatting sqref="F22">
    <cfRule type="cellIs" dxfId="229" priority="28" stopIfTrue="1" operator="lessThan">
      <formula>$B$2</formula>
    </cfRule>
  </conditionalFormatting>
  <conditionalFormatting sqref="F21">
    <cfRule type="cellIs" dxfId="228" priority="27" stopIfTrue="1" operator="lessThan">
      <formula>$B$2</formula>
    </cfRule>
  </conditionalFormatting>
  <conditionalFormatting sqref="F17">
    <cfRule type="cellIs" dxfId="227" priority="26" stopIfTrue="1" operator="lessThan">
      <formula>$B$2</formula>
    </cfRule>
  </conditionalFormatting>
  <conditionalFormatting sqref="B4:B11 E4:E11 B16:B23 E16:E23 B13:B14 E13:E14">
    <cfRule type="cellIs" dxfId="226" priority="25" stopIfTrue="1" operator="equal">
      <formula>"已过期"</formula>
    </cfRule>
  </conditionalFormatting>
  <conditionalFormatting sqref="A24:F24">
    <cfRule type="cellIs" dxfId="225" priority="21" stopIfTrue="1" operator="equal">
      <formula>"已过期"</formula>
    </cfRule>
  </conditionalFormatting>
  <conditionalFormatting sqref="F28">
    <cfRule type="expression" dxfId="224" priority="19">
      <formula>AND($E28-TODAY()&lt;30,TODAY()&lt;$E28)</formula>
    </cfRule>
  </conditionalFormatting>
  <conditionalFormatting sqref="F28">
    <cfRule type="cellIs" dxfId="223" priority="20" stopIfTrue="1" operator="lessThan">
      <formula>$B$2</formula>
    </cfRule>
  </conditionalFormatting>
  <conditionalFormatting sqref="F29">
    <cfRule type="expression" dxfId="222" priority="15" stopIfTrue="1">
      <formula>AND($E29-TODAY()&lt;30,TODAY()&lt;$E29)</formula>
    </cfRule>
  </conditionalFormatting>
  <conditionalFormatting sqref="F29">
    <cfRule type="cellIs" dxfId="221" priority="16" stopIfTrue="1" operator="lessThan">
      <formula>$B$2</formula>
    </cfRule>
  </conditionalFormatting>
  <conditionalFormatting sqref="B15">
    <cfRule type="cellIs" dxfId="220" priority="13" stopIfTrue="1" operator="equal">
      <formula>"已过期"</formula>
    </cfRule>
  </conditionalFormatting>
  <conditionalFormatting sqref="A15">
    <cfRule type="cellIs" dxfId="219" priority="12" stopIfTrue="1" operator="equal">
      <formula>"已过期"</formula>
    </cfRule>
  </conditionalFormatting>
  <conditionalFormatting sqref="C15">
    <cfRule type="expression" dxfId="218" priority="11">
      <formula>AND($C15-TODAY()&lt;30,TODAY()&lt;$C15)</formula>
    </cfRule>
  </conditionalFormatting>
  <conditionalFormatting sqref="E15">
    <cfRule type="cellIs" dxfId="217" priority="10" stopIfTrue="1" operator="equal">
      <formula>"已过期"</formula>
    </cfRule>
  </conditionalFormatting>
  <conditionalFormatting sqref="D15">
    <cfRule type="cellIs" dxfId="216" priority="9" stopIfTrue="1" operator="equal">
      <formula>"已过期"</formula>
    </cfRule>
  </conditionalFormatting>
  <conditionalFormatting sqref="F13">
    <cfRule type="cellIs" dxfId="215" priority="8" stopIfTrue="1" operator="lessThan">
      <formula>$B$2</formula>
    </cfRule>
  </conditionalFormatting>
  <conditionalFormatting sqref="C12">
    <cfRule type="expression" dxfId="214" priority="6">
      <formula>AND($C12-TODAY()&lt;30,TODAY()&lt;$C12)</formula>
    </cfRule>
  </conditionalFormatting>
  <conditionalFormatting sqref="C12">
    <cfRule type="cellIs" dxfId="213" priority="7" stopIfTrue="1" operator="lessThan">
      <formula>$B$2</formula>
    </cfRule>
  </conditionalFormatting>
  <conditionalFormatting sqref="C12">
    <cfRule type="expression" dxfId="212" priority="4">
      <formula>AND($C12-TODAY()&lt;30,TODAY()&lt;$C12)</formula>
    </cfRule>
  </conditionalFormatting>
  <conditionalFormatting sqref="C12">
    <cfRule type="cellIs" dxfId="211" priority="5" stopIfTrue="1" operator="lessThan">
      <formula>$B$2</formula>
    </cfRule>
  </conditionalFormatting>
  <conditionalFormatting sqref="B12">
    <cfRule type="cellIs" dxfId="210" priority="3" stopIfTrue="1" operator="equal">
      <formula>"已过期"</formula>
    </cfRule>
  </conditionalFormatting>
  <conditionalFormatting sqref="E12">
    <cfRule type="cellIs" dxfId="209" priority="2" stopIfTrue="1" operator="equal">
      <formula>"已过期"</formula>
    </cfRule>
  </conditionalFormatting>
  <conditionalFormatting sqref="F12">
    <cfRule type="cellIs" dxfId="208"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163</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面积表及商业修正表</vt:lpstr>
      <vt:lpstr>数据-基础表</vt:lpstr>
      <vt:lpstr>抵押物清单（分楼）</vt:lpstr>
      <vt:lpstr>数据-汇总表</vt:lpstr>
      <vt:lpstr>数据-取费表</vt:lpstr>
      <vt:lpstr>估价对象房地状况</vt:lpstr>
      <vt:lpstr>系统读取表</vt:lpstr>
      <vt:lpstr>结果表办公</vt:lpstr>
      <vt:lpstr>成本法 (元)</vt:lpstr>
      <vt:lpstr>假设开发法</vt:lpstr>
      <vt:lpstr>收益法 (元)</vt:lpstr>
      <vt:lpstr>比较法-办公</vt:lpstr>
      <vt:lpstr>收益法办公</vt:lpstr>
      <vt:lpstr>酒店收入计算</vt:lpstr>
      <vt:lpstr>比较法-住宅</vt:lpstr>
      <vt:lpstr>比较法-办公 (租金)</vt:lpstr>
      <vt:lpstr>结果表商业</vt:lpstr>
      <vt:lpstr>比较法-商业</vt:lpstr>
      <vt:lpstr>收益法商业</vt:lpstr>
      <vt:lpstr>比较法-工业</vt:lpstr>
      <vt:lpstr>比较法-车位</vt:lpstr>
      <vt:lpstr>比较法-商业 (租金)</vt:lpstr>
      <vt:lpstr>典型户型修正</vt:lpstr>
      <vt:lpstr>结果表仓储</vt:lpstr>
      <vt:lpstr>收益法（汇总）</vt:lpstr>
      <vt:lpstr>成本法</vt:lpstr>
      <vt:lpstr>收益法仓储</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案例</vt:lpstr>
      <vt:lpstr>估价师及机构信息!Print_Area</vt:lpstr>
      <vt:lpstr>'收益法 (元)'!Print_Area</vt:lpstr>
      <vt:lpstr>收益法办公!Print_Area</vt:lpstr>
      <vt:lpstr>收益法仓储!Print_Area</vt:lpstr>
      <vt:lpstr>收益法商业!Print_Area</vt:lpstr>
      <vt:lpstr>'数据-汇总表'!Print_Area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2018-07-17T10:17:41Z</dcterms:modified>
</cp:coreProperties>
</file>