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李诗霖\诗霖wuli报告们\2023年\项目\8首开\首开熙湖悦著\测算们\"/>
    </mc:Choice>
  </mc:AlternateContent>
  <bookViews>
    <workbookView xWindow="-120" yWindow="-120" windowWidth="20730" windowHeight="111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已售明细" sheetId="81" r:id="rId12"/>
    <sheet name="未售明细" sheetId="82" r:id="rId13"/>
    <sheet name="项目基本情况" sheetId="4" r:id="rId14"/>
    <sheet name="数据-基础表" sheetId="3" r:id="rId15"/>
    <sheet name="数据-汇总表" sheetId="6" r:id="rId16"/>
    <sheet name="数据-取费表" sheetId="1" r:id="rId17"/>
    <sheet name="比较法-中跃住宅" sheetId="96" state="hidden" r:id="rId18"/>
    <sheet name="比较法-下跃住宅" sheetId="97" state="hidden" r:id="rId19"/>
    <sheet name="面积表" sheetId="80" r:id="rId20"/>
    <sheet name="结果表-洋房" sheetId="9" state="hidden" r:id="rId21"/>
    <sheet name="成本法-洋房" sheetId="68" state="hidden" r:id="rId22"/>
    <sheet name="基准地价修正" sheetId="43" state="hidden" r:id="rId23"/>
    <sheet name="土地级别" sheetId="83" state="hidden" r:id="rId24"/>
    <sheet name="估价对象房地状况" sheetId="20" state="hidden" r:id="rId25"/>
    <sheet name="假设开发法" sheetId="12" state="hidden" r:id="rId26"/>
    <sheet name="比较法-洋房" sheetId="21" r:id="rId27"/>
    <sheet name="金地大湖风华中指" sheetId="85" r:id="rId28"/>
    <sheet name="天恒·京西悦府" sheetId="95" r:id="rId29"/>
    <sheet name="中国铁建·山语澜廷中指1" sheetId="106" r:id="rId30"/>
    <sheet name="二手房案例" sheetId="105" r:id="rId31"/>
    <sheet name="天恒·摩墅" sheetId="93" r:id="rId32"/>
    <sheet name="北京半岛中指" sheetId="89" r:id="rId33"/>
    <sheet name="结果表-车位" sheetId="103" r:id="rId34"/>
    <sheet name="比较法-车位" sheetId="35" r:id="rId35"/>
    <sheet name="车位案例" sheetId="100" r:id="rId36"/>
    <sheet name="成本法-车位" sheetId="102" r:id="rId37"/>
    <sheet name="收益法-车位" sheetId="101" r:id="rId38"/>
    <sheet name="系统读取表" sheetId="74" r:id="rId39"/>
    <sheet name="房山项目汇总" sheetId="87" r:id="rId40"/>
    <sheet name="收益法 (元)" sheetId="67" state="hidden" r:id="rId41"/>
    <sheet name="收益法-酒店模型" sheetId="77" state="hidden" r:id="rId42"/>
    <sheet name="收益法（汇总）" sheetId="70" state="hidden" r:id="rId43"/>
    <sheet name="建委熙湖悦著" sheetId="84" r:id="rId44"/>
    <sheet name="熙湖悦著中指" sheetId="86" r:id="rId45"/>
    <sheet name="中国铁建·山语澜廷中指" sheetId="88" r:id="rId46"/>
    <sheet name="东亚朗悦居" sheetId="94" r:id="rId47"/>
    <sheet name="中骏云景台" sheetId="92" r:id="rId48"/>
    <sheet name="北京恒大御峰中指" sheetId="91" r:id="rId49"/>
    <sheet name="比较法-商业" sheetId="33" state="hidden" r:id="rId50"/>
    <sheet name="比较法-办公" sheetId="34" state="hidden" r:id="rId51"/>
    <sheet name="比较法-工业" sheetId="37" state="hidden" r:id="rId52"/>
    <sheet name="土地比较法-住宅、综合" sheetId="39" state="hidden" r:id="rId53"/>
    <sheet name="土地比较法-工业" sheetId="40" state="hidden" r:id="rId54"/>
    <sheet name="典型户型修正" sheetId="31" state="hidden" r:id="rId55"/>
    <sheet name="基准地价（汇总）" sheetId="76" state="hidden" r:id="rId56"/>
    <sheet name="成本法 (元)" sheetId="69" state="hidden" r:id="rId57"/>
    <sheet name="比较法-仓储" sheetId="36" state="hidden" r:id="rId58"/>
    <sheet name="收益法" sheetId="15" state="hidden" r:id="rId59"/>
    <sheet name="洋房租金案例" sheetId="99" r:id="rId60"/>
    <sheet name="修正" sheetId="45" state="hidden" r:id="rId61"/>
    <sheet name="容积率修正" sheetId="46" state="hidden" r:id="rId62"/>
    <sheet name="成本法（废）" sheetId="11" state="hidden" r:id="rId63"/>
    <sheet name="区片价" sheetId="44" state="hidden" r:id="rId64"/>
    <sheet name="因素修正幅度" sheetId="65" state="hidden" r:id="rId65"/>
    <sheet name="区片价（范围）" sheetId="75" state="hidden" r:id="rId66"/>
    <sheet name="地价-分区" sheetId="79" state="hidden" r:id="rId67"/>
    <sheet name="地价" sheetId="71" state="hidden" r:id="rId68"/>
    <sheet name="存贷款利率" sheetId="73" state="hidden" r:id="rId69"/>
  </sheets>
  <externalReferences>
    <externalReference r:id="rId70"/>
    <externalReference r:id="rId71"/>
    <externalReference r:id="rId72"/>
  </externalReferences>
  <definedNames>
    <definedName name="_xlnm._FilterDatabase" localSheetId="50" hidden="1">'比较法-办公'!$A$1:$L$50</definedName>
    <definedName name="_xlnm._FilterDatabase" localSheetId="57" hidden="1">'比较法-仓储'!$A$1:$L$37</definedName>
    <definedName name="_xlnm._FilterDatabase" localSheetId="34" hidden="1">'比较法-车位'!$A$1:$L$39</definedName>
    <definedName name="_xlnm._FilterDatabase" localSheetId="51" hidden="1">'比较法-工业'!$A$1:$L$43</definedName>
    <definedName name="_xlnm._FilterDatabase" localSheetId="49" hidden="1">'比较法-商业'!$A$1:$L$49</definedName>
    <definedName name="_xlnm._FilterDatabase" localSheetId="18" hidden="1">'比较法-下跃住宅'!$A$1:$L$49</definedName>
    <definedName name="_xlnm._FilterDatabase" localSheetId="26" hidden="1">'比较法-洋房'!$A$1:$L$49</definedName>
    <definedName name="_xlnm._FilterDatabase" localSheetId="17" hidden="1">'比较法-中跃住宅'!$A$1:$L$49</definedName>
    <definedName name="_xlnm._FilterDatabase" localSheetId="27" hidden="1">金地大湖风华中指!$A$2:$L$17</definedName>
    <definedName name="_xlnm._FilterDatabase" localSheetId="14"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2" hidden="1">未售明细!$A$1:$D$2018</definedName>
    <definedName name="_xlnm._FilterDatabase" localSheetId="44" hidden="1">熙湖悦著中指!$A$1:$L$101</definedName>
    <definedName name="_xlnm._FilterDatabase" localSheetId="13" hidden="1">项目基本情况!$A$42:$N$42</definedName>
    <definedName name="_xlnm._FilterDatabase" localSheetId="11" hidden="1">已售明细!$A$1:$G$1</definedName>
    <definedName name="_xlnm._FilterDatabase" localSheetId="29" hidden="1">中国铁建·山语澜廷中指1!$A$2:$N$50</definedName>
    <definedName name="_xlnm.Print_Area" localSheetId="50">'比较法-办公'!$A$1:$K$55,'比较法-办公'!$A$58:$M$132</definedName>
    <definedName name="_xlnm.Print_Area" localSheetId="57">'比较法-仓储'!$A$1:$K$42,'比较法-仓储'!$A$45:$M$96</definedName>
    <definedName name="_xlnm.Print_Area" localSheetId="34">'比较法-车位'!$A$1:$K$44,'比较法-车位'!$A$47:$M$102</definedName>
    <definedName name="_xlnm.Print_Area" localSheetId="51">'比较法-工业'!$A$1:$K$48,'比较法-工业'!$A$51:$M$113</definedName>
    <definedName name="_xlnm.Print_Area" localSheetId="49">'比较法-商业'!$A$1:$K$54,'比较法-商业'!$A$57:$M$131</definedName>
    <definedName name="_xlnm.Print_Area" localSheetId="18">'比较法-下跃住宅'!$A$1:$K$54,'比较法-下跃住宅'!$A$57:$M$131</definedName>
    <definedName name="_xlnm.Print_Area" localSheetId="26">'比较法-洋房'!$A$1:$K$54,'比较法-洋房'!$A$57:$M$131</definedName>
    <definedName name="_xlnm.Print_Area" localSheetId="17">'比较法-中跃住宅'!$A$1:$K$54,'比较法-中跃住宅'!$A$57:$M$131</definedName>
    <definedName name="_xlnm.Print_Area" localSheetId="56">'成本法 (元)'!$A$1:$G$57</definedName>
    <definedName name="_xlnm.Print_Area" localSheetId="36">'成本法-车位'!$A$1:$G$57</definedName>
    <definedName name="_xlnm.Print_Area" localSheetId="21">'成本法-洋房'!$A$1:$G$57</definedName>
    <definedName name="_xlnm.Print_Area" localSheetId="24">估价对象房地状况!$A$1:$G$24</definedName>
    <definedName name="_xlnm.Print_Area" localSheetId="8">估价师及机构信息!$A$1:$G$22</definedName>
    <definedName name="_xlnm.Print_Area" localSheetId="55">'基准地价（汇总）'!$A$1:$E$13</definedName>
    <definedName name="_xlnm.Print_Area" localSheetId="22">基准地价修正!$A$1:$J$44,基准地价修正!$A$47:$H$101,基准地价修正!$R$1:$V$16</definedName>
    <definedName name="_xlnm.Print_Area" localSheetId="25">假设开发法!$A$1:$K$32</definedName>
    <definedName name="_xlnm.Print_Area" localSheetId="33">'结果表-车位'!$A$1:$I$127</definedName>
    <definedName name="_xlnm.Print_Area" localSheetId="20">'结果表-洋房'!$A$1:$I$127</definedName>
    <definedName name="_xlnm.Print_Area" localSheetId="58">收益法!$A$1:$F$43,收益法!$H$3:$M$29,收益法!$A$46:$F$71,收益法!$I$46:$N$65</definedName>
    <definedName name="_xlnm.Print_Area" localSheetId="40">'收益法 (元)'!$A$1:$F$43,'收益法 (元)'!$H$3:$M$29,'收益法 (元)'!$A$45:$F$71,'收益法 (元)'!$I$46:$N$65</definedName>
    <definedName name="_xlnm.Print_Area" localSheetId="42">'收益法（汇总）'!$A$1:$F$13</definedName>
    <definedName name="_xlnm.Print_Area" localSheetId="37">'收益法-车位'!$A$1:$F$43,'收益法-车位'!$H$3:$M$29,'收益法-车位'!$A$46:$F$71,'收益法-车位'!$I$46:$N$65</definedName>
    <definedName name="_xlnm.Print_Area" localSheetId="15">'数据-汇总表'!$A$1:$P$32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38">系统读取表!$A$1:$I$26</definedName>
    <definedName name="_xlnm.Print_Area" localSheetId="13">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8">'比较法-下跃住宅'!$B$88:$M$88</definedName>
    <definedName name="住宅朝向" localSheetId="17">'比较法-中跃住宅'!$B$88:$M$88</definedName>
    <definedName name="住宅朝向">'比较法-洋房'!$B$88:$M$88</definedName>
    <definedName name="住宅房型" localSheetId="18">'比较法-下跃住宅'!$B$118:$M$118</definedName>
    <definedName name="住宅房型" localSheetId="17">'比较法-中跃住宅'!$B$118:$M$118</definedName>
    <definedName name="住宅房型">'比较法-洋房'!$B$118:$M$118</definedName>
    <definedName name="住宅公共部分装修" localSheetId="18">'比较法-下跃住宅'!$B$109:$M$109</definedName>
    <definedName name="住宅公共部分装修" localSheetId="17">'比较法-中跃住宅'!$B$109:$M$109</definedName>
    <definedName name="住宅公共部分装修">'比较法-洋房'!$B$109:$M$109</definedName>
    <definedName name="住宅基础设施水平" localSheetId="18">'比较法-下跃住宅'!$B$116:$M$116</definedName>
    <definedName name="住宅基础设施水平" localSheetId="17">'比较法-中跃住宅'!$B$116:$M$116</definedName>
    <definedName name="住宅基础设施水平">'比较法-洋房'!$B$116:$M$116</definedName>
    <definedName name="住宅建筑结构" localSheetId="18">'比较法-下跃住宅'!$B$105:$M$105</definedName>
    <definedName name="住宅建筑结构" localSheetId="17">'比较法-中跃住宅'!$B$105:$M$105</definedName>
    <definedName name="住宅建筑结构">'比较法-洋房'!$B$105:$M$105</definedName>
    <definedName name="住宅建筑类型" localSheetId="18">'比较法-下跃住宅'!$B$100:$M$100</definedName>
    <definedName name="住宅建筑类型" localSheetId="17">'比较法-中跃住宅'!$B$100:$M$100</definedName>
    <definedName name="住宅建筑类型">'比较法-洋房'!$B$100:$M$100</definedName>
    <definedName name="住宅建筑品质" localSheetId="18">'比较法-下跃住宅'!$B$107:$M$107</definedName>
    <definedName name="住宅建筑品质" localSheetId="17">'比较法-中跃住宅'!$B$107:$M$107</definedName>
    <definedName name="住宅建筑品质">'比较法-洋房'!$B$107:$M$107</definedName>
    <definedName name="住宅交易情况" localSheetId="18">'比较法-下跃住宅'!$A$61:$M$61</definedName>
    <definedName name="住宅交易情况" localSheetId="17">'比较法-中跃住宅'!$A$61:$M$61</definedName>
    <definedName name="住宅交易情况">'比较法-洋房'!$A$61:$M$61</definedName>
    <definedName name="住宅楼层" localSheetId="18">'比较法-下跃住宅'!$B$86:$M$86</definedName>
    <definedName name="住宅楼层" localSheetId="17">'比较法-中跃住宅'!$B$86:$M$86</definedName>
    <definedName name="住宅楼层">'比较法-洋房'!$B$86:$M$86</definedName>
    <definedName name="住宅内部装修" localSheetId="18">'比较法-下跃住宅'!$B$122:$M$122</definedName>
    <definedName name="住宅内部装修" localSheetId="17">'比较法-中跃住宅'!$B$122:$M$122</definedName>
    <definedName name="住宅内部装修">'比较法-洋房'!$B$122:$M$122</definedName>
    <definedName name="住宅物业管理" localSheetId="18">'比较法-下跃住宅'!$B$114:$M$114</definedName>
    <definedName name="住宅物业管理" localSheetId="17">'比较法-中跃住宅'!$B$114:$M$114</definedName>
    <definedName name="住宅物业管理">'比较法-洋房'!$B$114:$M$114</definedName>
    <definedName name="住宅用途" localSheetId="18">'比较法-下跃住宅'!$B$63:$M$63</definedName>
    <definedName name="住宅用途" localSheetId="17">'比较法-中跃住宅'!$B$63:$M$63</definedName>
    <definedName name="住宅用途">'比较法-洋房'!$B$63:$M$63</definedName>
    <definedName name="住宅主力户型面积" localSheetId="18">'比较法-下跃住宅'!$B$120:$M$120</definedName>
    <definedName name="住宅主力户型面积" localSheetId="17">'比较法-中跃住宅'!$B$120:$M$120</definedName>
    <definedName name="住宅主力户型面积">'比较法-洋房'!$B$120:$M$120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 i="80" l="1"/>
  <c r="K5" i="80"/>
  <c r="K6" i="80"/>
  <c r="C48" i="21"/>
  <c r="C49" i="21"/>
  <c r="D2055" i="82"/>
  <c r="F2279" i="81"/>
  <c r="E2279" i="81" s="1"/>
  <c r="D2279" i="81"/>
  <c r="E2278" i="81"/>
  <c r="E2277" i="81"/>
  <c r="E2276" i="81"/>
  <c r="E2275" i="81"/>
  <c r="E2274" i="81"/>
  <c r="E2273" i="81"/>
  <c r="E2272" i="81"/>
  <c r="E2271" i="81"/>
  <c r="E2270" i="81"/>
  <c r="E2269" i="81"/>
  <c r="E2268" i="81"/>
  <c r="E2267" i="81"/>
  <c r="E2266" i="81"/>
  <c r="E2265" i="81"/>
  <c r="E2264" i="81"/>
  <c r="E2263" i="81"/>
  <c r="E2262" i="81"/>
  <c r="E2261" i="81"/>
  <c r="E2260" i="81"/>
  <c r="E2259" i="81"/>
  <c r="E2258" i="81"/>
  <c r="E2257" i="81"/>
  <c r="E2256" i="81"/>
  <c r="E2255" i="81"/>
  <c r="E2254" i="81"/>
  <c r="E2253" i="81"/>
  <c r="E2252" i="81"/>
  <c r="E2251" i="81"/>
  <c r="E2250" i="81"/>
  <c r="E2249" i="81"/>
  <c r="E2248" i="81"/>
  <c r="E2247" i="81"/>
  <c r="E2246" i="81"/>
  <c r="E2245" i="81"/>
  <c r="E2244" i="81"/>
  <c r="E2243" i="81"/>
  <c r="E2242" i="81"/>
  <c r="E2241" i="81"/>
  <c r="E2240" i="81"/>
  <c r="E2239" i="81"/>
  <c r="E2238" i="81"/>
  <c r="E2237" i="81"/>
  <c r="E2236" i="81"/>
  <c r="E2235" i="81"/>
  <c r="E2234" i="81"/>
  <c r="E2233" i="81"/>
  <c r="E2232" i="81"/>
  <c r="E2231" i="81"/>
  <c r="E2230" i="81"/>
  <c r="E2229" i="81"/>
  <c r="E2228" i="81"/>
  <c r="E2227" i="81"/>
  <c r="E2226" i="81"/>
  <c r="E2225" i="81"/>
  <c r="E2224" i="81"/>
  <c r="E2223" i="81"/>
  <c r="E2222" i="81"/>
  <c r="E2221" i="81"/>
  <c r="E2220" i="81"/>
  <c r="E2219" i="81"/>
  <c r="E2218" i="81"/>
  <c r="E2217" i="81"/>
  <c r="E2216" i="81"/>
  <c r="E2215" i="81"/>
  <c r="E2214" i="81"/>
  <c r="E2213" i="81"/>
  <c r="E2212" i="81"/>
  <c r="E2211" i="81"/>
  <c r="E2210" i="81"/>
  <c r="E2209" i="81"/>
  <c r="E2208" i="81"/>
  <c r="E2207" i="81"/>
  <c r="E2206" i="81"/>
  <c r="E2205" i="81"/>
  <c r="E2204" i="81"/>
  <c r="E2203" i="81"/>
  <c r="E2202" i="81"/>
  <c r="E2201" i="81"/>
  <c r="E2200" i="81"/>
  <c r="E2199" i="81"/>
  <c r="E2198" i="81"/>
  <c r="E2197" i="81"/>
  <c r="E2196" i="81"/>
  <c r="E2195" i="81"/>
  <c r="E2194" i="81"/>
  <c r="E2193" i="81"/>
  <c r="E2192" i="81"/>
  <c r="E2191" i="81"/>
  <c r="E2190" i="81"/>
  <c r="E2189" i="81"/>
  <c r="E2188" i="81"/>
  <c r="E2187" i="81"/>
  <c r="E2186" i="81"/>
  <c r="E2185" i="81"/>
  <c r="E2184" i="81"/>
  <c r="E2183" i="81"/>
  <c r="E2182" i="81"/>
  <c r="E2181" i="81"/>
  <c r="E2180" i="81"/>
  <c r="E2179" i="81"/>
  <c r="E2178" i="81"/>
  <c r="E2177" i="81"/>
  <c r="E2176" i="81"/>
  <c r="E2175" i="81"/>
  <c r="E2174" i="81"/>
  <c r="E2173" i="81"/>
  <c r="E2172" i="81"/>
  <c r="E2171" i="81"/>
  <c r="E2170" i="81"/>
  <c r="E2169" i="81"/>
  <c r="E2168" i="81"/>
  <c r="E2167" i="81"/>
  <c r="E2166" i="81"/>
  <c r="E2165" i="81"/>
  <c r="E2164" i="81"/>
  <c r="E2163" i="81"/>
  <c r="E2162" i="81"/>
  <c r="E2161" i="81"/>
  <c r="E2160" i="81"/>
  <c r="E2159" i="81"/>
  <c r="E2158" i="81"/>
  <c r="E2157" i="81"/>
  <c r="E2156" i="81"/>
  <c r="E2155" i="81"/>
  <c r="E2154" i="81"/>
  <c r="E2153" i="81"/>
  <c r="E2152" i="81"/>
  <c r="E2151" i="81"/>
  <c r="E2150" i="81"/>
  <c r="E2149" i="81"/>
  <c r="E2148" i="81"/>
  <c r="E2147" i="81"/>
  <c r="E2146" i="81"/>
  <c r="E2145" i="81"/>
  <c r="E2144" i="81"/>
  <c r="E2143" i="81"/>
  <c r="E2142" i="81"/>
  <c r="E2141" i="81"/>
  <c r="E2140" i="81"/>
  <c r="E2139" i="81"/>
  <c r="E2138" i="81"/>
  <c r="E2137" i="81"/>
  <c r="E2136" i="81"/>
  <c r="E2135" i="81"/>
  <c r="E2134" i="81"/>
  <c r="E2133" i="81"/>
  <c r="E2132" i="81"/>
  <c r="E2131" i="81"/>
  <c r="E2130" i="81"/>
  <c r="E2129" i="81"/>
  <c r="E2128" i="81"/>
  <c r="E2127" i="81"/>
  <c r="E2126" i="81"/>
  <c r="E2125" i="81"/>
  <c r="E2124" i="81"/>
  <c r="E2123" i="81"/>
  <c r="E2122" i="81"/>
  <c r="E2121" i="81"/>
  <c r="E2120" i="81"/>
  <c r="E2119" i="81"/>
  <c r="E2118" i="81"/>
  <c r="E2117" i="81"/>
  <c r="E2116" i="81"/>
  <c r="E2115" i="81"/>
  <c r="E2114" i="81"/>
  <c r="E2113" i="81"/>
  <c r="E2112" i="81"/>
  <c r="E2111" i="81"/>
  <c r="E2110" i="81"/>
  <c r="E2109" i="81"/>
  <c r="E2108" i="81"/>
  <c r="E2107" i="81"/>
  <c r="E2106" i="81"/>
  <c r="E2105" i="81"/>
  <c r="E2104" i="81"/>
  <c r="E2103" i="81"/>
  <c r="E2102" i="81"/>
  <c r="E2101" i="81"/>
  <c r="E2100" i="81"/>
  <c r="E2099" i="81"/>
  <c r="E2098" i="81"/>
  <c r="E2097" i="81"/>
  <c r="E2096" i="81"/>
  <c r="E2095" i="81"/>
  <c r="E2094" i="81"/>
  <c r="E2093" i="81"/>
  <c r="E2092" i="81"/>
  <c r="E2091" i="81"/>
  <c r="E2090" i="81"/>
  <c r="E2089" i="81"/>
  <c r="E2088" i="81"/>
  <c r="E2087" i="81"/>
  <c r="E2086" i="81"/>
  <c r="E2085" i="81"/>
  <c r="E2084" i="81"/>
  <c r="E2083" i="81"/>
  <c r="E2082" i="81"/>
  <c r="E2081" i="81"/>
  <c r="E2080" i="81"/>
  <c r="E2079" i="81"/>
  <c r="E2078" i="81"/>
  <c r="E2077" i="81"/>
  <c r="E2076" i="81"/>
  <c r="E2075" i="81"/>
  <c r="E2074" i="81"/>
  <c r="E2073" i="81"/>
  <c r="E2072" i="81"/>
  <c r="E2071" i="81"/>
  <c r="E2070" i="81"/>
  <c r="E2069" i="81"/>
  <c r="E2068" i="81"/>
  <c r="E2067" i="81"/>
  <c r="E2066" i="81"/>
  <c r="E2065" i="81"/>
  <c r="E2064" i="81"/>
  <c r="E2063" i="81"/>
  <c r="E2062" i="81"/>
  <c r="E2061" i="81"/>
  <c r="E2060" i="81"/>
  <c r="E2059" i="81"/>
  <c r="E2058" i="81"/>
  <c r="E2057" i="81"/>
  <c r="E2056" i="81"/>
  <c r="E2055" i="81"/>
  <c r="E2054" i="81"/>
  <c r="E2053" i="81"/>
  <c r="E2052" i="81"/>
  <c r="E2051" i="81"/>
  <c r="E2050" i="81"/>
  <c r="E2049" i="81"/>
  <c r="E2048" i="81"/>
  <c r="E2047" i="81"/>
  <c r="E2046" i="81"/>
  <c r="E2045" i="81"/>
  <c r="E2044" i="81"/>
  <c r="E2043" i="81"/>
  <c r="E2042" i="81"/>
  <c r="E2041" i="81"/>
  <c r="E2040" i="81"/>
  <c r="E2039" i="81"/>
  <c r="E2038" i="81"/>
  <c r="E2037" i="81"/>
  <c r="E2036" i="81"/>
  <c r="E2035" i="81"/>
  <c r="E2034" i="81"/>
  <c r="E2033" i="81"/>
  <c r="E2032" i="81"/>
  <c r="E2031" i="81"/>
  <c r="E2030" i="81"/>
  <c r="E2029" i="81"/>
  <c r="E2028" i="81"/>
  <c r="E2027" i="81"/>
  <c r="E2026" i="81"/>
  <c r="E2025" i="81"/>
  <c r="E2024" i="81"/>
  <c r="E2023" i="81"/>
  <c r="E2022" i="81"/>
  <c r="E2021" i="81"/>
  <c r="E2020" i="81"/>
  <c r="E2019" i="81"/>
  <c r="E2018" i="81"/>
  <c r="E2017" i="81"/>
  <c r="E2016" i="81"/>
  <c r="E2015" i="81"/>
  <c r="E2014" i="81"/>
  <c r="E2013" i="81"/>
  <c r="E2012" i="81"/>
  <c r="E2011" i="81"/>
  <c r="E2010" i="81"/>
  <c r="E2009" i="81"/>
  <c r="E2008" i="81"/>
  <c r="E2007" i="81"/>
  <c r="E2006" i="81"/>
  <c r="E2005" i="81"/>
  <c r="E2004" i="81"/>
  <c r="E2003" i="81"/>
  <c r="E2002" i="81"/>
  <c r="E2001" i="81"/>
  <c r="E2000" i="81"/>
  <c r="E1999" i="81"/>
  <c r="E1998" i="81"/>
  <c r="E1997" i="81"/>
  <c r="E1996" i="81"/>
  <c r="E1995" i="81"/>
  <c r="E1994" i="81"/>
  <c r="E1993" i="81"/>
  <c r="E1992" i="81"/>
  <c r="E1991" i="81"/>
  <c r="E1990" i="81"/>
  <c r="E1989" i="81"/>
  <c r="E1988" i="81"/>
  <c r="E1987" i="81"/>
  <c r="E1986" i="81"/>
  <c r="E1985" i="81"/>
  <c r="E1984" i="81"/>
  <c r="E1983" i="81"/>
  <c r="E1982" i="81"/>
  <c r="E1981" i="81"/>
  <c r="E1980" i="81"/>
  <c r="E1979" i="81"/>
  <c r="E1978" i="81"/>
  <c r="E1977" i="81"/>
  <c r="E1976" i="81"/>
  <c r="E1975" i="81"/>
  <c r="E1974" i="81"/>
  <c r="E1973" i="81"/>
  <c r="E1972" i="81"/>
  <c r="E1971" i="81"/>
  <c r="E1970" i="81"/>
  <c r="E1969" i="81"/>
  <c r="E1968" i="81"/>
  <c r="E1967" i="81"/>
  <c r="E1966" i="81"/>
  <c r="E1965" i="81"/>
  <c r="E1964" i="81"/>
  <c r="E1963" i="81"/>
  <c r="E1962" i="81"/>
  <c r="E1961" i="81"/>
  <c r="E1960" i="81"/>
  <c r="E1959" i="81"/>
  <c r="E1958" i="81"/>
  <c r="E1957" i="81"/>
  <c r="E1956" i="81"/>
  <c r="E1955" i="81"/>
  <c r="E1954" i="81"/>
  <c r="E1953" i="81"/>
  <c r="E1952" i="81"/>
  <c r="E1951" i="81"/>
  <c r="E1950" i="81"/>
  <c r="E1949" i="81"/>
  <c r="E1948" i="81"/>
  <c r="E1947" i="81"/>
  <c r="E1946" i="81"/>
  <c r="E1945" i="81"/>
  <c r="E1944" i="81"/>
  <c r="E1943" i="81"/>
  <c r="E1942" i="81"/>
  <c r="E1941" i="81"/>
  <c r="E1940" i="81"/>
  <c r="E1939" i="81"/>
  <c r="E1938" i="81"/>
  <c r="E1937" i="81"/>
  <c r="E1936" i="81"/>
  <c r="E1935" i="81"/>
  <c r="E1934" i="81"/>
  <c r="E1933" i="81"/>
  <c r="E1932" i="81"/>
  <c r="E1931" i="81"/>
  <c r="E1930" i="81"/>
  <c r="E1929" i="81"/>
  <c r="E1928" i="81"/>
  <c r="E1927" i="81"/>
  <c r="E1926" i="81"/>
  <c r="E1925" i="81"/>
  <c r="E1924" i="81"/>
  <c r="E1923" i="81"/>
  <c r="E1922" i="81"/>
  <c r="E1921" i="81"/>
  <c r="E1920" i="81"/>
  <c r="E1919" i="81"/>
  <c r="E1918" i="81"/>
  <c r="E1917" i="81"/>
  <c r="E1916" i="81"/>
  <c r="E1915" i="81"/>
  <c r="E1914" i="81"/>
  <c r="E1913" i="81"/>
  <c r="E1912" i="81"/>
  <c r="E1911" i="81"/>
  <c r="E1910" i="81"/>
  <c r="E1909" i="81"/>
  <c r="E1908" i="81"/>
  <c r="E1907" i="81"/>
  <c r="E1906" i="81"/>
  <c r="E1905" i="81"/>
  <c r="E1904" i="81"/>
  <c r="E1903" i="81"/>
  <c r="E1902" i="81"/>
  <c r="E1901" i="81"/>
  <c r="E1900" i="81"/>
  <c r="E1899" i="81"/>
  <c r="E1898" i="81"/>
  <c r="E1897" i="81"/>
  <c r="E1896" i="81"/>
  <c r="E1895" i="81"/>
  <c r="E1894" i="81"/>
  <c r="E1893" i="81"/>
  <c r="E1892" i="81"/>
  <c r="E1891" i="81"/>
  <c r="E1890" i="81"/>
  <c r="E1889" i="81"/>
  <c r="E1888" i="81"/>
  <c r="E1887" i="81"/>
  <c r="E1886" i="81"/>
  <c r="E1885" i="81"/>
  <c r="E1884" i="81"/>
  <c r="E1883" i="81"/>
  <c r="E1882" i="81"/>
  <c r="E1881" i="81"/>
  <c r="E1880" i="81"/>
  <c r="E1879" i="81"/>
  <c r="E1878" i="81"/>
  <c r="E1877" i="81"/>
  <c r="E1876" i="81"/>
  <c r="E1875" i="81"/>
  <c r="E1874" i="81"/>
  <c r="E1873" i="81"/>
  <c r="E1872" i="81"/>
  <c r="E1871" i="81"/>
  <c r="E1870" i="81"/>
  <c r="E1869" i="81"/>
  <c r="E1868" i="81"/>
  <c r="E1867" i="81"/>
  <c r="E1866" i="81"/>
  <c r="E1865" i="81"/>
  <c r="E1864" i="81"/>
  <c r="E1863" i="81"/>
  <c r="E1862" i="81"/>
  <c r="E1861" i="81"/>
  <c r="E1860" i="81"/>
  <c r="E1859" i="81"/>
  <c r="E1858" i="81"/>
  <c r="E1857" i="81"/>
  <c r="E1856" i="81"/>
  <c r="E1855" i="81"/>
  <c r="E1854" i="81"/>
  <c r="E1853" i="81"/>
  <c r="E1852" i="81"/>
  <c r="E1851" i="81"/>
  <c r="E1850" i="81"/>
  <c r="E1849" i="81"/>
  <c r="E1848" i="81"/>
  <c r="E1847" i="81"/>
  <c r="E1846" i="81"/>
  <c r="E1845" i="81"/>
  <c r="E1844" i="81"/>
  <c r="E1843" i="81"/>
  <c r="E1842" i="81"/>
  <c r="E1841" i="81"/>
  <c r="E1840" i="81"/>
  <c r="E1839" i="81"/>
  <c r="E1838" i="81"/>
  <c r="E1837" i="81"/>
  <c r="E1836" i="81"/>
  <c r="E1835" i="81"/>
  <c r="E1834" i="81"/>
  <c r="E1833" i="81"/>
  <c r="E1832" i="81"/>
  <c r="E1831" i="81"/>
  <c r="E1830" i="81"/>
  <c r="E1829" i="81"/>
  <c r="E1828" i="81"/>
  <c r="E1827" i="81"/>
  <c r="E1826" i="81"/>
  <c r="E1825" i="81"/>
  <c r="E1824" i="81"/>
  <c r="E1823" i="81"/>
  <c r="E1822" i="81"/>
  <c r="E1821" i="81"/>
  <c r="E1820" i="81"/>
  <c r="E1819" i="81"/>
  <c r="E1818" i="81"/>
  <c r="E1817" i="81"/>
  <c r="E1816" i="81"/>
  <c r="E1815" i="81"/>
  <c r="E1814" i="81"/>
  <c r="E1813" i="81"/>
  <c r="E1812" i="81"/>
  <c r="E1811" i="81"/>
  <c r="E1810" i="81"/>
  <c r="E1809" i="81"/>
  <c r="E1808" i="81"/>
  <c r="E1807" i="81"/>
  <c r="E1806" i="81"/>
  <c r="E1805" i="81"/>
  <c r="E1804" i="81"/>
  <c r="E1803" i="81"/>
  <c r="E1802" i="81"/>
  <c r="E1801" i="81"/>
  <c r="E1800" i="81"/>
  <c r="E1799" i="81"/>
  <c r="E1798" i="81"/>
  <c r="E1797" i="81"/>
  <c r="E1796" i="81"/>
  <c r="E1795" i="81"/>
  <c r="E1794" i="81"/>
  <c r="E1793" i="81"/>
  <c r="E1792" i="81"/>
  <c r="E1791" i="81"/>
  <c r="E1790" i="81"/>
  <c r="E1789" i="81"/>
  <c r="E1788" i="81"/>
  <c r="E1787" i="81"/>
  <c r="E1786" i="81"/>
  <c r="E1785" i="81"/>
  <c r="E1784" i="81"/>
  <c r="E1783" i="81"/>
  <c r="E1782" i="81"/>
  <c r="E1781" i="81"/>
  <c r="E1780" i="81"/>
  <c r="E1779" i="81"/>
  <c r="E1778" i="81"/>
  <c r="E1777" i="81"/>
  <c r="E1776" i="81"/>
  <c r="E1775" i="81"/>
  <c r="E1774" i="81"/>
  <c r="E1773" i="81"/>
  <c r="E1772" i="81"/>
  <c r="E1771" i="81"/>
  <c r="E1770" i="81"/>
  <c r="E1769" i="81"/>
  <c r="E1768" i="81"/>
  <c r="E1767" i="81"/>
  <c r="E1766" i="81"/>
  <c r="E1765" i="81"/>
  <c r="E1764" i="81"/>
  <c r="E1763" i="81"/>
  <c r="E1762" i="81"/>
  <c r="E1761" i="81"/>
  <c r="E1760" i="81"/>
  <c r="E1759" i="81"/>
  <c r="E1758" i="81"/>
  <c r="E1757" i="81"/>
  <c r="E1756" i="81"/>
  <c r="E1755" i="81"/>
  <c r="E1754" i="81"/>
  <c r="E1753" i="81"/>
  <c r="E1752" i="81"/>
  <c r="E1751" i="81"/>
  <c r="E1750" i="81"/>
  <c r="E1749" i="81"/>
  <c r="E1748" i="81"/>
  <c r="E1747" i="81"/>
  <c r="E1746" i="81"/>
  <c r="E1745" i="81"/>
  <c r="E1744" i="81"/>
  <c r="E1743" i="81"/>
  <c r="E1742" i="81"/>
  <c r="E1741" i="81"/>
  <c r="E1740" i="81"/>
  <c r="E1739" i="81"/>
  <c r="E1738" i="81"/>
  <c r="E1737" i="81"/>
  <c r="E1736" i="81"/>
  <c r="E1735" i="81"/>
  <c r="E1734" i="81"/>
  <c r="E1733" i="81"/>
  <c r="E1732" i="81"/>
  <c r="E1731" i="81"/>
  <c r="E1730" i="81"/>
  <c r="E1729" i="81"/>
  <c r="E1728" i="81"/>
  <c r="E1727" i="81"/>
  <c r="E1726" i="81"/>
  <c r="E1725" i="81"/>
  <c r="E1724" i="81"/>
  <c r="E1723" i="81"/>
  <c r="E1722" i="81"/>
  <c r="E1721" i="81"/>
  <c r="E1720" i="81"/>
  <c r="E1719" i="81"/>
  <c r="E1718" i="81"/>
  <c r="E1717" i="81"/>
  <c r="E1716" i="81"/>
  <c r="E1715" i="81"/>
  <c r="E1714" i="81"/>
  <c r="E1713" i="81"/>
  <c r="E1712" i="81"/>
  <c r="E1711" i="81"/>
  <c r="E1710" i="81"/>
  <c r="E1709" i="81"/>
  <c r="E1708" i="81"/>
  <c r="E1707" i="81"/>
  <c r="E1706" i="81"/>
  <c r="E1705" i="81"/>
  <c r="E1704" i="81"/>
  <c r="E1703" i="81"/>
  <c r="E1702" i="81"/>
  <c r="E1701" i="81"/>
  <c r="E1700" i="81"/>
  <c r="E1699" i="81"/>
  <c r="E1698" i="81"/>
  <c r="E1697" i="81"/>
  <c r="E1696" i="81"/>
  <c r="E1695" i="81"/>
  <c r="E1694" i="81"/>
  <c r="E1693" i="81"/>
  <c r="E1692" i="81"/>
  <c r="E1691" i="81"/>
  <c r="E1690" i="81"/>
  <c r="E1689" i="81"/>
  <c r="E1688" i="81"/>
  <c r="E1687" i="81"/>
  <c r="E1686" i="81"/>
  <c r="E1685" i="81"/>
  <c r="E1684" i="81"/>
  <c r="E1683" i="81"/>
  <c r="E1682" i="81"/>
  <c r="E1681" i="81"/>
  <c r="E1680" i="81"/>
  <c r="E1679" i="81"/>
  <c r="E1678" i="81"/>
  <c r="E1677" i="81"/>
  <c r="E1676" i="81"/>
  <c r="E1675" i="81"/>
  <c r="E1674" i="81"/>
  <c r="E1673" i="81"/>
  <c r="E1672" i="81"/>
  <c r="E1671" i="81"/>
  <c r="E1670" i="81"/>
  <c r="E1669" i="81"/>
  <c r="E1668" i="81"/>
  <c r="E1667" i="81"/>
  <c r="E1666" i="81"/>
  <c r="E1665" i="81"/>
  <c r="E1664" i="81"/>
  <c r="E1663" i="81"/>
  <c r="E1662" i="81"/>
  <c r="E1661" i="81"/>
  <c r="E1660" i="81"/>
  <c r="E1659" i="81"/>
  <c r="E1658" i="81"/>
  <c r="E1657" i="81"/>
  <c r="E1656" i="81"/>
  <c r="E1655" i="81"/>
  <c r="E1654" i="81"/>
  <c r="E1653" i="81"/>
  <c r="E1652" i="81"/>
  <c r="E1651" i="81"/>
  <c r="E1650" i="81"/>
  <c r="E1649" i="81"/>
  <c r="E1648" i="81"/>
  <c r="E1647" i="81"/>
  <c r="E1646" i="81"/>
  <c r="E1645" i="81"/>
  <c r="E1644" i="81"/>
  <c r="E1643" i="81"/>
  <c r="E1642" i="81"/>
  <c r="E1641" i="81"/>
  <c r="E1640" i="81"/>
  <c r="E1639" i="81"/>
  <c r="E1638" i="81"/>
  <c r="E1637" i="81"/>
  <c r="E1636" i="81"/>
  <c r="E1635" i="81"/>
  <c r="E1634" i="81"/>
  <c r="E1633" i="81"/>
  <c r="E1632" i="81"/>
  <c r="E1631" i="81"/>
  <c r="E1630" i="81"/>
  <c r="E1629" i="81"/>
  <c r="E1628" i="81"/>
  <c r="E1627" i="81"/>
  <c r="E1626" i="81"/>
  <c r="E1625" i="81"/>
  <c r="E1624" i="81"/>
  <c r="E1623" i="81"/>
  <c r="E1622" i="81"/>
  <c r="E1621" i="81"/>
  <c r="E1620" i="81"/>
  <c r="E1619" i="81"/>
  <c r="E1618" i="81"/>
  <c r="E1617" i="81"/>
  <c r="E1616" i="81"/>
  <c r="E1615" i="81"/>
  <c r="E1614" i="81"/>
  <c r="E1613" i="81"/>
  <c r="E1612" i="81"/>
  <c r="E1611" i="81"/>
  <c r="E1610" i="81"/>
  <c r="E1609" i="81"/>
  <c r="E1608" i="81"/>
  <c r="E1607" i="81"/>
  <c r="E1606" i="81"/>
  <c r="E1605" i="81"/>
  <c r="E1604" i="81"/>
  <c r="E1603" i="81"/>
  <c r="E1602" i="81"/>
  <c r="E1601" i="81"/>
  <c r="E1600" i="81"/>
  <c r="E1599" i="81"/>
  <c r="E1598" i="81"/>
  <c r="E1597" i="81"/>
  <c r="E1596" i="81"/>
  <c r="E1595" i="81"/>
  <c r="E1594" i="81"/>
  <c r="E1593" i="81"/>
  <c r="E1592" i="81"/>
  <c r="E1591" i="81"/>
  <c r="E1590" i="81"/>
  <c r="E1589" i="81"/>
  <c r="E1588" i="81"/>
  <c r="E1587" i="81"/>
  <c r="E1586" i="81"/>
  <c r="E1585" i="81"/>
  <c r="E1584" i="81"/>
  <c r="E1583" i="81"/>
  <c r="E1582" i="81"/>
  <c r="E1581" i="81"/>
  <c r="E1580" i="81"/>
  <c r="E1579" i="81"/>
  <c r="E1578" i="81"/>
  <c r="E1577" i="81"/>
  <c r="E1576" i="81"/>
  <c r="E1575" i="81"/>
  <c r="E1574" i="81"/>
  <c r="E1573" i="81"/>
  <c r="E1572" i="81"/>
  <c r="E1571" i="81"/>
  <c r="E1570" i="81"/>
  <c r="E1569" i="81"/>
  <c r="E1568" i="81"/>
  <c r="E1567" i="81"/>
  <c r="E1566" i="81"/>
  <c r="E1565" i="81"/>
  <c r="E1564" i="81"/>
  <c r="E1563" i="81"/>
  <c r="E1562" i="81"/>
  <c r="E1561" i="81"/>
  <c r="E1560" i="81"/>
  <c r="E1559" i="81"/>
  <c r="E1558" i="81"/>
  <c r="E1557" i="81"/>
  <c r="E1556" i="81"/>
  <c r="E1555" i="81"/>
  <c r="E1554" i="81"/>
  <c r="E1553" i="81"/>
  <c r="E1552" i="81"/>
  <c r="E1551" i="81"/>
  <c r="E1550" i="81"/>
  <c r="E1549" i="81"/>
  <c r="E1548" i="81"/>
  <c r="E1547" i="81"/>
  <c r="E1546" i="81"/>
  <c r="E1545" i="81"/>
  <c r="E1544" i="81"/>
  <c r="E1543" i="81"/>
  <c r="E1542" i="81"/>
  <c r="E1541" i="81"/>
  <c r="E1540" i="81"/>
  <c r="E1539" i="81"/>
  <c r="E1538" i="81"/>
  <c r="E1537" i="81"/>
  <c r="E1536" i="81"/>
  <c r="E1535" i="81"/>
  <c r="E1534" i="81"/>
  <c r="E1533" i="81"/>
  <c r="E1532" i="81"/>
  <c r="E1531" i="81"/>
  <c r="E1530" i="81"/>
  <c r="E1529" i="81"/>
  <c r="E1528" i="81"/>
  <c r="E1527" i="81"/>
  <c r="E1526" i="81"/>
  <c r="E1525" i="81"/>
  <c r="E1524" i="81"/>
  <c r="E1523" i="81"/>
  <c r="E1522" i="81"/>
  <c r="E1521" i="81"/>
  <c r="E1520" i="81"/>
  <c r="E1519" i="81"/>
  <c r="E1518" i="81"/>
  <c r="E1517" i="81"/>
  <c r="E1516" i="81"/>
  <c r="E1515" i="81"/>
  <c r="E1514" i="81"/>
  <c r="E1513" i="81"/>
  <c r="E1512" i="81"/>
  <c r="E1511" i="81"/>
  <c r="E1510" i="81"/>
  <c r="E1509" i="81"/>
  <c r="E1508" i="81"/>
  <c r="E1507" i="81"/>
  <c r="E1506" i="81"/>
  <c r="E1505" i="81"/>
  <c r="E1504" i="81"/>
  <c r="E1503" i="81"/>
  <c r="E1502" i="81"/>
  <c r="E1501" i="81"/>
  <c r="E1500" i="81"/>
  <c r="E1499" i="81"/>
  <c r="E1498" i="81"/>
  <c r="E1497" i="81"/>
  <c r="E1496" i="81"/>
  <c r="E1495" i="81"/>
  <c r="E1494" i="81"/>
  <c r="E1493" i="81"/>
  <c r="E1492" i="81"/>
  <c r="E1491" i="81"/>
  <c r="E1490" i="81"/>
  <c r="E1489" i="81"/>
  <c r="E1488" i="81"/>
  <c r="E1487" i="81"/>
  <c r="E1486" i="81"/>
  <c r="E1485" i="81"/>
  <c r="E1484" i="81"/>
  <c r="E1483" i="81"/>
  <c r="E1482" i="81"/>
  <c r="E1481" i="81"/>
  <c r="E1480" i="81"/>
  <c r="E1479" i="81"/>
  <c r="E1478" i="81"/>
  <c r="E1477" i="81"/>
  <c r="E1476" i="81"/>
  <c r="E1475" i="81"/>
  <c r="E1474" i="81"/>
  <c r="E1473" i="81"/>
  <c r="E1472" i="81"/>
  <c r="E1471" i="81"/>
  <c r="E1470" i="81"/>
  <c r="E1469" i="81"/>
  <c r="E1468" i="81"/>
  <c r="E1467" i="81"/>
  <c r="E1466" i="81"/>
  <c r="E1465" i="81"/>
  <c r="E1464" i="81"/>
  <c r="E1463" i="81"/>
  <c r="E1462" i="81"/>
  <c r="E1461" i="81"/>
  <c r="E1460" i="81"/>
  <c r="E1459" i="81"/>
  <c r="E1458" i="81"/>
  <c r="E1457" i="81"/>
  <c r="E1456" i="81"/>
  <c r="E1455" i="81"/>
  <c r="E1454" i="81"/>
  <c r="E1453" i="81"/>
  <c r="E1452" i="81"/>
  <c r="E1451" i="81"/>
  <c r="E1450" i="81"/>
  <c r="E1449" i="81"/>
  <c r="E1448" i="81"/>
  <c r="E1447" i="81"/>
  <c r="E1446" i="81"/>
  <c r="E1445" i="81"/>
  <c r="E1444" i="81"/>
  <c r="E1443" i="81"/>
  <c r="E1442" i="81"/>
  <c r="E1441" i="81"/>
  <c r="E1440" i="81"/>
  <c r="E1439" i="81"/>
  <c r="E1438" i="81"/>
  <c r="E1437" i="81"/>
  <c r="E1436" i="81"/>
  <c r="E1435" i="81"/>
  <c r="E1434" i="81"/>
  <c r="E1433" i="81"/>
  <c r="E1432" i="81"/>
  <c r="E1431" i="81"/>
  <c r="E1430" i="81"/>
  <c r="E1429" i="81"/>
  <c r="E1428" i="81"/>
  <c r="E1427" i="81"/>
  <c r="E1426" i="81"/>
  <c r="E1425" i="81"/>
  <c r="E1424" i="81"/>
  <c r="E1423" i="81"/>
  <c r="E1422" i="81"/>
  <c r="E1421" i="81"/>
  <c r="E1420" i="81"/>
  <c r="E1419" i="81"/>
  <c r="E1418" i="81"/>
  <c r="E1417" i="81"/>
  <c r="E1416" i="81"/>
  <c r="E1415" i="81"/>
  <c r="E1414" i="81"/>
  <c r="E1413" i="81"/>
  <c r="E1412" i="81"/>
  <c r="E1411" i="81"/>
  <c r="E1410" i="81"/>
  <c r="E1409" i="81"/>
  <c r="E1408" i="81"/>
  <c r="E1407" i="81"/>
  <c r="E1406" i="81"/>
  <c r="E1405" i="81"/>
  <c r="E1404" i="81"/>
  <c r="E1403" i="81"/>
  <c r="E1402" i="81"/>
  <c r="E1401" i="81"/>
  <c r="E1400" i="81"/>
  <c r="E1399" i="81"/>
  <c r="E1398" i="81"/>
  <c r="E1397" i="81"/>
  <c r="E1396" i="81"/>
  <c r="E1395" i="81"/>
  <c r="E1394" i="81"/>
  <c r="E1393" i="81"/>
  <c r="E1392" i="81"/>
  <c r="E1391" i="81"/>
  <c r="E1390" i="81"/>
  <c r="E1389" i="81"/>
  <c r="E1388" i="81"/>
  <c r="E1387" i="81"/>
  <c r="E1386" i="81"/>
  <c r="E1385" i="81"/>
  <c r="E1384" i="81"/>
  <c r="E1383" i="81"/>
  <c r="E1382" i="81"/>
  <c r="E1381" i="81"/>
  <c r="E1380" i="81"/>
  <c r="E1379" i="81"/>
  <c r="E1378" i="81"/>
  <c r="E1377" i="81"/>
  <c r="E1376" i="81"/>
  <c r="E1375" i="81"/>
  <c r="E1374" i="81"/>
  <c r="E1373" i="81"/>
  <c r="E1372" i="81"/>
  <c r="E1371" i="81"/>
  <c r="E1370" i="81"/>
  <c r="E1369" i="81"/>
  <c r="E1368" i="81"/>
  <c r="E1367" i="81"/>
  <c r="E1366" i="81"/>
  <c r="E1365" i="81"/>
  <c r="E1364" i="81"/>
  <c r="E1363" i="81"/>
  <c r="E1362" i="81"/>
  <c r="E1361" i="81"/>
  <c r="E1360" i="81"/>
  <c r="E1359" i="81"/>
  <c r="E1358" i="81"/>
  <c r="E1357" i="81"/>
  <c r="E1356" i="81"/>
  <c r="E1355" i="81"/>
  <c r="E1354" i="81"/>
  <c r="E1353" i="81"/>
  <c r="E1352" i="81"/>
  <c r="E1351" i="81"/>
  <c r="E1350" i="81"/>
  <c r="E1349" i="81"/>
  <c r="E1348" i="81"/>
  <c r="E1347" i="81"/>
  <c r="E1346" i="81"/>
  <c r="E1345" i="81"/>
  <c r="E1344" i="81"/>
  <c r="E1343" i="81"/>
  <c r="E1342" i="81"/>
  <c r="E1341" i="81"/>
  <c r="E1340" i="81"/>
  <c r="E1339" i="81"/>
  <c r="E1338" i="81"/>
  <c r="E1337" i="81"/>
  <c r="E1336" i="81"/>
  <c r="E1335" i="81"/>
  <c r="E1334" i="81"/>
  <c r="E1333" i="81"/>
  <c r="E1332" i="81"/>
  <c r="E1331" i="81"/>
  <c r="E1330" i="81"/>
  <c r="E1329" i="81"/>
  <c r="E1328" i="81"/>
  <c r="E1327" i="81"/>
  <c r="E1326" i="81"/>
  <c r="E1325" i="81"/>
  <c r="E1324" i="81"/>
  <c r="E1323" i="81"/>
  <c r="E1322" i="81"/>
  <c r="E1321" i="81"/>
  <c r="E1320" i="81"/>
  <c r="E1319" i="81"/>
  <c r="E1318" i="81"/>
  <c r="E1317" i="81"/>
  <c r="E1316" i="81"/>
  <c r="E1315" i="81"/>
  <c r="E1314" i="81"/>
  <c r="E1313" i="81"/>
  <c r="E1312" i="81"/>
  <c r="E1311" i="81"/>
  <c r="E1310" i="81"/>
  <c r="E1309" i="81"/>
  <c r="E1308" i="81"/>
  <c r="E1307" i="81"/>
  <c r="E1306" i="81"/>
  <c r="E1305" i="81"/>
  <c r="E1304" i="81"/>
  <c r="E1303" i="81"/>
  <c r="E1302" i="81"/>
  <c r="E1301" i="81"/>
  <c r="E1300" i="81"/>
  <c r="E1299" i="81"/>
  <c r="E1298" i="81"/>
  <c r="E1297" i="81"/>
  <c r="E1296" i="81"/>
  <c r="E1295" i="81"/>
  <c r="E1294" i="81"/>
  <c r="E1293" i="81"/>
  <c r="E1292" i="81"/>
  <c r="E1291" i="81"/>
  <c r="E1290" i="81"/>
  <c r="E1289" i="81"/>
  <c r="E1288" i="81"/>
  <c r="E1287" i="81"/>
  <c r="E1286" i="81"/>
  <c r="E1285" i="81"/>
  <c r="E1284" i="81"/>
  <c r="E1283" i="81"/>
  <c r="E1282" i="81"/>
  <c r="E1281" i="81"/>
  <c r="E1280" i="81"/>
  <c r="E1279" i="81"/>
  <c r="E1278" i="81"/>
  <c r="E1277" i="81"/>
  <c r="E1276" i="81"/>
  <c r="E1275" i="81"/>
  <c r="E1274" i="81"/>
  <c r="E1273" i="81"/>
  <c r="E1272" i="81"/>
  <c r="E1271" i="81"/>
  <c r="E1270" i="81"/>
  <c r="E1269" i="81"/>
  <c r="E1268" i="81"/>
  <c r="E1267" i="81"/>
  <c r="E1266" i="81"/>
  <c r="E1265" i="81"/>
  <c r="E1264" i="81"/>
  <c r="E1263" i="81"/>
  <c r="E1262" i="81"/>
  <c r="E1261" i="81"/>
  <c r="E1260" i="81"/>
  <c r="E1259" i="81"/>
  <c r="E1258" i="81"/>
  <c r="E1257" i="81"/>
  <c r="E1256" i="81"/>
  <c r="E1255" i="81"/>
  <c r="E1254" i="81"/>
  <c r="E1253" i="81"/>
  <c r="E1252" i="81"/>
  <c r="E1251" i="81"/>
  <c r="E1250" i="81"/>
  <c r="E1249" i="81"/>
  <c r="E1248" i="81"/>
  <c r="E1247" i="81"/>
  <c r="E1246" i="81"/>
  <c r="E1245" i="81"/>
  <c r="E1244" i="81"/>
  <c r="E1243" i="81"/>
  <c r="E1242" i="81"/>
  <c r="E1241" i="81"/>
  <c r="E1240" i="81"/>
  <c r="E1239" i="81"/>
  <c r="E1238" i="81"/>
  <c r="E1237" i="81"/>
  <c r="E1236" i="81"/>
  <c r="E1235" i="81"/>
  <c r="E1234" i="81"/>
  <c r="E1233" i="81"/>
  <c r="E1232" i="81"/>
  <c r="E1231" i="81"/>
  <c r="E1230" i="81"/>
  <c r="E1229" i="81"/>
  <c r="E1228" i="81"/>
  <c r="E1227" i="81"/>
  <c r="E1226" i="81"/>
  <c r="E1225" i="81"/>
  <c r="E1224" i="81"/>
  <c r="E1223" i="81"/>
  <c r="E1222" i="81"/>
  <c r="E1221" i="81"/>
  <c r="E1220" i="81"/>
  <c r="E1219" i="81"/>
  <c r="E1218" i="81"/>
  <c r="E1217" i="81"/>
  <c r="E1216" i="81"/>
  <c r="E1215" i="81"/>
  <c r="E1214" i="81"/>
  <c r="E1213" i="81"/>
  <c r="E1212" i="81"/>
  <c r="E1211" i="81"/>
  <c r="E1210" i="81"/>
  <c r="E1209" i="81"/>
  <c r="E1208" i="81"/>
  <c r="E1207" i="81"/>
  <c r="E1206" i="81"/>
  <c r="E1205" i="81"/>
  <c r="E1204" i="81"/>
  <c r="E1203" i="81"/>
  <c r="E1202" i="81"/>
  <c r="E1201" i="81"/>
  <c r="E1200" i="81"/>
  <c r="E1199" i="81"/>
  <c r="E1198" i="81"/>
  <c r="E1197" i="81"/>
  <c r="E1196" i="81"/>
  <c r="E1195" i="81"/>
  <c r="E1194" i="81"/>
  <c r="E1193" i="81"/>
  <c r="E1192" i="81"/>
  <c r="E1191" i="81"/>
  <c r="E1190" i="81"/>
  <c r="E1189" i="81"/>
  <c r="E1188" i="81"/>
  <c r="E1187" i="81"/>
  <c r="E1186" i="81"/>
  <c r="E1185" i="81"/>
  <c r="E1184" i="81"/>
  <c r="E1183" i="81"/>
  <c r="E1182" i="81"/>
  <c r="E1181" i="81"/>
  <c r="E1180" i="81"/>
  <c r="E1179" i="81"/>
  <c r="E1178" i="81"/>
  <c r="E1177" i="81"/>
  <c r="E1176" i="81"/>
  <c r="E1175" i="81"/>
  <c r="E1174" i="81"/>
  <c r="E1173" i="81"/>
  <c r="E1172" i="81"/>
  <c r="E1171" i="81"/>
  <c r="E1170" i="81"/>
  <c r="E1169" i="81"/>
  <c r="E1168" i="81"/>
  <c r="E1167" i="81"/>
  <c r="E1166" i="81"/>
  <c r="E1165" i="81"/>
  <c r="E1164" i="81"/>
  <c r="E1163" i="81"/>
  <c r="E1162" i="81"/>
  <c r="E1161" i="81"/>
  <c r="E1160" i="81"/>
  <c r="E1159" i="81"/>
  <c r="E1158" i="81"/>
  <c r="E1157" i="81"/>
  <c r="E1156" i="81"/>
  <c r="E1155" i="81"/>
  <c r="E1154" i="81"/>
  <c r="E1153" i="81"/>
  <c r="E1152" i="81"/>
  <c r="E1151" i="81"/>
  <c r="E1150" i="81"/>
  <c r="E1149" i="81"/>
  <c r="E1148" i="81"/>
  <c r="E1147" i="81"/>
  <c r="E1146" i="81"/>
  <c r="E1145" i="81"/>
  <c r="E1144" i="81"/>
  <c r="E1143" i="81"/>
  <c r="E1142" i="81"/>
  <c r="E1141" i="81"/>
  <c r="E1140" i="81"/>
  <c r="E1139" i="81"/>
  <c r="E1138" i="81"/>
  <c r="E1137" i="81"/>
  <c r="E1136" i="81"/>
  <c r="E1135" i="81"/>
  <c r="E1134" i="81"/>
  <c r="E1133" i="81"/>
  <c r="E1132" i="81"/>
  <c r="E1131" i="81"/>
  <c r="E1130" i="81"/>
  <c r="E1129" i="81"/>
  <c r="E1128" i="81"/>
  <c r="E1127" i="81"/>
  <c r="E1126" i="81"/>
  <c r="E1125" i="81"/>
  <c r="E1124" i="81"/>
  <c r="E1123" i="81"/>
  <c r="E1122" i="81"/>
  <c r="E1121" i="81"/>
  <c r="E1120" i="81"/>
  <c r="E1119" i="81"/>
  <c r="E1118" i="81"/>
  <c r="E1117" i="81"/>
  <c r="E1116" i="81"/>
  <c r="E1115" i="81"/>
  <c r="E1114" i="81"/>
  <c r="E1113" i="81"/>
  <c r="E1112" i="81"/>
  <c r="E1111" i="81"/>
  <c r="E1110" i="81"/>
  <c r="E1109" i="81"/>
  <c r="E1108" i="81"/>
  <c r="E1107" i="81"/>
  <c r="E1106" i="81"/>
  <c r="E1105" i="81"/>
  <c r="E1104" i="81"/>
  <c r="E1103" i="81"/>
  <c r="E1102" i="81"/>
  <c r="E1101" i="81"/>
  <c r="E1100" i="81"/>
  <c r="E1099" i="81"/>
  <c r="E1098" i="81"/>
  <c r="E1097" i="81"/>
  <c r="E1096" i="81"/>
  <c r="E1095" i="81"/>
  <c r="E1094" i="81"/>
  <c r="E1093" i="81"/>
  <c r="E1092" i="81"/>
  <c r="E1091" i="81"/>
  <c r="E1090" i="81"/>
  <c r="E1089" i="81"/>
  <c r="E1088" i="81"/>
  <c r="E1087" i="81"/>
  <c r="E1086" i="81"/>
  <c r="E1085" i="81"/>
  <c r="E1084" i="81"/>
  <c r="E1083" i="81"/>
  <c r="E1082" i="81"/>
  <c r="E1081" i="81"/>
  <c r="E1080" i="81"/>
  <c r="E1079" i="81"/>
  <c r="E1078" i="81"/>
  <c r="E1077" i="81"/>
  <c r="E1076" i="81"/>
  <c r="E1075" i="81"/>
  <c r="E1074" i="81"/>
  <c r="E1073" i="81"/>
  <c r="E1072" i="81"/>
  <c r="E1071" i="81"/>
  <c r="E1070" i="81"/>
  <c r="E1069" i="81"/>
  <c r="E1068" i="81"/>
  <c r="E1067" i="81"/>
  <c r="E1066" i="81"/>
  <c r="E1065" i="81"/>
  <c r="E1064" i="81"/>
  <c r="E1063" i="81"/>
  <c r="E1062" i="81"/>
  <c r="E1061" i="81"/>
  <c r="E1060" i="81"/>
  <c r="E1059" i="81"/>
  <c r="E1058" i="81"/>
  <c r="E1057" i="81"/>
  <c r="E1056" i="81"/>
  <c r="E1055" i="81"/>
  <c r="E1054" i="81"/>
  <c r="E1053" i="81"/>
  <c r="E1052" i="81"/>
  <c r="E1051" i="81"/>
  <c r="E1050" i="81"/>
  <c r="E1049" i="81"/>
  <c r="E1048" i="81"/>
  <c r="E1047" i="81"/>
  <c r="E1046" i="81"/>
  <c r="E1045" i="81"/>
  <c r="E1044" i="81"/>
  <c r="E1043" i="81"/>
  <c r="E1042" i="81"/>
  <c r="E1041" i="81"/>
  <c r="E1040" i="81"/>
  <c r="E1039" i="81"/>
  <c r="E1038" i="81"/>
  <c r="E1037" i="81"/>
  <c r="E1036" i="81"/>
  <c r="E1035" i="81"/>
  <c r="E1034" i="81"/>
  <c r="E1033" i="81"/>
  <c r="E1032" i="81"/>
  <c r="E1031" i="81"/>
  <c r="E1030" i="81"/>
  <c r="E1029" i="81"/>
  <c r="E1028" i="81"/>
  <c r="E1027" i="81"/>
  <c r="E1026" i="81"/>
  <c r="E1025" i="81"/>
  <c r="E1024" i="81"/>
  <c r="E1023" i="81"/>
  <c r="E1022" i="81"/>
  <c r="E1021" i="81"/>
  <c r="E1020" i="81"/>
  <c r="E1019" i="81"/>
  <c r="E1018" i="81"/>
  <c r="E1017" i="81"/>
  <c r="E1016" i="81"/>
  <c r="E1015" i="81"/>
  <c r="E1014" i="81"/>
  <c r="E1013" i="81"/>
  <c r="E1012" i="81"/>
  <c r="E1011" i="81"/>
  <c r="E1010" i="81"/>
  <c r="E1009" i="81"/>
  <c r="E1008" i="81"/>
  <c r="E1007" i="81"/>
  <c r="E1006" i="81"/>
  <c r="E1005" i="81"/>
  <c r="E1004" i="81"/>
  <c r="E1003" i="81"/>
  <c r="E1002" i="81"/>
  <c r="E1001" i="81"/>
  <c r="E1000" i="81"/>
  <c r="E999" i="81"/>
  <c r="E998" i="81"/>
  <c r="E997" i="81"/>
  <c r="E996" i="81"/>
  <c r="E995" i="81"/>
  <c r="E994" i="81"/>
  <c r="E993" i="81"/>
  <c r="E992" i="81"/>
  <c r="E991" i="81"/>
  <c r="E990" i="81"/>
  <c r="E989" i="81"/>
  <c r="E988" i="81"/>
  <c r="E987" i="81"/>
  <c r="E986" i="81"/>
  <c r="E985" i="81"/>
  <c r="E984" i="81"/>
  <c r="E983" i="81"/>
  <c r="E982" i="81"/>
  <c r="E981" i="81"/>
  <c r="E980" i="81"/>
  <c r="E979" i="81"/>
  <c r="E978" i="81"/>
  <c r="E977" i="81"/>
  <c r="E976" i="81"/>
  <c r="E975" i="81"/>
  <c r="E974" i="81"/>
  <c r="E973" i="81"/>
  <c r="E972" i="81"/>
  <c r="E971" i="81"/>
  <c r="E970" i="81"/>
  <c r="E969" i="81"/>
  <c r="E968" i="81"/>
  <c r="E967" i="81"/>
  <c r="E966" i="81"/>
  <c r="E965" i="81"/>
  <c r="E964" i="81"/>
  <c r="E963" i="81"/>
  <c r="E962" i="81"/>
  <c r="E961" i="81"/>
  <c r="E960" i="81"/>
  <c r="E959" i="81"/>
  <c r="E958" i="81"/>
  <c r="E957" i="81"/>
  <c r="E956" i="81"/>
  <c r="E955" i="81"/>
  <c r="E954" i="81"/>
  <c r="E953" i="81"/>
  <c r="E952" i="81"/>
  <c r="E951" i="81"/>
  <c r="E950" i="81"/>
  <c r="E949" i="81"/>
  <c r="E948" i="81"/>
  <c r="E947" i="81"/>
  <c r="E946" i="81"/>
  <c r="E945" i="81"/>
  <c r="E944" i="81"/>
  <c r="E943" i="81"/>
  <c r="E942" i="81"/>
  <c r="E941" i="81"/>
  <c r="E940" i="81"/>
  <c r="E939" i="81"/>
  <c r="E938" i="81"/>
  <c r="E937" i="81"/>
  <c r="E936" i="81"/>
  <c r="E935" i="81"/>
  <c r="E934" i="81"/>
  <c r="E933" i="81"/>
  <c r="E932" i="81"/>
  <c r="E931" i="81"/>
  <c r="E930" i="81"/>
  <c r="E929" i="81"/>
  <c r="E928" i="81"/>
  <c r="E927" i="81"/>
  <c r="E926" i="81"/>
  <c r="E925" i="81"/>
  <c r="E924" i="81"/>
  <c r="E923" i="81"/>
  <c r="E922" i="81"/>
  <c r="E921" i="81"/>
  <c r="E920" i="81"/>
  <c r="E919" i="81"/>
  <c r="E918" i="81"/>
  <c r="E917" i="81"/>
  <c r="E916" i="81"/>
  <c r="E915" i="81"/>
  <c r="E914" i="81"/>
  <c r="E913" i="81"/>
  <c r="E912" i="81"/>
  <c r="E911" i="81"/>
  <c r="E910" i="81"/>
  <c r="E909" i="81"/>
  <c r="E908" i="81"/>
  <c r="E907" i="81"/>
  <c r="E906" i="81"/>
  <c r="E905" i="81"/>
  <c r="E904" i="81"/>
  <c r="E903" i="81"/>
  <c r="E902" i="81"/>
  <c r="E901" i="81"/>
  <c r="E900" i="81"/>
  <c r="E899" i="81"/>
  <c r="E898" i="81"/>
  <c r="E897" i="81"/>
  <c r="E896" i="81"/>
  <c r="E895" i="81"/>
  <c r="E894" i="81"/>
  <c r="E893" i="81"/>
  <c r="E892" i="81"/>
  <c r="E891" i="81"/>
  <c r="E890" i="81"/>
  <c r="E889" i="81"/>
  <c r="E888" i="81"/>
  <c r="E887" i="81"/>
  <c r="E886" i="81"/>
  <c r="E885" i="81"/>
  <c r="E884" i="81"/>
  <c r="E883" i="81"/>
  <c r="E882" i="81"/>
  <c r="E881" i="81"/>
  <c r="E880" i="81"/>
  <c r="E879" i="81"/>
  <c r="E878" i="81"/>
  <c r="E877" i="81"/>
  <c r="E876" i="81"/>
  <c r="E875" i="81"/>
  <c r="E874" i="81"/>
  <c r="E873" i="81"/>
  <c r="E872" i="81"/>
  <c r="E871" i="81"/>
  <c r="E870" i="81"/>
  <c r="E869" i="81"/>
  <c r="E868" i="81"/>
  <c r="E867" i="81"/>
  <c r="E866" i="81"/>
  <c r="E865" i="81"/>
  <c r="E864" i="81"/>
  <c r="E863" i="81"/>
  <c r="E862" i="81"/>
  <c r="E861" i="81"/>
  <c r="E860" i="81"/>
  <c r="E859" i="81"/>
  <c r="E858" i="81"/>
  <c r="E857" i="81"/>
  <c r="E856" i="81"/>
  <c r="E855" i="81"/>
  <c r="E854" i="81"/>
  <c r="E853" i="81"/>
  <c r="E852" i="81"/>
  <c r="E851" i="81"/>
  <c r="E850" i="81"/>
  <c r="E849" i="81"/>
  <c r="E848" i="81"/>
  <c r="E847" i="81"/>
  <c r="E846" i="81"/>
  <c r="E845" i="81"/>
  <c r="E844" i="81"/>
  <c r="E843" i="81"/>
  <c r="E842" i="81"/>
  <c r="E841" i="81"/>
  <c r="E840" i="81"/>
  <c r="E839" i="81"/>
  <c r="E838" i="81"/>
  <c r="E837" i="81"/>
  <c r="E836" i="81"/>
  <c r="E835" i="81"/>
  <c r="E834" i="81"/>
  <c r="E833" i="81"/>
  <c r="E832" i="81"/>
  <c r="E831" i="81"/>
  <c r="E830" i="81"/>
  <c r="E829" i="81"/>
  <c r="E828" i="81"/>
  <c r="E827" i="81"/>
  <c r="E826" i="81"/>
  <c r="E825" i="81"/>
  <c r="E824" i="81"/>
  <c r="E823" i="81"/>
  <c r="E822" i="81"/>
  <c r="E821" i="81"/>
  <c r="E820" i="81"/>
  <c r="E819" i="81"/>
  <c r="E818" i="81"/>
  <c r="E817" i="81"/>
  <c r="E816" i="81"/>
  <c r="E815" i="81"/>
  <c r="E814" i="81"/>
  <c r="E813" i="81"/>
  <c r="E812" i="81"/>
  <c r="E811" i="81"/>
  <c r="E810" i="81"/>
  <c r="E809" i="81"/>
  <c r="E808" i="81"/>
  <c r="E807" i="81"/>
  <c r="E806" i="81"/>
  <c r="E805" i="81"/>
  <c r="E804" i="81"/>
  <c r="E803" i="81"/>
  <c r="E802" i="81"/>
  <c r="E801" i="81"/>
  <c r="E800" i="81"/>
  <c r="E799" i="81"/>
  <c r="E798" i="81"/>
  <c r="E797" i="81"/>
  <c r="E796" i="81"/>
  <c r="E795" i="81"/>
  <c r="E794" i="81"/>
  <c r="E793" i="81"/>
  <c r="E792" i="81"/>
  <c r="E791" i="81"/>
  <c r="E790" i="81"/>
  <c r="E789" i="81"/>
  <c r="E788" i="81"/>
  <c r="E787" i="81"/>
  <c r="E786" i="81"/>
  <c r="E785" i="81"/>
  <c r="E784" i="81"/>
  <c r="E783" i="81"/>
  <c r="E782" i="81"/>
  <c r="E781" i="81"/>
  <c r="E780" i="81"/>
  <c r="E779" i="81"/>
  <c r="E778" i="81"/>
  <c r="E777" i="81"/>
  <c r="E776" i="81"/>
  <c r="E775" i="81"/>
  <c r="E774" i="81"/>
  <c r="E773" i="81"/>
  <c r="E772" i="81"/>
  <c r="E771" i="81"/>
  <c r="E770" i="81"/>
  <c r="E769" i="81"/>
  <c r="E768" i="81"/>
  <c r="E767" i="81"/>
  <c r="E766" i="81"/>
  <c r="E765" i="81"/>
  <c r="E764" i="81"/>
  <c r="E763" i="81"/>
  <c r="E762" i="81"/>
  <c r="E761" i="81"/>
  <c r="E760" i="81"/>
  <c r="E759" i="81"/>
  <c r="E758" i="81"/>
  <c r="E757" i="81"/>
  <c r="E756" i="81"/>
  <c r="E755" i="81"/>
  <c r="E754" i="81"/>
  <c r="E753" i="81"/>
  <c r="E752" i="81"/>
  <c r="E751" i="81"/>
  <c r="E750" i="81"/>
  <c r="E749" i="81"/>
  <c r="E748" i="81"/>
  <c r="E747" i="81"/>
  <c r="E746" i="81"/>
  <c r="E745" i="81"/>
  <c r="E744" i="81"/>
  <c r="E743" i="81"/>
  <c r="E742" i="81"/>
  <c r="E741" i="81"/>
  <c r="E740" i="81"/>
  <c r="E739" i="81"/>
  <c r="E738" i="81"/>
  <c r="E737" i="81"/>
  <c r="E736" i="81"/>
  <c r="E735" i="81"/>
  <c r="E734" i="81"/>
  <c r="E733" i="81"/>
  <c r="E732" i="81"/>
  <c r="E731" i="81"/>
  <c r="E730" i="81"/>
  <c r="E729" i="81"/>
  <c r="E728" i="81"/>
  <c r="E727" i="81"/>
  <c r="E726" i="81"/>
  <c r="E725" i="81"/>
  <c r="E724" i="81"/>
  <c r="E723" i="81"/>
  <c r="E722" i="81"/>
  <c r="E721" i="81"/>
  <c r="E720" i="81"/>
  <c r="E719" i="81"/>
  <c r="E718" i="81"/>
  <c r="E717" i="81"/>
  <c r="E716" i="81"/>
  <c r="E715" i="81"/>
  <c r="E714" i="81"/>
  <c r="E713" i="81"/>
  <c r="E712" i="81"/>
  <c r="E711" i="81"/>
  <c r="E710" i="81"/>
  <c r="E709" i="81"/>
  <c r="E708" i="81"/>
  <c r="E707" i="81"/>
  <c r="E706" i="81"/>
  <c r="E705" i="81"/>
  <c r="E704" i="81"/>
  <c r="E703" i="81"/>
  <c r="E702" i="81"/>
  <c r="E701" i="81"/>
  <c r="E700" i="81"/>
  <c r="E699" i="81"/>
  <c r="E698" i="81"/>
  <c r="E697" i="81"/>
  <c r="E696" i="81"/>
  <c r="E695" i="81"/>
  <c r="E694" i="81"/>
  <c r="E693" i="81"/>
  <c r="E692" i="81"/>
  <c r="E691" i="81"/>
  <c r="E690" i="81"/>
  <c r="E689" i="81"/>
  <c r="E688" i="81"/>
  <c r="E687" i="81"/>
  <c r="E686" i="81"/>
  <c r="E685" i="81"/>
  <c r="E684" i="81"/>
  <c r="E683" i="81"/>
  <c r="E682" i="81"/>
  <c r="E681" i="81"/>
  <c r="E680" i="81"/>
  <c r="E679" i="81"/>
  <c r="E678" i="81"/>
  <c r="E677" i="81"/>
  <c r="E676" i="81"/>
  <c r="E675" i="81"/>
  <c r="E674" i="81"/>
  <c r="E673" i="81"/>
  <c r="E672" i="81"/>
  <c r="E671" i="81"/>
  <c r="E670" i="81"/>
  <c r="E669" i="81"/>
  <c r="E668" i="81"/>
  <c r="E667" i="81"/>
  <c r="E666" i="81"/>
  <c r="E665" i="81"/>
  <c r="E664" i="81"/>
  <c r="E663" i="81"/>
  <c r="E662" i="81"/>
  <c r="E661" i="81"/>
  <c r="E660" i="81"/>
  <c r="E659" i="81"/>
  <c r="E658" i="81"/>
  <c r="E657" i="81"/>
  <c r="E656" i="81"/>
  <c r="E655" i="81"/>
  <c r="E654" i="81"/>
  <c r="E653" i="81"/>
  <c r="E652" i="81"/>
  <c r="E651" i="81"/>
  <c r="E650" i="81"/>
  <c r="E649" i="81"/>
  <c r="E648" i="81"/>
  <c r="E647" i="81"/>
  <c r="E646" i="81"/>
  <c r="E645" i="81"/>
  <c r="E644" i="81"/>
  <c r="E643" i="81"/>
  <c r="E642" i="81"/>
  <c r="E641" i="81"/>
  <c r="E640" i="81"/>
  <c r="E639" i="81"/>
  <c r="E638" i="81"/>
  <c r="E637" i="81"/>
  <c r="E636" i="81"/>
  <c r="E635" i="81"/>
  <c r="E634" i="81"/>
  <c r="E633" i="81"/>
  <c r="E632" i="81"/>
  <c r="E631" i="81"/>
  <c r="E630" i="81"/>
  <c r="E629" i="81"/>
  <c r="E628" i="81"/>
  <c r="E627" i="81"/>
  <c r="E626" i="81"/>
  <c r="E625" i="81"/>
  <c r="E624" i="81"/>
  <c r="E623" i="81"/>
  <c r="E622" i="81"/>
  <c r="E621" i="81"/>
  <c r="E620" i="81"/>
  <c r="E619" i="81"/>
  <c r="E618" i="81"/>
  <c r="E617" i="81"/>
  <c r="E616" i="81"/>
  <c r="E615" i="81"/>
  <c r="E614" i="81"/>
  <c r="E613" i="81"/>
  <c r="E612" i="81"/>
  <c r="E611" i="81"/>
  <c r="E610" i="81"/>
  <c r="E609" i="81"/>
  <c r="E608" i="81"/>
  <c r="E607" i="81"/>
  <c r="E606" i="81"/>
  <c r="E605" i="81"/>
  <c r="E604" i="81"/>
  <c r="E603" i="81"/>
  <c r="E602" i="81"/>
  <c r="E601" i="81"/>
  <c r="E600" i="81"/>
  <c r="E599" i="81"/>
  <c r="E598" i="81"/>
  <c r="E597" i="81"/>
  <c r="E596" i="81"/>
  <c r="E595" i="81"/>
  <c r="E594" i="81"/>
  <c r="E593" i="81"/>
  <c r="E592" i="81"/>
  <c r="E591" i="81"/>
  <c r="E590" i="81"/>
  <c r="E589" i="81"/>
  <c r="E588" i="81"/>
  <c r="E587" i="81"/>
  <c r="E586" i="81"/>
  <c r="E585" i="81"/>
  <c r="E584" i="81"/>
  <c r="E583" i="81"/>
  <c r="E582" i="81"/>
  <c r="E581" i="81"/>
  <c r="E580" i="81"/>
  <c r="E579" i="81"/>
  <c r="E578" i="81"/>
  <c r="E577" i="81"/>
  <c r="E576" i="81"/>
  <c r="E575" i="81"/>
  <c r="E574" i="81"/>
  <c r="E573" i="81"/>
  <c r="E572" i="81"/>
  <c r="E571" i="81"/>
  <c r="E570" i="81"/>
  <c r="E569" i="81"/>
  <c r="E568" i="81"/>
  <c r="E567" i="81"/>
  <c r="E566" i="81"/>
  <c r="E565" i="81"/>
  <c r="E564" i="81"/>
  <c r="E563" i="81"/>
  <c r="E562" i="81"/>
  <c r="E561" i="81"/>
  <c r="E560" i="81"/>
  <c r="E559" i="81"/>
  <c r="E558" i="81"/>
  <c r="E557" i="81"/>
  <c r="E556" i="81"/>
  <c r="E555" i="81"/>
  <c r="E554" i="81"/>
  <c r="E553" i="81"/>
  <c r="E552" i="81"/>
  <c r="E551" i="81"/>
  <c r="E550" i="81"/>
  <c r="E549" i="81"/>
  <c r="E548" i="81"/>
  <c r="E547" i="81"/>
  <c r="E546" i="81"/>
  <c r="E545" i="81"/>
  <c r="E544" i="81"/>
  <c r="E543" i="81"/>
  <c r="E542" i="81"/>
  <c r="E541" i="81"/>
  <c r="E540" i="81"/>
  <c r="E539" i="81"/>
  <c r="E538" i="81"/>
  <c r="E537" i="81"/>
  <c r="E536" i="81"/>
  <c r="E535" i="81"/>
  <c r="E534" i="81"/>
  <c r="E533" i="81"/>
  <c r="E532" i="81"/>
  <c r="E531" i="81"/>
  <c r="E530" i="81"/>
  <c r="E529" i="81"/>
  <c r="E528" i="81"/>
  <c r="E527" i="81"/>
  <c r="E526" i="81"/>
  <c r="E525"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54" i="81"/>
  <c r="E353" i="81"/>
  <c r="E352" i="81"/>
  <c r="E351" i="81"/>
  <c r="E350" i="81"/>
  <c r="E349" i="81"/>
  <c r="E348" i="81"/>
  <c r="E347" i="81"/>
  <c r="E346" i="81"/>
  <c r="E345" i="81"/>
  <c r="E344" i="81"/>
  <c r="E343" i="81"/>
  <c r="E342" i="81"/>
  <c r="E341" i="81"/>
  <c r="E340" i="81"/>
  <c r="E339" i="81"/>
  <c r="E338" i="81"/>
  <c r="E337" i="81"/>
  <c r="E336" i="81"/>
  <c r="E335" i="81"/>
  <c r="E334" i="81"/>
  <c r="E333" i="81"/>
  <c r="E332" i="81"/>
  <c r="E331" i="81"/>
  <c r="E330" i="81"/>
  <c r="E329" i="81"/>
  <c r="E328" i="81"/>
  <c r="E327" i="81"/>
  <c r="E326" i="81"/>
  <c r="E325" i="81"/>
  <c r="E324" i="81"/>
  <c r="E323" i="81"/>
  <c r="E322" i="81"/>
  <c r="E321" i="81"/>
  <c r="E320" i="81"/>
  <c r="E319" i="81"/>
  <c r="E318" i="81"/>
  <c r="E317" i="81"/>
  <c r="E316" i="81"/>
  <c r="E315" i="81"/>
  <c r="E314" i="81"/>
  <c r="E313" i="81"/>
  <c r="E312" i="81"/>
  <c r="E311" i="81"/>
  <c r="E310" i="81"/>
  <c r="E309" i="81"/>
  <c r="E308" i="81"/>
  <c r="E307" i="81"/>
  <c r="E306" i="81"/>
  <c r="E305" i="81"/>
  <c r="E304" i="81"/>
  <c r="E303" i="81"/>
  <c r="E302" i="81"/>
  <c r="E301" i="81"/>
  <c r="E300" i="81"/>
  <c r="E299" i="81"/>
  <c r="E298" i="81"/>
  <c r="E297" i="81"/>
  <c r="E296" i="81"/>
  <c r="E295" i="81"/>
  <c r="E294" i="81"/>
  <c r="E293" i="81"/>
  <c r="E292" i="81"/>
  <c r="E291" i="81"/>
  <c r="E290" i="81"/>
  <c r="E289" i="81"/>
  <c r="E288" i="81"/>
  <c r="E287" i="81"/>
  <c r="E286" i="81"/>
  <c r="E285" i="81"/>
  <c r="E284" i="81"/>
  <c r="E283" i="81"/>
  <c r="E282" i="81"/>
  <c r="E281" i="81"/>
  <c r="E280" i="81"/>
  <c r="E279" i="81"/>
  <c r="E278" i="81"/>
  <c r="E277" i="81"/>
  <c r="E276" i="81"/>
  <c r="E275" i="81"/>
  <c r="E274" i="81"/>
  <c r="E273" i="81"/>
  <c r="E272" i="81"/>
  <c r="E271" i="81"/>
  <c r="E270" i="81"/>
  <c r="E269" i="81"/>
  <c r="E268" i="81"/>
  <c r="E267" i="81"/>
  <c r="E266" i="81"/>
  <c r="E265" i="81"/>
  <c r="E264" i="81"/>
  <c r="E263" i="81"/>
  <c r="E262" i="81"/>
  <c r="E261" i="81"/>
  <c r="E260" i="81"/>
  <c r="E259" i="81"/>
  <c r="E258" i="81"/>
  <c r="E257" i="81"/>
  <c r="E256" i="81"/>
  <c r="E255" i="81"/>
  <c r="E254" i="81"/>
  <c r="E253" i="81"/>
  <c r="E252" i="81"/>
  <c r="E251" i="81"/>
  <c r="E250" i="81"/>
  <c r="E249" i="81"/>
  <c r="E248" i="81"/>
  <c r="E247" i="81"/>
  <c r="E246" i="81"/>
  <c r="E245" i="81"/>
  <c r="E244" i="81"/>
  <c r="E243" i="81"/>
  <c r="E242" i="81"/>
  <c r="E241" i="81"/>
  <c r="E240" i="81"/>
  <c r="E239" i="81"/>
  <c r="E238" i="81"/>
  <c r="E237" i="81"/>
  <c r="E236" i="81"/>
  <c r="E235" i="81"/>
  <c r="E234" i="81"/>
  <c r="E233" i="81"/>
  <c r="E232" i="81"/>
  <c r="E231" i="81"/>
  <c r="E230" i="81"/>
  <c r="E229" i="81"/>
  <c r="E228" i="81"/>
  <c r="E227" i="81"/>
  <c r="E226" i="81"/>
  <c r="E225" i="81"/>
  <c r="E224" i="81"/>
  <c r="E223" i="81"/>
  <c r="E222" i="81"/>
  <c r="E221" i="81"/>
  <c r="E220" i="81"/>
  <c r="E219" i="81"/>
  <c r="E218" i="81"/>
  <c r="E217" i="81"/>
  <c r="E216" i="81"/>
  <c r="E215" i="81"/>
  <c r="E214" i="81"/>
  <c r="E213" i="81"/>
  <c r="E212" i="81"/>
  <c r="E211" i="81"/>
  <c r="E210" i="81"/>
  <c r="E209" i="81"/>
  <c r="E208" i="81"/>
  <c r="E207" i="81"/>
  <c r="E206" i="81"/>
  <c r="E205" i="81"/>
  <c r="E204" i="81"/>
  <c r="E203" i="81"/>
  <c r="E202" i="81"/>
  <c r="E201" i="81"/>
  <c r="E200" i="81"/>
  <c r="E199" i="81"/>
  <c r="E198" i="81"/>
  <c r="E197" i="81"/>
  <c r="E196" i="81"/>
  <c r="E195" i="81"/>
  <c r="E194" i="81"/>
  <c r="E193" i="81"/>
  <c r="E192" i="81"/>
  <c r="E191" i="81"/>
  <c r="E190" i="81"/>
  <c r="E189" i="81"/>
  <c r="E188" i="81"/>
  <c r="E187" i="81"/>
  <c r="E186" i="81"/>
  <c r="E185" i="81"/>
  <c r="E184" i="81"/>
  <c r="E183" i="81"/>
  <c r="E182" i="81"/>
  <c r="E181" i="81"/>
  <c r="E180" i="81"/>
  <c r="E179" i="81"/>
  <c r="E178" i="81"/>
  <c r="E177" i="81"/>
  <c r="E176" i="81"/>
  <c r="E175" i="81"/>
  <c r="E174" i="81"/>
  <c r="E173" i="81"/>
  <c r="E172" i="81"/>
  <c r="E171" i="81"/>
  <c r="E170" i="81"/>
  <c r="E169" i="81"/>
  <c r="E168" i="81"/>
  <c r="E167" i="81"/>
  <c r="E166" i="81"/>
  <c r="E165" i="81"/>
  <c r="E164" i="81"/>
  <c r="E163" i="81"/>
  <c r="E162" i="81"/>
  <c r="E161" i="81"/>
  <c r="E160" i="81"/>
  <c r="E159" i="81"/>
  <c r="E158" i="81"/>
  <c r="E157" i="81"/>
  <c r="E156" i="81"/>
  <c r="E155" i="81"/>
  <c r="E154" i="81"/>
  <c r="E153" i="81"/>
  <c r="E152" i="81"/>
  <c r="E151" i="81"/>
  <c r="E150" i="81"/>
  <c r="E149" i="81"/>
  <c r="E148" i="81"/>
  <c r="E147" i="81"/>
  <c r="E146" i="81"/>
  <c r="E145" i="81"/>
  <c r="E144" i="81"/>
  <c r="E143" i="81"/>
  <c r="E142" i="81"/>
  <c r="E141" i="81"/>
  <c r="E140" i="81"/>
  <c r="E139" i="81"/>
  <c r="E138" i="81"/>
  <c r="E137" i="81"/>
  <c r="E136" i="81"/>
  <c r="E135" i="81"/>
  <c r="E134" i="81"/>
  <c r="E133" i="81"/>
  <c r="E132" i="81"/>
  <c r="E131" i="81"/>
  <c r="E130" i="81"/>
  <c r="E129" i="81"/>
  <c r="E128" i="81"/>
  <c r="E127" i="81"/>
  <c r="E126" i="81"/>
  <c r="E125" i="81"/>
  <c r="E124" i="81"/>
  <c r="E123" i="81"/>
  <c r="E122" i="81"/>
  <c r="E121" i="81"/>
  <c r="E120" i="81"/>
  <c r="E119" i="81"/>
  <c r="E118" i="81"/>
  <c r="E117" i="81"/>
  <c r="E116" i="81"/>
  <c r="E115" i="81"/>
  <c r="E114" i="81"/>
  <c r="E113" i="81"/>
  <c r="E112" i="81"/>
  <c r="E111" i="81"/>
  <c r="E110" i="81"/>
  <c r="E109" i="81"/>
  <c r="E108" i="81"/>
  <c r="E107" i="81"/>
  <c r="E106" i="81"/>
  <c r="E105" i="81"/>
  <c r="E104" i="81"/>
  <c r="E103" i="81"/>
  <c r="E102" i="81"/>
  <c r="E101" i="81"/>
  <c r="E100" i="81"/>
  <c r="E99" i="81"/>
  <c r="E98" i="81"/>
  <c r="E97" i="81"/>
  <c r="E96" i="81"/>
  <c r="E95" i="81"/>
  <c r="E94" i="81"/>
  <c r="E93" i="81"/>
  <c r="E92" i="81"/>
  <c r="E91" i="81"/>
  <c r="E90" i="81"/>
  <c r="E89" i="81"/>
  <c r="E88" i="81"/>
  <c r="E87" i="81"/>
  <c r="E86" i="81"/>
  <c r="E85" i="81"/>
  <c r="E84" i="81"/>
  <c r="E83" i="81"/>
  <c r="E82" i="81"/>
  <c r="E81" i="81"/>
  <c r="E80" i="81"/>
  <c r="E79" i="81"/>
  <c r="E78" i="81"/>
  <c r="E77" i="81"/>
  <c r="E76" i="81"/>
  <c r="E75" i="81"/>
  <c r="E74" i="81"/>
  <c r="E73" i="81"/>
  <c r="E72" i="81"/>
  <c r="E71" i="81"/>
  <c r="E70" i="81"/>
  <c r="E69" i="81"/>
  <c r="E68" i="81"/>
  <c r="E67" i="81"/>
  <c r="E66" i="81"/>
  <c r="E65" i="81"/>
  <c r="E64" i="81"/>
  <c r="E63" i="81"/>
  <c r="E62" i="81"/>
  <c r="E61" i="81"/>
  <c r="E60" i="81"/>
  <c r="E59" i="81"/>
  <c r="E58" i="81"/>
  <c r="E57" i="81"/>
  <c r="E56" i="81"/>
  <c r="E55" i="81"/>
  <c r="E54" i="81"/>
  <c r="E53" i="81"/>
  <c r="E52" i="81"/>
  <c r="E51" i="81"/>
  <c r="E50" i="81"/>
  <c r="E49" i="81"/>
  <c r="E48" i="81"/>
  <c r="E47" i="81"/>
  <c r="E46" i="81"/>
  <c r="E45" i="81"/>
  <c r="E44" i="81"/>
  <c r="E43" i="81"/>
  <c r="E42" i="81"/>
  <c r="E41" i="81"/>
  <c r="E40" i="81"/>
  <c r="E39" i="81"/>
  <c r="E38" i="81"/>
  <c r="E37" i="81"/>
  <c r="E36" i="81"/>
  <c r="E35" i="81"/>
  <c r="E34" i="81"/>
  <c r="E33" i="81"/>
  <c r="E32" i="81"/>
  <c r="E31" i="81"/>
  <c r="E30" i="81"/>
  <c r="E29" i="81"/>
  <c r="E28" i="81"/>
  <c r="E27" i="81"/>
  <c r="E26" i="81"/>
  <c r="E25" i="81"/>
  <c r="E24" i="81"/>
  <c r="E23" i="81"/>
  <c r="E22" i="81"/>
  <c r="E21" i="81"/>
  <c r="E20" i="81"/>
  <c r="E19" i="81"/>
  <c r="E18" i="81"/>
  <c r="E17" i="81"/>
  <c r="E16" i="81"/>
  <c r="E15" i="81"/>
  <c r="E14" i="81"/>
  <c r="E13" i="81"/>
  <c r="E12" i="81"/>
  <c r="E11" i="81"/>
  <c r="E10" i="81"/>
  <c r="E9" i="81"/>
  <c r="E8" i="81"/>
  <c r="E7" i="81"/>
  <c r="E6" i="81"/>
  <c r="E5" i="81"/>
  <c r="E4" i="81"/>
  <c r="E3" i="81"/>
  <c r="F2" i="81"/>
  <c r="E2" i="81"/>
  <c r="D48" i="80"/>
  <c r="E48" i="80"/>
  <c r="F48" i="80"/>
  <c r="D40" i="80" l="1"/>
  <c r="I9" i="80"/>
  <c r="I8" i="80"/>
  <c r="I7" i="80"/>
  <c r="L51" i="106"/>
  <c r="N3" i="95"/>
  <c r="G47" i="21" s="1"/>
  <c r="E10" i="80" l="1"/>
  <c r="D10" i="80"/>
  <c r="C10" i="80"/>
  <c r="I10" i="80" s="1"/>
  <c r="B10" i="80"/>
  <c r="H10" i="80" s="1"/>
  <c r="H9" i="80"/>
  <c r="H8" i="80"/>
  <c r="H7" i="80"/>
  <c r="H6" i="80"/>
  <c r="G6" i="80"/>
  <c r="H5" i="80"/>
  <c r="G5" i="80"/>
  <c r="H4" i="80"/>
  <c r="G10" i="80" l="1"/>
  <c r="F10" i="80" s="1"/>
  <c r="L17" i="85" l="1"/>
  <c r="E47" i="21"/>
  <c r="I47" i="21"/>
  <c r="I5" i="21"/>
  <c r="G5" i="21"/>
  <c r="N5" i="80"/>
  <c r="N6" i="80"/>
  <c r="N4" i="80"/>
  <c r="G30" i="80" l="1"/>
  <c r="F30" i="80"/>
  <c r="E30" i="80"/>
  <c r="D30" i="80"/>
  <c r="B20" i="80"/>
  <c r="AK11" i="1"/>
  <c r="S13" i="3" l="1"/>
  <c r="Q13" i="3"/>
  <c r="O13" i="3"/>
  <c r="M13" i="3"/>
  <c r="E29" i="80"/>
  <c r="K13" i="3"/>
  <c r="I13" i="3"/>
  <c r="E100" i="21" l="1"/>
  <c r="D100" i="21"/>
  <c r="C100" i="21"/>
  <c r="H11" i="21"/>
  <c r="F11" i="21"/>
  <c r="L9" i="93"/>
  <c r="E5" i="21"/>
  <c r="D17" i="103"/>
  <c r="A126" i="103"/>
  <c r="A124" i="103"/>
  <c r="A122" i="103"/>
  <c r="A120" i="103"/>
  <c r="A118" i="103"/>
  <c r="H111" i="103"/>
  <c r="D126" i="103" s="1"/>
  <c r="D127" i="103" s="1"/>
  <c r="E111" i="103"/>
  <c r="H112" i="103" s="1"/>
  <c r="E109" i="103"/>
  <c r="H109" i="103" s="1"/>
  <c r="E107" i="103"/>
  <c r="H106" i="103"/>
  <c r="H103" i="103" s="1"/>
  <c r="D120" i="103" s="1"/>
  <c r="H105" i="103"/>
  <c r="H104" i="103"/>
  <c r="D101" i="103"/>
  <c r="C101" i="103"/>
  <c r="D93" i="103"/>
  <c r="C91" i="103"/>
  <c r="E90" i="103"/>
  <c r="D89" i="103"/>
  <c r="C89" i="103"/>
  <c r="C87" i="103" s="1"/>
  <c r="D78" i="103"/>
  <c r="H77" i="103"/>
  <c r="D77" i="103"/>
  <c r="C76" i="103"/>
  <c r="D68" i="103"/>
  <c r="F59" i="103"/>
  <c r="E59" i="103"/>
  <c r="N56" i="103"/>
  <c r="M56" i="103"/>
  <c r="K56" i="103"/>
  <c r="J56" i="103"/>
  <c r="F56" i="103"/>
  <c r="O55" i="103"/>
  <c r="N55" i="103"/>
  <c r="K55" i="103"/>
  <c r="J55" i="103"/>
  <c r="J57" i="103" s="1"/>
  <c r="J59" i="103" s="1"/>
  <c r="J61" i="103" s="1"/>
  <c r="I55" i="103"/>
  <c r="F55" i="103"/>
  <c r="O53" i="103" s="1"/>
  <c r="O54" i="103"/>
  <c r="N54" i="103"/>
  <c r="F54" i="103"/>
  <c r="N53" i="103"/>
  <c r="F53" i="103"/>
  <c r="F52" i="103"/>
  <c r="K49" i="103"/>
  <c r="F48" i="103"/>
  <c r="O52" i="103" s="1"/>
  <c r="E48" i="103"/>
  <c r="N52" i="103" s="1"/>
  <c r="D48" i="103"/>
  <c r="M52" i="103" s="1"/>
  <c r="F33" i="103"/>
  <c r="D27" i="103"/>
  <c r="C25" i="103"/>
  <c r="C24" i="103"/>
  <c r="C17" i="103"/>
  <c r="L4" i="103"/>
  <c r="K4" i="103"/>
  <c r="A2" i="103"/>
  <c r="H1" i="103"/>
  <c r="F48" i="102"/>
  <c r="G41" i="102"/>
  <c r="F38" i="102"/>
  <c r="E37" i="102"/>
  <c r="F36" i="102"/>
  <c r="F35" i="102"/>
  <c r="F34" i="102"/>
  <c r="F30" i="102"/>
  <c r="G22" i="102"/>
  <c r="F21" i="102"/>
  <c r="C40" i="102" s="1"/>
  <c r="F20" i="102"/>
  <c r="F39" i="102" s="1"/>
  <c r="E19" i="102"/>
  <c r="C19" i="102"/>
  <c r="E10" i="102"/>
  <c r="E9" i="102"/>
  <c r="F7" i="102"/>
  <c r="G1" i="102"/>
  <c r="AL11" i="1"/>
  <c r="AM11" i="1"/>
  <c r="Y11" i="1"/>
  <c r="P74" i="101"/>
  <c r="Q72" i="101"/>
  <c r="Q59" i="101"/>
  <c r="K59" i="101"/>
  <c r="P61" i="101" s="1"/>
  <c r="F59" i="101"/>
  <c r="Q58" i="101"/>
  <c r="Q51" i="101"/>
  <c r="J50" i="101"/>
  <c r="M47" i="101"/>
  <c r="D46" i="101"/>
  <c r="F34" i="101"/>
  <c r="F33" i="101"/>
  <c r="F61" i="101" s="1"/>
  <c r="F32" i="101"/>
  <c r="F60" i="101" s="1"/>
  <c r="F31" i="101"/>
  <c r="F28" i="101"/>
  <c r="F23" i="101"/>
  <c r="D24" i="101" s="1"/>
  <c r="D23" i="101"/>
  <c r="D22" i="101"/>
  <c r="F21" i="101"/>
  <c r="M20" i="101"/>
  <c r="F20" i="101"/>
  <c r="M19" i="101"/>
  <c r="M18" i="101"/>
  <c r="F18" i="101"/>
  <c r="M17" i="101"/>
  <c r="F17" i="101"/>
  <c r="F15" i="101"/>
  <c r="G1" i="101"/>
  <c r="D5" i="9"/>
  <c r="M6" i="99"/>
  <c r="M8" i="99"/>
  <c r="Y6" i="1"/>
  <c r="U6" i="1"/>
  <c r="M5" i="99"/>
  <c r="M4" i="99"/>
  <c r="M3" i="99"/>
  <c r="C46" i="80"/>
  <c r="B46" i="80"/>
  <c r="G46" i="80"/>
  <c r="F46" i="80"/>
  <c r="F47" i="80" s="1"/>
  <c r="B27" i="80"/>
  <c r="B26" i="80"/>
  <c r="B25" i="80"/>
  <c r="B24" i="80"/>
  <c r="E21" i="80"/>
  <c r="C21" i="80"/>
  <c r="D21" i="80"/>
  <c r="D22" i="80" s="1"/>
  <c r="E19" i="80"/>
  <c r="C19" i="80"/>
  <c r="B19" i="80"/>
  <c r="N9" i="88"/>
  <c r="N8" i="88"/>
  <c r="N7" i="88"/>
  <c r="L8" i="93"/>
  <c r="N4" i="95"/>
  <c r="N5" i="95"/>
  <c r="L11" i="88"/>
  <c r="L102" i="91"/>
  <c r="L102" i="92"/>
  <c r="L4" i="89"/>
  <c r="B18" i="80"/>
  <c r="A20" i="80"/>
  <c r="A19" i="80"/>
  <c r="A18" i="80"/>
  <c r="M28" i="101"/>
  <c r="E2" i="102"/>
  <c r="C76" i="101"/>
  <c r="F9" i="101"/>
  <c r="F27" i="102"/>
  <c r="C36" i="102"/>
  <c r="M22" i="101"/>
  <c r="M24" i="101"/>
  <c r="D34" i="103"/>
  <c r="L47" i="101"/>
  <c r="F40" i="101"/>
  <c r="D35" i="103"/>
  <c r="F8" i="101"/>
  <c r="F42" i="101"/>
  <c r="G47" i="80" l="1"/>
  <c r="G48" i="80" s="1"/>
  <c r="C47" i="80"/>
  <c r="C22" i="80"/>
  <c r="E22" i="80"/>
  <c r="D121" i="103"/>
  <c r="K120" i="103"/>
  <c r="M49" i="103"/>
  <c r="D124" i="103"/>
  <c r="D125" i="103" s="1"/>
  <c r="H110" i="103"/>
  <c r="C18" i="103"/>
  <c r="D18" i="103" s="1"/>
  <c r="C94" i="103"/>
  <c r="C92" i="103"/>
  <c r="F45" i="102"/>
  <c r="C47" i="102"/>
  <c r="D45" i="102" s="1"/>
  <c r="F40" i="102"/>
  <c r="C21" i="102"/>
  <c r="C29" i="102" s="1"/>
  <c r="D27" i="102" s="1"/>
  <c r="F68" i="101"/>
  <c r="F51" i="101"/>
  <c r="Q71" i="101"/>
  <c r="F62" i="101"/>
  <c r="B22" i="80"/>
  <c r="M26" i="101"/>
  <c r="J15" i="101"/>
  <c r="M9" i="101"/>
  <c r="F26" i="101"/>
  <c r="F38" i="101"/>
  <c r="F37" i="101"/>
  <c r="F6" i="101"/>
  <c r="F13" i="101"/>
  <c r="M8" i="101"/>
  <c r="M6" i="101"/>
  <c r="M23" i="101"/>
  <c r="D9" i="102"/>
  <c r="F16" i="101"/>
  <c r="F36" i="101"/>
  <c r="E23" i="80" l="1"/>
  <c r="L68" i="103"/>
  <c r="M68" i="103" s="1"/>
  <c r="L67" i="103"/>
  <c r="M67" i="103" s="1"/>
  <c r="L63" i="103"/>
  <c r="M63" i="103" s="1"/>
  <c r="M69" i="103" s="1"/>
  <c r="N69" i="103" s="1"/>
  <c r="L65" i="103"/>
  <c r="M65" i="103" s="1"/>
  <c r="L66" i="103"/>
  <c r="M66" i="103" s="1"/>
  <c r="L64" i="103"/>
  <c r="M64" i="103" s="1"/>
  <c r="C9" i="102"/>
  <c r="F65" i="101"/>
  <c r="C27" i="101"/>
  <c r="F66" i="101"/>
  <c r="F64" i="101"/>
  <c r="D23" i="80"/>
  <c r="C23" i="80"/>
  <c r="I37" i="21" l="1"/>
  <c r="G37" i="21"/>
  <c r="E37" i="21"/>
  <c r="C37" i="21"/>
  <c r="C24" i="21"/>
  <c r="C20" i="21"/>
  <c r="C18" i="21"/>
  <c r="C16" i="21"/>
  <c r="E127" i="21"/>
  <c r="D127" i="21"/>
  <c r="C127" i="21"/>
  <c r="E126" i="21"/>
  <c r="D126" i="21"/>
  <c r="C126" i="21"/>
  <c r="E68" i="21"/>
  <c r="F68" i="21" s="1"/>
  <c r="G68" i="21" s="1"/>
  <c r="H68" i="21" s="1"/>
  <c r="I68" i="21" s="1"/>
  <c r="D68" i="21"/>
  <c r="G44" i="43" l="1"/>
  <c r="G15" i="4"/>
  <c r="B59" i="1"/>
  <c r="N11" i="1"/>
  <c r="N10" i="1"/>
  <c r="N9" i="1"/>
  <c r="N7" i="1"/>
  <c r="N8" i="1"/>
  <c r="N6" i="1"/>
  <c r="C145" i="97"/>
  <c r="J142" i="97"/>
  <c r="J140" i="97"/>
  <c r="K145" i="97" s="1"/>
  <c r="K139" i="97"/>
  <c r="B130" i="97"/>
  <c r="B128" i="97"/>
  <c r="B126" i="97"/>
  <c r="E125" i="97"/>
  <c r="F125" i="97" s="1"/>
  <c r="G125" i="97" s="1"/>
  <c r="D125" i="97"/>
  <c r="E123" i="97"/>
  <c r="F123" i="97" s="1"/>
  <c r="G123" i="97" s="1"/>
  <c r="H123" i="97" s="1"/>
  <c r="I123" i="97" s="1"/>
  <c r="J123" i="97" s="1"/>
  <c r="K123" i="97" s="1"/>
  <c r="L123" i="97" s="1"/>
  <c r="M123" i="97" s="1"/>
  <c r="D123" i="97"/>
  <c r="E119" i="97"/>
  <c r="F119" i="97" s="1"/>
  <c r="G119" i="97" s="1"/>
  <c r="H119" i="97" s="1"/>
  <c r="I119" i="97" s="1"/>
  <c r="J119" i="97" s="1"/>
  <c r="K119" i="97" s="1"/>
  <c r="L119" i="97" s="1"/>
  <c r="M119" i="97" s="1"/>
  <c r="D119" i="97"/>
  <c r="E117" i="97"/>
  <c r="F117" i="97" s="1"/>
  <c r="G117" i="97" s="1"/>
  <c r="D117" i="97"/>
  <c r="E115" i="97"/>
  <c r="F115" i="97" s="1"/>
  <c r="G115" i="97" s="1"/>
  <c r="H115" i="97" s="1"/>
  <c r="I115" i="97" s="1"/>
  <c r="J115" i="97" s="1"/>
  <c r="K115" i="97" s="1"/>
  <c r="L115" i="97" s="1"/>
  <c r="M115" i="97" s="1"/>
  <c r="D115" i="97"/>
  <c r="D113" i="97"/>
  <c r="E113" i="97" s="1"/>
  <c r="F113" i="97" s="1"/>
  <c r="G113" i="97" s="1"/>
  <c r="H113" i="97" s="1"/>
  <c r="H111" i="97"/>
  <c r="G111" i="97"/>
  <c r="F111" i="97"/>
  <c r="E111" i="97"/>
  <c r="D111" i="97"/>
  <c r="C111" i="97"/>
  <c r="F110" i="97"/>
  <c r="G110" i="97" s="1"/>
  <c r="H110" i="97" s="1"/>
  <c r="I110" i="97" s="1"/>
  <c r="J110" i="97" s="1"/>
  <c r="K110" i="97" s="1"/>
  <c r="L110" i="97" s="1"/>
  <c r="M110" i="97" s="1"/>
  <c r="D110" i="97"/>
  <c r="E110" i="97" s="1"/>
  <c r="D108" i="97"/>
  <c r="E108" i="97" s="1"/>
  <c r="F108" i="97" s="1"/>
  <c r="G108" i="97" s="1"/>
  <c r="H108" i="97" s="1"/>
  <c r="I108" i="97" s="1"/>
  <c r="J108" i="97" s="1"/>
  <c r="K108" i="97" s="1"/>
  <c r="L108" i="97" s="1"/>
  <c r="M108" i="97" s="1"/>
  <c r="F106" i="97"/>
  <c r="G106" i="97" s="1"/>
  <c r="H106" i="97" s="1"/>
  <c r="I106" i="97" s="1"/>
  <c r="J106" i="97" s="1"/>
  <c r="K106" i="97" s="1"/>
  <c r="L106" i="97" s="1"/>
  <c r="M106" i="97" s="1"/>
  <c r="D106" i="97"/>
  <c r="E106" i="97" s="1"/>
  <c r="M102" i="97"/>
  <c r="L102" i="97"/>
  <c r="K102" i="97"/>
  <c r="J102" i="97"/>
  <c r="I102" i="97"/>
  <c r="H102" i="97"/>
  <c r="G102" i="97"/>
  <c r="F102" i="97"/>
  <c r="E102" i="97"/>
  <c r="D102" i="97"/>
  <c r="C102" i="97"/>
  <c r="G101" i="97"/>
  <c r="H101" i="97" s="1"/>
  <c r="I101" i="97" s="1"/>
  <c r="J101" i="97" s="1"/>
  <c r="K101" i="97" s="1"/>
  <c r="L101" i="97" s="1"/>
  <c r="M101" i="97" s="1"/>
  <c r="E101" i="97"/>
  <c r="F101" i="97" s="1"/>
  <c r="D101" i="97"/>
  <c r="B98" i="97"/>
  <c r="B96" i="97"/>
  <c r="B94" i="97"/>
  <c r="B92" i="97"/>
  <c r="B90" i="97"/>
  <c r="D89" i="97"/>
  <c r="E89" i="97" s="1"/>
  <c r="F89" i="97" s="1"/>
  <c r="G89" i="97" s="1"/>
  <c r="H89" i="97" s="1"/>
  <c r="I89" i="97" s="1"/>
  <c r="J89" i="97" s="1"/>
  <c r="K89" i="97" s="1"/>
  <c r="L89" i="97" s="1"/>
  <c r="M89" i="97" s="1"/>
  <c r="M87" i="97"/>
  <c r="L87" i="97"/>
  <c r="K87" i="97"/>
  <c r="J87" i="97"/>
  <c r="I87" i="97"/>
  <c r="H87" i="97"/>
  <c r="G87" i="97"/>
  <c r="F87" i="97"/>
  <c r="E87" i="97"/>
  <c r="D87" i="97"/>
  <c r="D85" i="97"/>
  <c r="E85" i="97" s="1"/>
  <c r="F85" i="97" s="1"/>
  <c r="G85" i="97" s="1"/>
  <c r="D83" i="97"/>
  <c r="E83" i="97" s="1"/>
  <c r="F83" i="97" s="1"/>
  <c r="G83" i="97" s="1"/>
  <c r="D81" i="97"/>
  <c r="E81" i="97" s="1"/>
  <c r="F81" i="97" s="1"/>
  <c r="G81" i="97" s="1"/>
  <c r="D79" i="97"/>
  <c r="E79" i="97" s="1"/>
  <c r="F79" i="97" s="1"/>
  <c r="G79" i="97" s="1"/>
  <c r="D77" i="97"/>
  <c r="E77" i="97" s="1"/>
  <c r="F77" i="97" s="1"/>
  <c r="G77" i="97" s="1"/>
  <c r="B74" i="97"/>
  <c r="B72" i="97"/>
  <c r="J13" i="97" s="1"/>
  <c r="B70" i="97"/>
  <c r="E69" i="97"/>
  <c r="F69" i="97" s="1"/>
  <c r="G69" i="97" s="1"/>
  <c r="H69" i="97" s="1"/>
  <c r="I69" i="97" s="1"/>
  <c r="J69" i="97" s="1"/>
  <c r="K69" i="97" s="1"/>
  <c r="L69" i="97" s="1"/>
  <c r="M69" i="97" s="1"/>
  <c r="D69" i="97"/>
  <c r="M67" i="97"/>
  <c r="L67" i="97"/>
  <c r="K67" i="97"/>
  <c r="J67" i="97"/>
  <c r="I67" i="97"/>
  <c r="H67" i="97"/>
  <c r="G67" i="97"/>
  <c r="F67" i="97"/>
  <c r="E67" i="97"/>
  <c r="D67" i="97"/>
  <c r="C67" i="97"/>
  <c r="C63" i="97"/>
  <c r="I54" i="97"/>
  <c r="J54" i="97" s="1"/>
  <c r="G54" i="97"/>
  <c r="H54" i="97" s="1"/>
  <c r="E54" i="97"/>
  <c r="F54" i="97" s="1"/>
  <c r="P49" i="97"/>
  <c r="P48" i="97"/>
  <c r="K48" i="97"/>
  <c r="V47" i="97"/>
  <c r="T47" i="97"/>
  <c r="R47" i="97"/>
  <c r="P47" i="97"/>
  <c r="Q46" i="97"/>
  <c r="Z46" i="97" s="1"/>
  <c r="J46" i="97"/>
  <c r="AC46" i="97" s="1"/>
  <c r="H46" i="97"/>
  <c r="AB46" i="97" s="1"/>
  <c r="F46" i="97"/>
  <c r="AA46" i="97" s="1"/>
  <c r="AC45" i="97"/>
  <c r="W45" i="97"/>
  <c r="Q45" i="97"/>
  <c r="Z45" i="97" s="1"/>
  <c r="J45" i="97"/>
  <c r="H45" i="97"/>
  <c r="AB45" i="97" s="1"/>
  <c r="F45" i="97"/>
  <c r="AA45" i="97" s="1"/>
  <c r="AB44" i="97"/>
  <c r="Q44" i="97"/>
  <c r="Z44" i="97" s="1"/>
  <c r="J44" i="97"/>
  <c r="AC44" i="97" s="1"/>
  <c r="H44" i="97"/>
  <c r="U44" i="97" s="1"/>
  <c r="F44" i="97"/>
  <c r="AA44" i="97" s="1"/>
  <c r="Q43" i="97"/>
  <c r="Z43" i="97" s="1"/>
  <c r="J43" i="97"/>
  <c r="AC43" i="97" s="1"/>
  <c r="H43" i="97"/>
  <c r="AB43" i="97" s="1"/>
  <c r="F43" i="97"/>
  <c r="AA43" i="97" s="1"/>
  <c r="Q42" i="97"/>
  <c r="Z42" i="97" s="1"/>
  <c r="J42" i="97"/>
  <c r="AC42" i="97" s="1"/>
  <c r="H42" i="97"/>
  <c r="AB42" i="97" s="1"/>
  <c r="F42" i="97"/>
  <c r="AA42" i="97" s="1"/>
  <c r="Q41" i="97"/>
  <c r="Z41" i="97" s="1"/>
  <c r="J41" i="97"/>
  <c r="AC41" i="97" s="1"/>
  <c r="H41" i="97"/>
  <c r="AB41" i="97" s="1"/>
  <c r="F41" i="97"/>
  <c r="AA41" i="97" s="1"/>
  <c r="Q40" i="97"/>
  <c r="Z40" i="97" s="1"/>
  <c r="J40" i="97"/>
  <c r="AC40" i="97" s="1"/>
  <c r="H40" i="97"/>
  <c r="AB40" i="97" s="1"/>
  <c r="F40" i="97"/>
  <c r="AA40" i="97" s="1"/>
  <c r="Q39" i="97"/>
  <c r="Z39" i="97" s="1"/>
  <c r="J39" i="97"/>
  <c r="AC39" i="97" s="1"/>
  <c r="H39" i="97"/>
  <c r="AB39" i="97" s="1"/>
  <c r="F39" i="97"/>
  <c r="AA39" i="97" s="1"/>
  <c r="Q38" i="97"/>
  <c r="Z38" i="97" s="1"/>
  <c r="J38" i="97"/>
  <c r="AC38" i="97" s="1"/>
  <c r="H38" i="97"/>
  <c r="AB38" i="97" s="1"/>
  <c r="F38" i="97"/>
  <c r="AA38" i="97" s="1"/>
  <c r="Q37" i="97"/>
  <c r="Z37" i="97" s="1"/>
  <c r="J37" i="97"/>
  <c r="AC37" i="97" s="1"/>
  <c r="H37" i="97"/>
  <c r="U37" i="97" s="1"/>
  <c r="F37" i="97"/>
  <c r="AA37" i="97" s="1"/>
  <c r="Q36" i="97"/>
  <c r="Z36" i="97" s="1"/>
  <c r="J36" i="97"/>
  <c r="AC36" i="97" s="1"/>
  <c r="H36" i="97"/>
  <c r="AB36" i="97" s="1"/>
  <c r="F36" i="97"/>
  <c r="AA36" i="97" s="1"/>
  <c r="U35" i="97"/>
  <c r="Q35" i="97"/>
  <c r="Z35" i="97" s="1"/>
  <c r="J35" i="97"/>
  <c r="AC35" i="97" s="1"/>
  <c r="H35" i="97"/>
  <c r="AB35" i="97" s="1"/>
  <c r="F35" i="97"/>
  <c r="AA35" i="97" s="1"/>
  <c r="Q34" i="97"/>
  <c r="Z34" i="97" s="1"/>
  <c r="J34" i="97"/>
  <c r="AC34" i="97" s="1"/>
  <c r="H34" i="97"/>
  <c r="AB34" i="97" s="1"/>
  <c r="F34" i="97"/>
  <c r="AA34" i="97" s="1"/>
  <c r="Q33" i="97"/>
  <c r="Z33" i="97" s="1"/>
  <c r="J33" i="97"/>
  <c r="AC33" i="97" s="1"/>
  <c r="H33" i="97"/>
  <c r="AB33" i="97" s="1"/>
  <c r="F33" i="97"/>
  <c r="AA33" i="97" s="1"/>
  <c r="AC32" i="97"/>
  <c r="W32" i="97"/>
  <c r="Q32" i="97"/>
  <c r="Z32" i="97" s="1"/>
  <c r="J32" i="97"/>
  <c r="H32" i="97"/>
  <c r="AB32" i="97" s="1"/>
  <c r="F32" i="97"/>
  <c r="AA32" i="97" s="1"/>
  <c r="AB31" i="97"/>
  <c r="U31" i="97"/>
  <c r="Q31" i="97"/>
  <c r="Z31" i="97" s="1"/>
  <c r="J31" i="97"/>
  <c r="AC31" i="97" s="1"/>
  <c r="H31" i="97"/>
  <c r="F31" i="97"/>
  <c r="AA31" i="97" s="1"/>
  <c r="Q30" i="97"/>
  <c r="Z30" i="97" s="1"/>
  <c r="J30" i="97"/>
  <c r="AC30" i="97" s="1"/>
  <c r="H30" i="97"/>
  <c r="AB30" i="97" s="1"/>
  <c r="F30" i="97"/>
  <c r="AA30" i="97" s="1"/>
  <c r="Q29" i="97"/>
  <c r="Z29" i="97" s="1"/>
  <c r="J29" i="97"/>
  <c r="AC29" i="97" s="1"/>
  <c r="H29" i="97"/>
  <c r="AB29" i="97" s="1"/>
  <c r="F29" i="97"/>
  <c r="AA29" i="97" s="1"/>
  <c r="AC28" i="97"/>
  <c r="W28" i="97"/>
  <c r="Q28" i="97"/>
  <c r="Z28" i="97" s="1"/>
  <c r="J28" i="97"/>
  <c r="H28" i="97"/>
  <c r="AB28" i="97" s="1"/>
  <c r="F28" i="97"/>
  <c r="AA28" i="97" s="1"/>
  <c r="AB27" i="97"/>
  <c r="U27" i="97"/>
  <c r="Q27" i="97"/>
  <c r="Z27" i="97" s="1"/>
  <c r="J27" i="97"/>
  <c r="AC27" i="97" s="1"/>
  <c r="H27" i="97"/>
  <c r="F27" i="97"/>
  <c r="AA27" i="97" s="1"/>
  <c r="Q26" i="97"/>
  <c r="Z26" i="97" s="1"/>
  <c r="J26" i="97"/>
  <c r="AC26" i="97" s="1"/>
  <c r="H26" i="97"/>
  <c r="AB26" i="97" s="1"/>
  <c r="F26" i="97"/>
  <c r="AA26" i="97" s="1"/>
  <c r="Q25" i="97"/>
  <c r="Z25" i="97" s="1"/>
  <c r="J25" i="97"/>
  <c r="AC25" i="97" s="1"/>
  <c r="H25" i="97"/>
  <c r="AB25" i="97" s="1"/>
  <c r="F25" i="97"/>
  <c r="AA25" i="97" s="1"/>
  <c r="AC23" i="97"/>
  <c r="W23" i="97"/>
  <c r="Q23" i="97"/>
  <c r="Z23" i="97" s="1"/>
  <c r="J23" i="97"/>
  <c r="H23" i="97"/>
  <c r="AB23" i="97" s="1"/>
  <c r="F23" i="97"/>
  <c r="AA23" i="97" s="1"/>
  <c r="C23" i="97"/>
  <c r="Q21" i="97"/>
  <c r="Z21" i="97" s="1"/>
  <c r="J21" i="97"/>
  <c r="AC21" i="97" s="1"/>
  <c r="H21" i="97"/>
  <c r="AB21" i="97" s="1"/>
  <c r="F21" i="97"/>
  <c r="AA21" i="97" s="1"/>
  <c r="C21" i="97"/>
  <c r="AC19" i="97"/>
  <c r="W19" i="97"/>
  <c r="Q19" i="97"/>
  <c r="Z19" i="97" s="1"/>
  <c r="J19" i="97"/>
  <c r="H19" i="97"/>
  <c r="AB19" i="97" s="1"/>
  <c r="F19" i="97"/>
  <c r="AA19" i="97" s="1"/>
  <c r="C19" i="97"/>
  <c r="Q17" i="97"/>
  <c r="Z17" i="97" s="1"/>
  <c r="J17" i="97"/>
  <c r="AC17" i="97" s="1"/>
  <c r="H17" i="97"/>
  <c r="AB17" i="97" s="1"/>
  <c r="F17" i="97"/>
  <c r="AA17" i="97" s="1"/>
  <c r="C17" i="97"/>
  <c r="AC15" i="97"/>
  <c r="W15" i="97"/>
  <c r="Q15" i="97"/>
  <c r="Z15" i="97" s="1"/>
  <c r="J15" i="97"/>
  <c r="H15" i="97"/>
  <c r="AB15" i="97" s="1"/>
  <c r="F15" i="97"/>
  <c r="AA15" i="97" s="1"/>
  <c r="C15" i="97"/>
  <c r="Q14" i="97"/>
  <c r="Z14" i="97" s="1"/>
  <c r="J14" i="97"/>
  <c r="AC14" i="97" s="1"/>
  <c r="H14" i="97"/>
  <c r="AB14" i="97" s="1"/>
  <c r="F14" i="97"/>
  <c r="AA14" i="97" s="1"/>
  <c r="Q13" i="97"/>
  <c r="Z13" i="97" s="1"/>
  <c r="H13" i="97"/>
  <c r="AB13" i="97" s="1"/>
  <c r="AC12" i="97"/>
  <c r="W12" i="97"/>
  <c r="Q12" i="97"/>
  <c r="Z12" i="97" s="1"/>
  <c r="J12" i="97"/>
  <c r="H12" i="97"/>
  <c r="AB12" i="97" s="1"/>
  <c r="F12" i="97"/>
  <c r="AA12" i="97" s="1"/>
  <c r="AB11" i="97"/>
  <c r="U11" i="97"/>
  <c r="Q11" i="97"/>
  <c r="Z11" i="97" s="1"/>
  <c r="J11" i="97"/>
  <c r="AC11" i="97" s="1"/>
  <c r="H11" i="97"/>
  <c r="F11" i="97"/>
  <c r="AA11" i="97" s="1"/>
  <c r="Q10" i="97"/>
  <c r="Z10" i="97" s="1"/>
  <c r="J10" i="97"/>
  <c r="AC10" i="97" s="1"/>
  <c r="H10" i="97"/>
  <c r="AB10" i="97" s="1"/>
  <c r="F10" i="97"/>
  <c r="AA10" i="97" s="1"/>
  <c r="Q9" i="97"/>
  <c r="Z9" i="97" s="1"/>
  <c r="J9" i="97"/>
  <c r="AC9" i="97" s="1"/>
  <c r="H9" i="97"/>
  <c r="AB9" i="97" s="1"/>
  <c r="F9" i="97"/>
  <c r="AA9" i="97" s="1"/>
  <c r="AC8" i="97"/>
  <c r="U8" i="97"/>
  <c r="J8" i="97"/>
  <c r="W8" i="97" s="1"/>
  <c r="H8" i="97"/>
  <c r="AB8" i="97" s="1"/>
  <c r="F8" i="97"/>
  <c r="S8" i="97" s="1"/>
  <c r="B2" i="97"/>
  <c r="C145" i="96"/>
  <c r="J142" i="96"/>
  <c r="J140" i="96"/>
  <c r="K139" i="96"/>
  <c r="B130" i="96"/>
  <c r="H46" i="96" s="1"/>
  <c r="B128" i="96"/>
  <c r="B126" i="96"/>
  <c r="H44" i="96" s="1"/>
  <c r="D125" i="96"/>
  <c r="E125" i="96" s="1"/>
  <c r="F125" i="96" s="1"/>
  <c r="G125" i="96" s="1"/>
  <c r="F123" i="96"/>
  <c r="G123" i="96" s="1"/>
  <c r="H123" i="96" s="1"/>
  <c r="I123" i="96" s="1"/>
  <c r="J123" i="96" s="1"/>
  <c r="K123" i="96" s="1"/>
  <c r="L123" i="96" s="1"/>
  <c r="M123" i="96" s="1"/>
  <c r="D123" i="96"/>
  <c r="E123" i="96" s="1"/>
  <c r="D119" i="96"/>
  <c r="E119" i="96" s="1"/>
  <c r="F119" i="96" s="1"/>
  <c r="G119" i="96" s="1"/>
  <c r="H119" i="96" s="1"/>
  <c r="I119" i="96" s="1"/>
  <c r="J119" i="96" s="1"/>
  <c r="K119" i="96" s="1"/>
  <c r="L119" i="96" s="1"/>
  <c r="M119" i="96" s="1"/>
  <c r="D117" i="96"/>
  <c r="E117" i="96" s="1"/>
  <c r="F117" i="96" s="1"/>
  <c r="G117" i="96" s="1"/>
  <c r="F115" i="96"/>
  <c r="G115" i="96" s="1"/>
  <c r="H115" i="96" s="1"/>
  <c r="I115" i="96" s="1"/>
  <c r="J115" i="96" s="1"/>
  <c r="K115" i="96" s="1"/>
  <c r="L115" i="96" s="1"/>
  <c r="M115" i="96" s="1"/>
  <c r="D115" i="96"/>
  <c r="E115" i="96" s="1"/>
  <c r="G113" i="96"/>
  <c r="H113" i="96" s="1"/>
  <c r="E113" i="96"/>
  <c r="F113" i="96" s="1"/>
  <c r="D113" i="96"/>
  <c r="H111" i="96"/>
  <c r="G111" i="96"/>
  <c r="F111" i="96"/>
  <c r="E111" i="96"/>
  <c r="D111" i="96"/>
  <c r="C111" i="96"/>
  <c r="G110" i="96"/>
  <c r="H110" i="96" s="1"/>
  <c r="I110" i="96" s="1"/>
  <c r="J110" i="96" s="1"/>
  <c r="K110" i="96" s="1"/>
  <c r="L110" i="96" s="1"/>
  <c r="M110" i="96" s="1"/>
  <c r="E110" i="96"/>
  <c r="F110" i="96" s="1"/>
  <c r="D110" i="96"/>
  <c r="G108" i="96"/>
  <c r="H108" i="96" s="1"/>
  <c r="I108" i="96" s="1"/>
  <c r="J108" i="96" s="1"/>
  <c r="K108" i="96" s="1"/>
  <c r="L108" i="96" s="1"/>
  <c r="M108" i="96" s="1"/>
  <c r="E108" i="96"/>
  <c r="F108" i="96" s="1"/>
  <c r="D108" i="96"/>
  <c r="G106" i="96"/>
  <c r="H106" i="96" s="1"/>
  <c r="I106" i="96" s="1"/>
  <c r="J106" i="96" s="1"/>
  <c r="K106" i="96" s="1"/>
  <c r="L106" i="96" s="1"/>
  <c r="M106" i="96" s="1"/>
  <c r="E106" i="96"/>
  <c r="F106" i="96" s="1"/>
  <c r="D106" i="96"/>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E89" i="96"/>
  <c r="F89" i="96" s="1"/>
  <c r="G89" i="96" s="1"/>
  <c r="H89" i="96" s="1"/>
  <c r="I89" i="96" s="1"/>
  <c r="J89" i="96" s="1"/>
  <c r="K89" i="96" s="1"/>
  <c r="L89" i="96" s="1"/>
  <c r="M89" i="96" s="1"/>
  <c r="D89" i="96"/>
  <c r="M87" i="96"/>
  <c r="L87" i="96"/>
  <c r="K87" i="96"/>
  <c r="J87" i="96"/>
  <c r="I87" i="96"/>
  <c r="H87" i="96"/>
  <c r="G87" i="96"/>
  <c r="F87" i="96"/>
  <c r="E87" i="96"/>
  <c r="D87" i="96"/>
  <c r="G85" i="96"/>
  <c r="E85" i="96"/>
  <c r="F85" i="96" s="1"/>
  <c r="D85" i="96"/>
  <c r="E83" i="96"/>
  <c r="F83" i="96" s="1"/>
  <c r="G83" i="96" s="1"/>
  <c r="D83" i="96"/>
  <c r="G81" i="96"/>
  <c r="E81" i="96"/>
  <c r="F81" i="96" s="1"/>
  <c r="D81" i="96"/>
  <c r="E79" i="96"/>
  <c r="F79" i="96" s="1"/>
  <c r="G79" i="96" s="1"/>
  <c r="D79" i="96"/>
  <c r="G77" i="96"/>
  <c r="E77" i="96"/>
  <c r="F77" i="96" s="1"/>
  <c r="D77" i="96"/>
  <c r="B74" i="96"/>
  <c r="B72" i="96"/>
  <c r="B70" i="96"/>
  <c r="D69" i="96"/>
  <c r="E69" i="96" s="1"/>
  <c r="F69" i="96" s="1"/>
  <c r="G69" i="96" s="1"/>
  <c r="H69" i="96" s="1"/>
  <c r="I69" i="96" s="1"/>
  <c r="J69" i="96" s="1"/>
  <c r="K69" i="96" s="1"/>
  <c r="L69" i="96" s="1"/>
  <c r="M69" i="96" s="1"/>
  <c r="M67" i="96"/>
  <c r="L67" i="96"/>
  <c r="K67" i="96"/>
  <c r="J67" i="96"/>
  <c r="I67" i="96"/>
  <c r="H67" i="96"/>
  <c r="G67" i="96"/>
  <c r="F67" i="96"/>
  <c r="E67" i="96"/>
  <c r="D67" i="96"/>
  <c r="C67" i="96"/>
  <c r="C63" i="96"/>
  <c r="J54" i="96"/>
  <c r="I54" i="96"/>
  <c r="H54" i="96"/>
  <c r="G54" i="96"/>
  <c r="F54" i="96"/>
  <c r="E54" i="96"/>
  <c r="P49" i="96"/>
  <c r="P48" i="96"/>
  <c r="K48" i="96"/>
  <c r="V47" i="96"/>
  <c r="T47" i="96"/>
  <c r="R47" i="96"/>
  <c r="P47" i="96"/>
  <c r="AA46" i="96"/>
  <c r="S46" i="96"/>
  <c r="Q46" i="96"/>
  <c r="Z46" i="96" s="1"/>
  <c r="J46" i="96"/>
  <c r="AC46" i="96" s="1"/>
  <c r="F46" i="96"/>
  <c r="AB45" i="96"/>
  <c r="U45" i="96"/>
  <c r="Q45" i="96"/>
  <c r="Z45" i="96" s="1"/>
  <c r="J45" i="96"/>
  <c r="AC45" i="96" s="1"/>
  <c r="H45" i="96"/>
  <c r="F45" i="96"/>
  <c r="AA45" i="96" s="1"/>
  <c r="AA44" i="96"/>
  <c r="S44" i="96"/>
  <c r="Q44" i="96"/>
  <c r="Z44" i="96" s="1"/>
  <c r="J44" i="96"/>
  <c r="AC44" i="96" s="1"/>
  <c r="F44" i="96"/>
  <c r="Q43" i="96"/>
  <c r="Z43" i="96" s="1"/>
  <c r="J43" i="96"/>
  <c r="AC43" i="96" s="1"/>
  <c r="H43" i="96"/>
  <c r="AB43" i="96" s="1"/>
  <c r="F43" i="96"/>
  <c r="AA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J37" i="96"/>
  <c r="AC37" i="96" s="1"/>
  <c r="H37" i="96"/>
  <c r="AB37" i="96" s="1"/>
  <c r="F37" i="96"/>
  <c r="AA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J33" i="96"/>
  <c r="AC33" i="96" s="1"/>
  <c r="H33" i="96"/>
  <c r="AB33" i="96" s="1"/>
  <c r="F33" i="96"/>
  <c r="AA33" i="96" s="1"/>
  <c r="Q32" i="96"/>
  <c r="Z32" i="96" s="1"/>
  <c r="J32" i="96"/>
  <c r="AC32" i="96" s="1"/>
  <c r="H32" i="96"/>
  <c r="AB32" i="96" s="1"/>
  <c r="F32" i="96"/>
  <c r="AA32" i="96" s="1"/>
  <c r="AB31" i="96"/>
  <c r="U31" i="96"/>
  <c r="Q31" i="96"/>
  <c r="Z31" i="96" s="1"/>
  <c r="J31" i="96"/>
  <c r="AC31" i="96" s="1"/>
  <c r="H31" i="96"/>
  <c r="F31" i="96"/>
  <c r="AA31" i="96" s="1"/>
  <c r="Q30" i="96"/>
  <c r="Z30" i="96" s="1"/>
  <c r="J30" i="96"/>
  <c r="AC30" i="96" s="1"/>
  <c r="H30" i="96"/>
  <c r="AB30" i="96" s="1"/>
  <c r="F30" i="96"/>
  <c r="AA30" i="96" s="1"/>
  <c r="Q29" i="96"/>
  <c r="Z29" i="96" s="1"/>
  <c r="J29" i="96"/>
  <c r="AC29" i="96" s="1"/>
  <c r="H29" i="96"/>
  <c r="AB29" i="96" s="1"/>
  <c r="F29" i="96"/>
  <c r="AA29" i="96" s="1"/>
  <c r="AC28" i="96"/>
  <c r="W28" i="96"/>
  <c r="Q28" i="96"/>
  <c r="Z28" i="96" s="1"/>
  <c r="J28" i="96"/>
  <c r="H28" i="96"/>
  <c r="AB28" i="96" s="1"/>
  <c r="F28" i="96"/>
  <c r="AA28" i="96" s="1"/>
  <c r="AB27" i="96"/>
  <c r="U27" i="96"/>
  <c r="Q27" i="96"/>
  <c r="Z27" i="96" s="1"/>
  <c r="J27" i="96"/>
  <c r="AC27" i="96" s="1"/>
  <c r="H27" i="96"/>
  <c r="F27" i="96"/>
  <c r="AA27" i="96" s="1"/>
  <c r="AA26" i="96"/>
  <c r="Q26" i="96"/>
  <c r="Z26" i="96" s="1"/>
  <c r="J26" i="96"/>
  <c r="AC26" i="96" s="1"/>
  <c r="H26" i="96"/>
  <c r="AB26" i="96" s="1"/>
  <c r="F26" i="96"/>
  <c r="S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J15" i="96"/>
  <c r="AC15" i="96" s="1"/>
  <c r="H15" i="96"/>
  <c r="AB15" i="96" s="1"/>
  <c r="F15" i="96"/>
  <c r="AA15" i="96" s="1"/>
  <c r="C15" i="96"/>
  <c r="Q14" i="96"/>
  <c r="Z14" i="96" s="1"/>
  <c r="J14" i="96"/>
  <c r="AC14" i="96" s="1"/>
  <c r="H14" i="96"/>
  <c r="AB14" i="96" s="1"/>
  <c r="F14" i="96"/>
  <c r="AA14" i="96" s="1"/>
  <c r="Q13" i="96"/>
  <c r="Z13" i="96" s="1"/>
  <c r="J13" i="96"/>
  <c r="AC13" i="96" s="1"/>
  <c r="H13" i="96"/>
  <c r="AB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J9" i="96"/>
  <c r="AC9" i="96" s="1"/>
  <c r="H9" i="96"/>
  <c r="AB9" i="96" s="1"/>
  <c r="F9" i="96"/>
  <c r="AA9" i="96" s="1"/>
  <c r="U8" i="96"/>
  <c r="J8" i="96"/>
  <c r="W8" i="96" s="1"/>
  <c r="H8" i="96"/>
  <c r="AB8" i="96" s="1"/>
  <c r="F8" i="96"/>
  <c r="S8" i="96" s="1"/>
  <c r="B2" i="96"/>
  <c r="D2" i="97"/>
  <c r="D2" i="96"/>
  <c r="S10" i="97" l="1"/>
  <c r="S14" i="97"/>
  <c r="S17" i="97"/>
  <c r="AA8" i="97"/>
  <c r="U9" i="97"/>
  <c r="W10" i="97"/>
  <c r="S12" i="97"/>
  <c r="U13" i="97"/>
  <c r="W14" i="97"/>
  <c r="S15" i="97"/>
  <c r="W17" i="97"/>
  <c r="S19" i="97"/>
  <c r="W21" i="97"/>
  <c r="S23" i="97"/>
  <c r="U25" i="97"/>
  <c r="W26" i="97"/>
  <c r="S28" i="97"/>
  <c r="U29" i="97"/>
  <c r="W30" i="97"/>
  <c r="S32" i="97"/>
  <c r="U33" i="97"/>
  <c r="W34" i="97"/>
  <c r="AC13" i="97"/>
  <c r="W13" i="97"/>
  <c r="S21" i="97"/>
  <c r="S26" i="97"/>
  <c r="S30" i="97"/>
  <c r="S34" i="97"/>
  <c r="AB37" i="97"/>
  <c r="U43" i="97"/>
  <c r="S44" i="97"/>
  <c r="W44" i="97"/>
  <c r="S36" i="97"/>
  <c r="W36" i="97"/>
  <c r="S38" i="97"/>
  <c r="W38" i="97"/>
  <c r="U39" i="97"/>
  <c r="S40" i="97"/>
  <c r="W40" i="97"/>
  <c r="U41" i="97"/>
  <c r="S42" i="97"/>
  <c r="W42" i="97"/>
  <c r="S9" i="97"/>
  <c r="W9" i="97"/>
  <c r="U10" i="97"/>
  <c r="S11" i="97"/>
  <c r="W11" i="97"/>
  <c r="U12" i="97"/>
  <c r="F13" i="97"/>
  <c r="U14" i="97"/>
  <c r="U15" i="97"/>
  <c r="U17" i="97"/>
  <c r="U19" i="97"/>
  <c r="U21" i="97"/>
  <c r="U23" i="97"/>
  <c r="S25" i="97"/>
  <c r="W25" i="97"/>
  <c r="U26" i="97"/>
  <c r="S27" i="97"/>
  <c r="W27" i="97"/>
  <c r="U28" i="97"/>
  <c r="S29" i="97"/>
  <c r="W29" i="97"/>
  <c r="U30" i="97"/>
  <c r="S31" i="97"/>
  <c r="W31" i="97"/>
  <c r="U32" i="97"/>
  <c r="S33" i="97"/>
  <c r="W33" i="97"/>
  <c r="U34" i="97"/>
  <c r="S35" i="97"/>
  <c r="W35" i="97"/>
  <c r="U36" i="97"/>
  <c r="S37" i="97"/>
  <c r="W37" i="97"/>
  <c r="U38" i="97"/>
  <c r="S39" i="97"/>
  <c r="W39" i="97"/>
  <c r="U40" i="97"/>
  <c r="S41" i="97"/>
  <c r="W41" i="97"/>
  <c r="U42" i="97"/>
  <c r="S43" i="97"/>
  <c r="W43" i="97"/>
  <c r="S45" i="97"/>
  <c r="U46" i="97"/>
  <c r="K141" i="97"/>
  <c r="K143" i="97"/>
  <c r="U45" i="97"/>
  <c r="S46" i="97"/>
  <c r="W46" i="97"/>
  <c r="K144" i="97"/>
  <c r="AA8" i="96"/>
  <c r="AC8" i="96"/>
  <c r="U9" i="96"/>
  <c r="S10" i="96"/>
  <c r="W10" i="96"/>
  <c r="U11" i="96"/>
  <c r="S12" i="96"/>
  <c r="W12" i="96"/>
  <c r="U13" i="96"/>
  <c r="S14" i="96"/>
  <c r="W14" i="96"/>
  <c r="S15" i="96"/>
  <c r="W15" i="96"/>
  <c r="S9" i="96"/>
  <c r="W9" i="96"/>
  <c r="U10" i="96"/>
  <c r="S11" i="96"/>
  <c r="W11" i="96"/>
  <c r="U12" i="96"/>
  <c r="S13" i="96"/>
  <c r="W13" i="96"/>
  <c r="U14" i="96"/>
  <c r="U15" i="96"/>
  <c r="U17" i="96"/>
  <c r="U19" i="96"/>
  <c r="U21" i="96"/>
  <c r="U23" i="96"/>
  <c r="S25" i="96"/>
  <c r="W25" i="96"/>
  <c r="U26" i="96"/>
  <c r="S30" i="96"/>
  <c r="S17" i="96"/>
  <c r="W17" i="96"/>
  <c r="S19" i="96"/>
  <c r="W19" i="96"/>
  <c r="S21" i="96"/>
  <c r="W21" i="96"/>
  <c r="S23" i="96"/>
  <c r="W23" i="96"/>
  <c r="U25" i="96"/>
  <c r="W26" i="96"/>
  <c r="S28" i="96"/>
  <c r="U29" i="96"/>
  <c r="W30" i="96"/>
  <c r="S32" i="96"/>
  <c r="W32" i="96"/>
  <c r="U33" i="96"/>
  <c r="S34" i="96"/>
  <c r="W34" i="96"/>
  <c r="U35" i="96"/>
  <c r="S36" i="96"/>
  <c r="W36" i="96"/>
  <c r="U37" i="96"/>
  <c r="S38" i="96"/>
  <c r="W38" i="96"/>
  <c r="U39" i="96"/>
  <c r="S40" i="96"/>
  <c r="W40" i="96"/>
  <c r="U41" i="96"/>
  <c r="S42" i="96"/>
  <c r="W42" i="96"/>
  <c r="U43" i="96"/>
  <c r="W44" i="96"/>
  <c r="W46" i="96"/>
  <c r="S27" i="96"/>
  <c r="W27" i="96"/>
  <c r="U28" i="96"/>
  <c r="S29" i="96"/>
  <c r="W29" i="96"/>
  <c r="U30" i="96"/>
  <c r="S31" i="96"/>
  <c r="W31" i="96"/>
  <c r="U32" i="96"/>
  <c r="S33" i="96"/>
  <c r="W33" i="96"/>
  <c r="U34" i="96"/>
  <c r="S35" i="96"/>
  <c r="W35" i="96"/>
  <c r="U36" i="96"/>
  <c r="S37" i="96"/>
  <c r="W37" i="96"/>
  <c r="U38" i="96"/>
  <c r="S39" i="96"/>
  <c r="W39" i="96"/>
  <c r="U40" i="96"/>
  <c r="S41" i="96"/>
  <c r="W41" i="96"/>
  <c r="U42" i="96"/>
  <c r="S43" i="96"/>
  <c r="W43" i="96"/>
  <c r="AB44" i="96"/>
  <c r="U44" i="96"/>
  <c r="AB46" i="96"/>
  <c r="U46" i="96"/>
  <c r="K143" i="96"/>
  <c r="K141" i="96"/>
  <c r="K144" i="96"/>
  <c r="K145" i="96"/>
  <c r="S45" i="96"/>
  <c r="W45" i="96"/>
  <c r="AA13" i="97" l="1"/>
  <c r="S13" i="97"/>
  <c r="G24" i="6" l="1"/>
  <c r="G23" i="6"/>
  <c r="G22" i="6"/>
  <c r="F21" i="6"/>
  <c r="F20" i="6"/>
  <c r="F19" i="6"/>
  <c r="AH6" i="1" s="1"/>
  <c r="D3" i="4"/>
  <c r="C15" i="4" s="1"/>
  <c r="D41" i="43" l="1"/>
  <c r="E28" i="80"/>
  <c r="D42" i="43"/>
  <c r="AH11"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7" i="101"/>
  <c r="E32" i="80" l="1"/>
  <c r="E37" i="80"/>
  <c r="E44" i="80"/>
  <c r="D33" i="80"/>
  <c r="D31" i="80"/>
  <c r="E33" i="80"/>
  <c r="E40" i="80"/>
  <c r="E31" i="80"/>
  <c r="D37" i="80"/>
  <c r="D44" i="80"/>
  <c r="D45" i="80"/>
  <c r="D39" i="80"/>
  <c r="D32" i="80"/>
  <c r="E42" i="80"/>
  <c r="E34" i="80"/>
  <c r="D42" i="80"/>
  <c r="D34" i="80"/>
  <c r="E45" i="80"/>
  <c r="E39" i="80"/>
  <c r="M7" i="101"/>
  <c r="J6" i="101" s="1"/>
  <c r="F50" i="101"/>
  <c r="C49" i="101" s="1"/>
  <c r="C6" i="101"/>
  <c r="P28" i="79"/>
  <c r="B10" i="74"/>
  <c r="E46" i="80" l="1"/>
  <c r="E47" i="80" s="1"/>
  <c r="D46" i="80"/>
  <c r="D47"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B15" i="72" s="1"/>
  <c r="A15" i="62"/>
  <c r="B61"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D35" i="71"/>
  <c r="D31" i="71"/>
  <c r="V28" i="71"/>
  <c r="P66" i="71"/>
  <c r="O66" i="71"/>
  <c r="D66" i="71"/>
  <c r="O65" i="71"/>
  <c r="T52" i="71"/>
  <c r="D52" i="71"/>
  <c r="T56" i="71"/>
  <c r="D56" i="71"/>
  <c r="T60" i="71"/>
  <c r="D60" i="71"/>
  <c r="T64" i="71"/>
  <c r="O27" i="6"/>
  <c r="N27" i="6"/>
  <c r="P20" i="6"/>
  <c r="P21" i="6"/>
  <c r="P22" i="6"/>
  <c r="P23" i="6"/>
  <c r="P24" i="6"/>
  <c r="P25" i="6"/>
  <c r="P26" i="6"/>
  <c r="P19" i="6"/>
  <c r="AP9" i="1"/>
  <c r="AP10" i="1"/>
  <c r="AP11" i="1"/>
  <c r="AP12" i="1"/>
  <c r="AP13" i="1"/>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G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F11" i="1"/>
  <c r="D15" i="4"/>
  <c r="F6" i="1"/>
  <c r="AE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K9" i="1" s="1"/>
  <c r="M9" i="1" s="1"/>
  <c r="E23" i="6"/>
  <c r="K10" i="1" s="1"/>
  <c r="M10" i="1" s="1"/>
  <c r="O10" i="1" s="1"/>
  <c r="P10" i="1" s="1"/>
  <c r="E24" i="6"/>
  <c r="K11" i="1" s="1"/>
  <c r="E25" i="6"/>
  <c r="E26" i="6"/>
  <c r="BB13" i="3"/>
  <c r="BB5" i="3" s="1"/>
  <c r="BC13" i="3"/>
  <c r="BC5" i="3" s="1"/>
  <c r="BD13" i="3"/>
  <c r="BD5" i="3" s="1"/>
  <c r="BE13" i="3"/>
  <c r="BE5" i="3" s="1"/>
  <c r="BF13" i="3"/>
  <c r="BF5" i="3" s="1"/>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J15" i="21" s="1"/>
  <c r="W15" i="21" s="1"/>
  <c r="B130" i="21"/>
  <c r="B128" i="21"/>
  <c r="J45" i="21"/>
  <c r="W45" i="21" s="1"/>
  <c r="B126" i="21"/>
  <c r="H44" i="21" s="1"/>
  <c r="B98" i="21"/>
  <c r="H31" i="21" s="1"/>
  <c r="B96" i="21"/>
  <c r="H30" i="21" s="1"/>
  <c r="B94" i="21"/>
  <c r="J29" i="21" s="1"/>
  <c r="AC29" i="21" s="1"/>
  <c r="B92" i="21"/>
  <c r="F28" i="21" s="1"/>
  <c r="B90" i="21"/>
  <c r="J27" i="21" s="1"/>
  <c r="W27" i="21" s="1"/>
  <c r="B74" i="21"/>
  <c r="B72" i="21"/>
  <c r="H13" i="21" s="1"/>
  <c r="U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S11" i="21"/>
  <c r="C25" i="39"/>
  <c r="C27" i="39"/>
  <c r="C21" i="39"/>
  <c r="H11" i="39"/>
  <c r="S40" i="39"/>
  <c r="C15" i="39"/>
  <c r="H32" i="33"/>
  <c r="AB32" i="33"/>
  <c r="U11" i="21"/>
  <c r="W11" i="21"/>
  <c r="H37" i="40"/>
  <c r="U37" i="40"/>
  <c r="H36" i="40"/>
  <c r="AB36" i="40"/>
  <c r="F35" i="40"/>
  <c r="AA35" i="40"/>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s="1"/>
  <c r="J28" i="21"/>
  <c r="W28" i="21" s="1"/>
  <c r="F30" i="21"/>
  <c r="S30" i="21" s="1"/>
  <c r="J44" i="21"/>
  <c r="AC44" i="21" s="1"/>
  <c r="F44" i="21"/>
  <c r="AA44" i="21" s="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A14" i="37"/>
  <c r="W31" i="34"/>
  <c r="AC13" i="36"/>
  <c r="W13" i="36"/>
  <c r="S11" i="36"/>
  <c r="AB46" i="34"/>
  <c r="AC30" i="34"/>
  <c r="AA14" i="34"/>
  <c r="S45" i="33"/>
  <c r="AB45" i="33"/>
  <c r="AB31" i="33"/>
  <c r="U31" i="33"/>
  <c r="W29"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AZ309" i="3"/>
  <c r="AZ317" i="3"/>
  <c r="AZ325" i="3"/>
  <c r="AZ333" i="3"/>
  <c r="AZ341" i="3"/>
  <c r="BQ5" i="3"/>
  <c r="F28" i="6" s="1"/>
  <c r="AC5" i="3"/>
  <c r="AZ549" i="3"/>
  <c r="AZ506" i="3"/>
  <c r="AZ496" i="3"/>
  <c r="G548" i="3"/>
  <c r="G538" i="3"/>
  <c r="G520" i="3"/>
  <c r="G502" i="3"/>
  <c r="BS5" i="3"/>
  <c r="BP5" i="3"/>
  <c r="G29" i="6" s="1"/>
  <c r="BN5" i="3"/>
  <c r="BK5" i="3"/>
  <c r="BI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G75" i="43" s="1"/>
  <c r="K75" i="43" s="1"/>
  <c r="J75" i="43" s="1"/>
  <c r="U17" i="39"/>
  <c r="S14" i="35"/>
  <c r="U43" i="21"/>
  <c r="AC35" i="2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H35" i="40"/>
  <c r="AB35" i="40"/>
  <c r="AC29" i="35"/>
  <c r="W29" i="35"/>
  <c r="H35" i="37"/>
  <c r="U35" i="37"/>
  <c r="AC14" i="35"/>
  <c r="H20" i="35"/>
  <c r="U20" i="35" s="1"/>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D93" i="9"/>
  <c r="AC26" i="33"/>
  <c r="W26" i="33"/>
  <c r="W27" i="34"/>
  <c r="AC27" i="34"/>
  <c r="U34"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S39" i="21"/>
  <c r="AA36" i="21"/>
  <c r="F23" i="21"/>
  <c r="S23" i="21" s="1"/>
  <c r="E85" i="21"/>
  <c r="F85" i="21" s="1"/>
  <c r="G85" i="21" s="1"/>
  <c r="AA14" i="21"/>
  <c r="D120" i="9"/>
  <c r="D121" i="9" s="1"/>
  <c r="D7" i="52" s="1"/>
  <c r="C18" i="9"/>
  <c r="D18" i="9" s="1"/>
  <c r="F34" i="67"/>
  <c r="F62" i="67" s="1"/>
  <c r="M20" i="67"/>
  <c r="F34" i="15"/>
  <c r="F62" i="15" s="1"/>
  <c r="BL17" i="3"/>
  <c r="AZ17" i="3"/>
  <c r="BL13" i="3"/>
  <c r="J56" i="9"/>
  <c r="J57" i="9" s="1"/>
  <c r="J59" i="9" s="1"/>
  <c r="J61" i="9" s="1"/>
  <c r="A24" i="51"/>
  <c r="B18" i="72"/>
  <c r="U29" i="34"/>
  <c r="G1" i="68"/>
  <c r="K1" i="12"/>
  <c r="E19" i="68"/>
  <c r="E1" i="73"/>
  <c r="G22" i="69"/>
  <c r="G22" i="68"/>
  <c r="G26" i="12"/>
  <c r="G22" i="11"/>
  <c r="C6" i="43"/>
  <c r="B19" i="53"/>
  <c r="B37" i="72" s="1"/>
  <c r="C7" i="39"/>
  <c r="C67" i="39" s="1"/>
  <c r="C7" i="33"/>
  <c r="C7" i="40"/>
  <c r="C63" i="40" s="1"/>
  <c r="G23" i="43"/>
  <c r="C52" i="37"/>
  <c r="D52" i="37" s="1"/>
  <c r="B6" i="1"/>
  <c r="E6"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I101" i="21"/>
  <c r="J101" i="21" s="1"/>
  <c r="K101" i="21" s="1"/>
  <c r="L101" i="21" s="1"/>
  <c r="M101" i="21" s="1"/>
  <c r="F33" i="21"/>
  <c r="AA33" i="21" s="1"/>
  <c r="J33" i="21"/>
  <c r="AC33" i="21" s="1"/>
  <c r="H33" i="21"/>
  <c r="AB33" i="21" s="1"/>
  <c r="AB14" i="21"/>
  <c r="AB46" i="21"/>
  <c r="AB13" i="21"/>
  <c r="S35" i="21"/>
  <c r="W39" i="21"/>
  <c r="AC14" i="21"/>
  <c r="S46" i="21"/>
  <c r="H45" i="21"/>
  <c r="U45" i="21"/>
  <c r="F29" i="21"/>
  <c r="S29" i="21" s="1"/>
  <c r="H32" i="21"/>
  <c r="U32" i="21" s="1"/>
  <c r="J9" i="21"/>
  <c r="AC9" i="21" s="1"/>
  <c r="J32" i="21"/>
  <c r="W32" i="21" s="1"/>
  <c r="F32" i="21"/>
  <c r="S32" i="21" s="1"/>
  <c r="W29" i="21"/>
  <c r="AA9" i="21"/>
  <c r="K141" i="21"/>
  <c r="K144" i="21"/>
  <c r="K143" i="21"/>
  <c r="U27" i="21"/>
  <c r="AB25" i="21"/>
  <c r="AA30" i="21"/>
  <c r="AC45" i="21"/>
  <c r="F10" i="21"/>
  <c r="AA10" i="21" s="1"/>
  <c r="K145" i="21"/>
  <c r="W25" i="21"/>
  <c r="AA29" i="21"/>
  <c r="S27" i="21"/>
  <c r="AC27" i="21"/>
  <c r="AC26" i="21"/>
  <c r="AB29"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D6" i="52"/>
  <c r="AB45" i="21"/>
  <c r="W9" i="21"/>
  <c r="AB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H109" i="9"/>
  <c r="M49" i="9" s="1"/>
  <c r="H112" i="9"/>
  <c r="D21" i="53" s="1"/>
  <c r="B39" i="72" s="1"/>
  <c r="H111" i="9"/>
  <c r="D126" i="9" s="1"/>
  <c r="AD3" i="7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0" i="31"/>
  <c r="M28" i="67"/>
  <c r="B11" i="76"/>
  <c r="D34" i="9"/>
  <c r="M24" i="15"/>
  <c r="L48" i="101"/>
  <c r="F26" i="15"/>
  <c r="M29" i="15"/>
  <c r="M29" i="67"/>
  <c r="F16" i="15"/>
  <c r="F6" i="67"/>
  <c r="E8" i="76"/>
  <c r="E12" i="76"/>
  <c r="F5" i="73"/>
  <c r="M28" i="15"/>
  <c r="M8" i="15"/>
  <c r="F8" i="67"/>
  <c r="F40" i="15"/>
  <c r="C76" i="67"/>
  <c r="M9" i="15"/>
  <c r="F9" i="67"/>
  <c r="E11" i="76"/>
  <c r="B13" i="76"/>
  <c r="J15" i="67"/>
  <c r="E13" i="76"/>
  <c r="F7" i="73"/>
  <c r="E2" i="69"/>
  <c r="D35" i="9"/>
  <c r="B7" i="76"/>
  <c r="F37" i="15"/>
  <c r="F36" i="15"/>
  <c r="M22" i="67"/>
  <c r="C76" i="15"/>
  <c r="F6" i="15"/>
  <c r="F38" i="67"/>
  <c r="M23" i="67"/>
  <c r="F8" i="15"/>
  <c r="B9" i="76"/>
  <c r="E2" i="68"/>
  <c r="E10" i="76"/>
  <c r="F36" i="67"/>
  <c r="F26" i="67"/>
  <c r="F42" i="15"/>
  <c r="F4" i="73"/>
  <c r="F7" i="15"/>
  <c r="F6" i="73"/>
  <c r="M29" i="101"/>
  <c r="F13" i="15"/>
  <c r="M23" i="15"/>
  <c r="F43" i="67"/>
  <c r="F7" i="67"/>
  <c r="F42" i="67"/>
  <c r="F43" i="15"/>
  <c r="E7" i="76"/>
  <c r="M8" i="67"/>
  <c r="E9" i="76"/>
  <c r="M6" i="15"/>
  <c r="AO13" i="1"/>
  <c r="M26" i="67"/>
  <c r="F9" i="15"/>
  <c r="F3" i="73"/>
  <c r="F40" i="67"/>
  <c r="J15" i="15"/>
  <c r="F43" i="101"/>
  <c r="M6" i="67"/>
  <c r="M9" i="67"/>
  <c r="B10" i="76"/>
  <c r="M26" i="15"/>
  <c r="M24" i="67"/>
  <c r="L47" i="67"/>
  <c r="L47" i="15"/>
  <c r="F13" i="67"/>
  <c r="F37" i="67"/>
  <c r="M22" i="15"/>
  <c r="F38" i="15"/>
  <c r="F16" i="67"/>
  <c r="B12" i="76"/>
  <c r="B8" i="76"/>
  <c r="J17" i="21" l="1"/>
  <c r="AC17" i="21" s="1"/>
  <c r="J19" i="21"/>
  <c r="W19" i="21" s="1"/>
  <c r="F17" i="21"/>
  <c r="AA17" i="21" s="1"/>
  <c r="AC40" i="21"/>
  <c r="S40" i="21"/>
  <c r="AA26" i="21"/>
  <c r="AC28" i="21"/>
  <c r="U44" i="21"/>
  <c r="AB44" i="21"/>
  <c r="AA28" i="21"/>
  <c r="S28" i="21"/>
  <c r="U30" i="21"/>
  <c r="AB30" i="21"/>
  <c r="H113" i="21"/>
  <c r="F37" i="21"/>
  <c r="AA37" i="21" s="1"/>
  <c r="J37" i="21"/>
  <c r="W37" i="21" s="1"/>
  <c r="H37" i="21"/>
  <c r="U37" i="21" s="1"/>
  <c r="S44" i="21"/>
  <c r="AA38" i="21"/>
  <c r="W41" i="21"/>
  <c r="U35" i="21"/>
  <c r="J30" i="21"/>
  <c r="AC30" i="21" s="1"/>
  <c r="J43" i="21"/>
  <c r="F19" i="21"/>
  <c r="AA19" i="21" s="1"/>
  <c r="H15" i="21"/>
  <c r="U15" i="21" s="1"/>
  <c r="F77" i="21"/>
  <c r="G77" i="21" s="1"/>
  <c r="F15" i="21"/>
  <c r="L58" i="101"/>
  <c r="J51" i="101"/>
  <c r="L60" i="101" s="1"/>
  <c r="M47" i="103"/>
  <c r="J51" i="15"/>
  <c r="J1" i="73"/>
  <c r="M47" i="9"/>
  <c r="C7" i="21"/>
  <c r="C7" i="35"/>
  <c r="C48" i="35" s="1"/>
  <c r="D48" i="35" s="1"/>
  <c r="C42" i="1"/>
  <c r="C7" i="34"/>
  <c r="G11" i="1"/>
  <c r="AE11" i="1"/>
  <c r="H23" i="21"/>
  <c r="U23" i="21" s="1"/>
  <c r="J23" i="21"/>
  <c r="W23" i="21" s="1"/>
  <c r="U31" i="21"/>
  <c r="AB31" i="21"/>
  <c r="W30" i="21"/>
  <c r="F31" i="21"/>
  <c r="J31" i="21"/>
  <c r="H19" i="21"/>
  <c r="H17" i="21"/>
  <c r="W42" i="21"/>
  <c r="AP7" i="1"/>
  <c r="E32" i="6"/>
  <c r="L21" i="6" s="1"/>
  <c r="BA13" i="3"/>
  <c r="AZ13" i="3" s="1"/>
  <c r="AZ5" i="3" s="1"/>
  <c r="F71" i="101"/>
  <c r="M11" i="1"/>
  <c r="M18" i="103"/>
  <c r="B118" i="103" s="1"/>
  <c r="AC38" i="21"/>
  <c r="F123" i="21"/>
  <c r="G123" i="21" s="1"/>
  <c r="H123" i="21" s="1"/>
  <c r="I123" i="21" s="1"/>
  <c r="J123" i="21" s="1"/>
  <c r="K123" i="21" s="1"/>
  <c r="L123" i="21" s="1"/>
  <c r="M123" i="21" s="1"/>
  <c r="H42" i="21"/>
  <c r="U42" i="21" s="1"/>
  <c r="S42" i="21"/>
  <c r="AA43" i="21"/>
  <c r="AA32" i="21"/>
  <c r="W13" i="21"/>
  <c r="F13" i="21"/>
  <c r="G13" i="3"/>
  <c r="G5" i="3" s="1"/>
  <c r="B3" i="3" s="1"/>
  <c r="A3" i="3" s="1"/>
  <c r="E279" i="3" s="1"/>
  <c r="AP8" i="1"/>
  <c r="S37" i="21"/>
  <c r="AA25" i="21"/>
  <c r="AC21" i="21"/>
  <c r="AB21" i="21"/>
  <c r="AC19" i="21"/>
  <c r="H9" i="21"/>
  <c r="AA23" i="21"/>
  <c r="W17" i="21"/>
  <c r="AC15" i="21"/>
  <c r="U40" i="21"/>
  <c r="AB39" i="21"/>
  <c r="AB38" i="21"/>
  <c r="AB36" i="21"/>
  <c r="U34" i="21"/>
  <c r="AC34" i="21"/>
  <c r="S34" i="21"/>
  <c r="C7" i="97"/>
  <c r="C58" i="97" s="1"/>
  <c r="C7" i="96"/>
  <c r="C58" i="96" s="1"/>
  <c r="M75" i="43"/>
  <c r="N75" i="43" s="1"/>
  <c r="F7" i="1"/>
  <c r="G7" i="1" s="1"/>
  <c r="F12" i="1"/>
  <c r="F10" i="1"/>
  <c r="G10" i="1" s="1"/>
  <c r="F8" i="1"/>
  <c r="G8" i="1" s="1"/>
  <c r="E19" i="11"/>
  <c r="G6" i="1"/>
  <c r="L20" i="6"/>
  <c r="E5" i="6"/>
  <c r="D9" i="11" s="1"/>
  <c r="C9" i="11" s="1"/>
  <c r="H69" i="43"/>
  <c r="H67" i="43"/>
  <c r="A2" i="9"/>
  <c r="A4" i="52"/>
  <c r="B41" i="72" s="1"/>
  <c r="C28" i="67"/>
  <c r="E19" i="71"/>
  <c r="E18" i="71" s="1"/>
  <c r="E17" i="71" s="1"/>
  <c r="E16" i="71" s="1"/>
  <c r="V20" i="71"/>
  <c r="AC9" i="34"/>
  <c r="W9" i="34"/>
  <c r="AC34" i="35"/>
  <c r="W34" i="35"/>
  <c r="U27" i="37"/>
  <c r="AB27" i="37"/>
  <c r="AC31" i="40"/>
  <c r="W31" i="40"/>
  <c r="C16" i="71"/>
  <c r="D17" i="71"/>
  <c r="D19" i="53"/>
  <c r="B38" i="72" s="1"/>
  <c r="D16" i="53"/>
  <c r="B34" i="72" s="1"/>
  <c r="AZ557" i="3"/>
  <c r="S12" i="21"/>
  <c r="AA12" i="21"/>
  <c r="W12" i="34"/>
  <c r="AC12" i="34"/>
  <c r="U12" i="35"/>
  <c r="AB12" i="35"/>
  <c r="AB9" i="36"/>
  <c r="U9" i="36"/>
  <c r="AB14" i="37"/>
  <c r="U14" i="37"/>
  <c r="W33" i="40"/>
  <c r="AC33" i="40"/>
  <c r="G28" i="6"/>
  <c r="F29" i="6"/>
  <c r="F30" i="6" s="1"/>
  <c r="U43" i="33"/>
  <c r="AA41" i="34"/>
  <c r="AZ548" i="3"/>
  <c r="B73" i="43"/>
  <c r="B79" i="43"/>
  <c r="B76" i="43"/>
  <c r="B75" i="43"/>
  <c r="F9" i="34"/>
  <c r="AA9" i="34" s="1"/>
  <c r="F12" i="34"/>
  <c r="AC31" i="35"/>
  <c r="F34" i="35"/>
  <c r="H34" i="35"/>
  <c r="J36" i="35"/>
  <c r="F23" i="36"/>
  <c r="H23" i="36"/>
  <c r="BA551" i="3"/>
  <c r="AZ551" i="3" s="1"/>
  <c r="AZ439" i="3"/>
  <c r="AZ472" i="3"/>
  <c r="AZ475" i="3"/>
  <c r="AC11" i="35"/>
  <c r="BL550" i="3"/>
  <c r="AZ550" i="3" s="1"/>
  <c r="AZ398" i="3"/>
  <c r="AZ405" i="3"/>
  <c r="AZ407" i="3"/>
  <c r="AZ410" i="3"/>
  <c r="AZ415" i="3"/>
  <c r="AZ420" i="3"/>
  <c r="AZ426" i="3"/>
  <c r="AZ431" i="3"/>
  <c r="AZ448" i="3"/>
  <c r="AZ452" i="3"/>
  <c r="AZ461" i="3"/>
  <c r="AZ463" i="3"/>
  <c r="AZ468" i="3"/>
  <c r="AZ484" i="3"/>
  <c r="AZ492" i="3"/>
  <c r="AZ385" i="3"/>
  <c r="AZ210" i="3"/>
  <c r="AZ225" i="3"/>
  <c r="AZ239" i="3"/>
  <c r="AZ255" i="3"/>
  <c r="AZ274" i="3"/>
  <c r="AZ277" i="3"/>
  <c r="AZ260" i="3"/>
  <c r="AZ264" i="3"/>
  <c r="AZ300" i="3"/>
  <c r="AZ302" i="3"/>
  <c r="AZ113" i="3"/>
  <c r="AZ126" i="3"/>
  <c r="AZ129" i="3"/>
  <c r="AZ141" i="3"/>
  <c r="AZ161" i="3"/>
  <c r="AZ193" i="3"/>
  <c r="AZ38" i="3"/>
  <c r="AZ48" i="3"/>
  <c r="AZ52" i="3"/>
  <c r="AZ64" i="3"/>
  <c r="AZ68" i="3"/>
  <c r="AZ78" i="3"/>
  <c r="AZ91" i="3"/>
  <c r="AZ98" i="3"/>
  <c r="AZ104" i="3"/>
  <c r="AZ108" i="3"/>
  <c r="AC21" i="33"/>
  <c r="AB21" i="33"/>
  <c r="T44" i="71"/>
  <c r="D44" i="71"/>
  <c r="T36" i="71"/>
  <c r="D36" i="71"/>
  <c r="T40" i="71"/>
  <c r="D40" i="71"/>
  <c r="C27" i="71"/>
  <c r="T28" i="71"/>
  <c r="D28" i="71"/>
  <c r="U28" i="71" s="1"/>
  <c r="S21" i="21"/>
  <c r="U18" i="36"/>
  <c r="C32" i="71"/>
  <c r="AA27" i="71"/>
  <c r="AA25" i="71"/>
  <c r="AB27" i="71"/>
  <c r="S28" i="71"/>
  <c r="X27" i="71"/>
  <c r="AB37" i="71"/>
  <c r="AA36" i="71"/>
  <c r="AB33" i="71"/>
  <c r="Y33" i="71"/>
  <c r="Z33" i="71" s="1"/>
  <c r="X32" i="71"/>
  <c r="X37" i="71"/>
  <c r="AA29" i="71"/>
  <c r="Y9" i="71"/>
  <c r="Z9" i="71" s="1"/>
  <c r="AA9" i="71"/>
  <c r="X24" i="71"/>
  <c r="AA24" i="71"/>
  <c r="Y24" i="71"/>
  <c r="Z24" i="71" s="1"/>
  <c r="AB23" i="71"/>
  <c r="AB21" i="71"/>
  <c r="Y18" i="71"/>
  <c r="Z18" i="71" s="1"/>
  <c r="X17" i="71"/>
  <c r="Y17" i="71"/>
  <c r="Z17" i="71" s="1"/>
  <c r="AA17" i="71"/>
  <c r="AB18" i="71"/>
  <c r="Y14" i="71"/>
  <c r="Z14" i="71" s="1"/>
  <c r="AB14" i="71"/>
  <c r="X9" i="71"/>
  <c r="AB9" i="71"/>
  <c r="S68" i="71"/>
  <c r="B67" i="71"/>
  <c r="AB24" i="71"/>
  <c r="AA22" i="71"/>
  <c r="X21" i="71"/>
  <c r="AA21" i="71"/>
  <c r="X18" i="71"/>
  <c r="AA18" i="71"/>
  <c r="Y23" i="71"/>
  <c r="Z23" i="71" s="1"/>
  <c r="Y22" i="71"/>
  <c r="Z22" i="71" s="1"/>
  <c r="AA23" i="71"/>
  <c r="X22" i="71"/>
  <c r="Y21" i="71"/>
  <c r="Z21" i="71" s="1"/>
  <c r="X15" i="71"/>
  <c r="AA15" i="71"/>
  <c r="AB11" i="71"/>
  <c r="AB10" i="71"/>
  <c r="Y13" i="71"/>
  <c r="Z13" i="71" s="1"/>
  <c r="Y11" i="71"/>
  <c r="Z11" i="71" s="1"/>
  <c r="AA11" i="71"/>
  <c r="AA12" i="71"/>
  <c r="AA14" i="71"/>
  <c r="X10" i="71"/>
  <c r="X12" i="71"/>
  <c r="AB15" i="71"/>
  <c r="AB17" i="71"/>
  <c r="AB13" i="71"/>
  <c r="AB12" i="71"/>
  <c r="Y12" i="71"/>
  <c r="Z12" i="71" s="1"/>
  <c r="Y10" i="71"/>
  <c r="Z10" i="71" s="1"/>
  <c r="AA10" i="71"/>
  <c r="AA13" i="71"/>
  <c r="X11" i="71"/>
  <c r="X13" i="71"/>
  <c r="X14" i="71"/>
  <c r="H83" i="43"/>
  <c r="S22" i="31"/>
  <c r="R22" i="31" s="1"/>
  <c r="D74"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22" i="67"/>
  <c r="AQ13" i="1"/>
  <c r="Q16" i="1"/>
  <c r="F27" i="69" s="1"/>
  <c r="E8" i="6"/>
  <c r="F27" i="6" s="1"/>
  <c r="D33" i="43" s="1"/>
  <c r="D1" i="43" s="1"/>
  <c r="E12" i="6"/>
  <c r="E57" i="40" s="1"/>
  <c r="E15" i="6"/>
  <c r="E64" i="39" s="1"/>
  <c r="E11" i="6"/>
  <c r="E60" i="39" s="1"/>
  <c r="E10" i="6"/>
  <c r="E13" i="6"/>
  <c r="H16" i="1"/>
  <c r="P6" i="1"/>
  <c r="P11" i="1"/>
  <c r="K14" i="1"/>
  <c r="D19" i="12"/>
  <c r="C19" i="12" s="1"/>
  <c r="O9" i="1"/>
  <c r="P9" i="1" s="1"/>
  <c r="O12" i="1"/>
  <c r="P12" i="1" s="1"/>
  <c r="O8" i="1"/>
  <c r="P8" i="1" s="1"/>
  <c r="H73" i="43"/>
  <c r="G73" i="43" s="1"/>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L48" i="15"/>
  <c r="C16" i="15"/>
  <c r="D6" i="73"/>
  <c r="C16" i="101"/>
  <c r="D9" i="68"/>
  <c r="D3" i="73"/>
  <c r="C36" i="68"/>
  <c r="D5" i="73"/>
  <c r="G1" i="73" s="1"/>
  <c r="D4" i="73"/>
  <c r="L48" i="67"/>
  <c r="C16" i="67"/>
  <c r="D7" i="73"/>
  <c r="S19" i="21" l="1"/>
  <c r="S17" i="21"/>
  <c r="AB42" i="21"/>
  <c r="AC43" i="21"/>
  <c r="W43" i="21"/>
  <c r="S15" i="21"/>
  <c r="AA15" i="21"/>
  <c r="AB15" i="21"/>
  <c r="Q66" i="101"/>
  <c r="Q57" i="101"/>
  <c r="C24" i="12"/>
  <c r="C30" i="102"/>
  <c r="C28" i="101"/>
  <c r="C48" i="102"/>
  <c r="C77" i="103"/>
  <c r="C74" i="103" s="1"/>
  <c r="C61" i="101"/>
  <c r="C33" i="101"/>
  <c r="J19" i="101"/>
  <c r="C32" i="101"/>
  <c r="J18" i="101"/>
  <c r="G7" i="21"/>
  <c r="E7" i="21"/>
  <c r="L56" i="101"/>
  <c r="L59" i="101"/>
  <c r="N59" i="101"/>
  <c r="J53" i="101"/>
  <c r="J57" i="101"/>
  <c r="J55" i="101" s="1"/>
  <c r="J58" i="101" s="1"/>
  <c r="Q50" i="101" s="1"/>
  <c r="M59" i="101"/>
  <c r="I54" i="101"/>
  <c r="Q60" i="101"/>
  <c r="Q73" i="101"/>
  <c r="L57" i="101"/>
  <c r="AB23" i="21"/>
  <c r="AC23" i="21"/>
  <c r="AA31" i="21"/>
  <c r="S31" i="21"/>
  <c r="AC31" i="21"/>
  <c r="W31" i="21"/>
  <c r="U19" i="21"/>
  <c r="AB19" i="21"/>
  <c r="AB17" i="21"/>
  <c r="U17" i="21"/>
  <c r="C36" i="69"/>
  <c r="D9" i="69"/>
  <c r="C9" i="69" s="1"/>
  <c r="O11" i="1"/>
  <c r="AA13" i="21"/>
  <c r="S13" i="21"/>
  <c r="M11" i="101"/>
  <c r="J10" i="101" s="1"/>
  <c r="J5" i="101" s="1"/>
  <c r="F11" i="10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I4" i="6"/>
  <c r="E334" i="3"/>
  <c r="E58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121" i="3"/>
  <c r="E480" i="3"/>
  <c r="E295" i="3"/>
  <c r="E404" i="3"/>
  <c r="E145" i="3"/>
  <c r="E548" i="3"/>
  <c r="E93" i="3"/>
  <c r="E30" i="3"/>
  <c r="E316" i="3"/>
  <c r="E166" i="3"/>
  <c r="E88" i="3"/>
  <c r="E444" i="3"/>
  <c r="E367" i="3"/>
  <c r="U6" i="3"/>
  <c r="E196" i="3"/>
  <c r="E357" i="3"/>
  <c r="E109" i="3"/>
  <c r="E572" i="3"/>
  <c r="E377" i="3"/>
  <c r="E273" i="3"/>
  <c r="E211" i="3"/>
  <c r="E182" i="3"/>
  <c r="E70" i="3"/>
  <c r="E28" i="3"/>
  <c r="E489" i="3"/>
  <c r="E531" i="3"/>
  <c r="E557" i="3"/>
  <c r="E432" i="3"/>
  <c r="E411" i="3"/>
  <c r="E379" i="3"/>
  <c r="E207" i="3"/>
  <c r="E397" i="3"/>
  <c r="E14" i="3"/>
  <c r="E257" i="3"/>
  <c r="E441" i="3"/>
  <c r="E29" i="3"/>
  <c r="E44" i="3"/>
  <c r="AM6" i="3"/>
  <c r="E384" i="3"/>
  <c r="E317" i="3"/>
  <c r="E331" i="3"/>
  <c r="E291" i="3"/>
  <c r="E210" i="3"/>
  <c r="E272" i="3"/>
  <c r="E186" i="3"/>
  <c r="E126" i="3"/>
  <c r="E162" i="3"/>
  <c r="E92" i="3"/>
  <c r="E27" i="3"/>
  <c r="E71" i="3"/>
  <c r="E447" i="3"/>
  <c r="E546" i="3"/>
  <c r="E476" i="3"/>
  <c r="E403" i="3"/>
  <c r="AS6" i="3"/>
  <c r="E547" i="3"/>
  <c r="E505" i="3"/>
  <c r="E477" i="3"/>
  <c r="E414" i="3"/>
  <c r="E478" i="3"/>
  <c r="E515" i="3"/>
  <c r="E585" i="3"/>
  <c r="E107" i="3"/>
  <c r="E271" i="3"/>
  <c r="E269" i="3"/>
  <c r="E549" i="3"/>
  <c r="E567" i="3"/>
  <c r="E31" i="3"/>
  <c r="E318" i="3"/>
  <c r="E351" i="3"/>
  <c r="E18" i="3"/>
  <c r="E42" i="3"/>
  <c r="E332" i="3"/>
  <c r="E281" i="3"/>
  <c r="E152" i="3"/>
  <c r="E479" i="3"/>
  <c r="E517" i="3"/>
  <c r="E255" i="3"/>
  <c r="E427" i="3"/>
  <c r="E188" i="3"/>
  <c r="E139" i="3"/>
  <c r="E115" i="3"/>
  <c r="E104" i="3"/>
  <c r="E420" i="3"/>
  <c r="E452" i="3"/>
  <c r="E13" i="3"/>
  <c r="E556" i="3"/>
  <c r="E451" i="3"/>
  <c r="E512" i="3"/>
  <c r="T6" i="3"/>
  <c r="E173" i="3"/>
  <c r="E205" i="3"/>
  <c r="E464" i="3"/>
  <c r="E552" i="3"/>
  <c r="AD6" i="3"/>
  <c r="E141" i="3"/>
  <c r="E149" i="3"/>
  <c r="E165" i="3"/>
  <c r="E77" i="3"/>
  <c r="E568" i="3"/>
  <c r="E181" i="3"/>
  <c r="E545" i="3"/>
  <c r="AK6" i="3"/>
  <c r="E228" i="3"/>
  <c r="E277" i="3"/>
  <c r="E133" i="3"/>
  <c r="K6" i="3"/>
  <c r="E560" i="3"/>
  <c r="E472" i="3"/>
  <c r="E527" i="3"/>
  <c r="E438" i="3"/>
  <c r="E457" i="3"/>
  <c r="E288" i="3"/>
  <c r="E562" i="3"/>
  <c r="W6" i="3"/>
  <c r="E571" i="3"/>
  <c r="E537" i="3"/>
  <c r="E450" i="3"/>
  <c r="E471" i="3"/>
  <c r="E433" i="3"/>
  <c r="E475" i="3"/>
  <c r="E72" i="3"/>
  <c r="E54" i="3"/>
  <c r="E111" i="3"/>
  <c r="E168" i="3"/>
  <c r="E150" i="3"/>
  <c r="E208" i="3"/>
  <c r="E96" i="3"/>
  <c r="E391" i="3"/>
  <c r="E243" i="3"/>
  <c r="E192" i="3"/>
  <c r="E37" i="3"/>
  <c r="E491" i="3"/>
  <c r="AP6" i="3"/>
  <c r="E430" i="3"/>
  <c r="E393" i="3"/>
  <c r="E225" i="3"/>
  <c r="E198" i="3"/>
  <c r="E41" i="3"/>
  <c r="E26" i="3"/>
  <c r="E470" i="3"/>
  <c r="E494" i="3"/>
  <c r="E497" i="3"/>
  <c r="E360" i="3"/>
  <c r="E408" i="3"/>
  <c r="E456" i="3"/>
  <c r="E525" i="3"/>
  <c r="E140" i="3"/>
  <c r="E487" i="3"/>
  <c r="E421" i="3"/>
  <c r="E542" i="3"/>
  <c r="E312" i="3"/>
  <c r="E167" i="3"/>
  <c r="E244" i="3"/>
  <c r="E156" i="3"/>
  <c r="E238" i="3"/>
  <c r="E434" i="3"/>
  <c r="E128" i="3"/>
  <c r="E262" i="3"/>
  <c r="E120" i="3"/>
  <c r="E177" i="3"/>
  <c r="E330" i="3"/>
  <c r="Q6" i="3"/>
  <c r="E437"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356" i="3"/>
  <c r="E428" i="3"/>
  <c r="AL6" i="3"/>
  <c r="E94" i="3"/>
  <c r="E412" i="3"/>
  <c r="E75" i="3"/>
  <c r="E482" i="3"/>
  <c r="E510" i="3"/>
  <c r="E79" i="3"/>
  <c r="E455" i="3"/>
  <c r="E15" i="3"/>
  <c r="E473" i="3"/>
  <c r="E540" i="3"/>
  <c r="E43" i="3"/>
  <c r="E60" i="3"/>
  <c r="L6" i="3"/>
  <c r="E372" i="3"/>
  <c r="E333" i="3"/>
  <c r="E346" i="3"/>
  <c r="E276" i="3"/>
  <c r="E226" i="3"/>
  <c r="E242" i="3"/>
  <c r="E132" i="3"/>
  <c r="E95" i="3"/>
  <c r="E56" i="3"/>
  <c r="E417" i="3"/>
  <c r="E435" i="3"/>
  <c r="E554" i="3"/>
  <c r="I3" i="6"/>
  <c r="E449" i="3"/>
  <c r="E507" i="3"/>
  <c r="E564" i="3"/>
  <c r="E116" i="3"/>
  <c r="E16" i="3"/>
  <c r="E202" i="3"/>
  <c r="E119" i="3"/>
  <c r="E178" i="3"/>
  <c r="E108" i="3"/>
  <c r="E25" i="3"/>
  <c r="E40" i="3"/>
  <c r="E463" i="3"/>
  <c r="E401" i="3"/>
  <c r="E483" i="3"/>
  <c r="E419" i="3"/>
  <c r="E498" i="3"/>
  <c r="J6" i="3"/>
  <c r="AH6" i="3"/>
  <c r="E376" i="3"/>
  <c r="E490" i="3"/>
  <c r="E440" i="3"/>
  <c r="E422" i="3"/>
  <c r="E469" i="3"/>
  <c r="E405" i="3"/>
  <c r="E534" i="3"/>
  <c r="E369" i="3"/>
  <c r="E197" i="3"/>
  <c r="E296" i="3"/>
  <c r="E541" i="3"/>
  <c r="E466" i="3"/>
  <c r="E442" i="3"/>
  <c r="E502" i="3"/>
  <c r="R6" i="3"/>
  <c r="E499" i="3"/>
  <c r="E575" i="3"/>
  <c r="E286" i="3"/>
  <c r="E199" i="3"/>
  <c r="E212" i="3"/>
  <c r="E148" i="3"/>
  <c r="E536" i="3"/>
  <c r="E539" i="3"/>
  <c r="E253" i="3"/>
  <c r="E122" i="3"/>
  <c r="E453" i="3"/>
  <c r="E461" i="3"/>
  <c r="E85" i="3"/>
  <c r="E136" i="3"/>
  <c r="E314" i="3"/>
  <c r="E352" i="3"/>
  <c r="E511" i="3"/>
  <c r="E306" i="3"/>
  <c r="E99" i="3"/>
  <c r="E157" i="3"/>
  <c r="E45" i="3"/>
  <c r="E224" i="3"/>
  <c r="E193" i="3"/>
  <c r="E313" i="3"/>
  <c r="E519" i="3"/>
  <c r="E532" i="3"/>
  <c r="E573" i="3"/>
  <c r="E529" i="3"/>
  <c r="E458" i="3"/>
  <c r="E474" i="3"/>
  <c r="E329" i="3"/>
  <c r="E105" i="3"/>
  <c r="E543" i="3"/>
  <c r="E398" i="3"/>
  <c r="E459" i="3"/>
  <c r="E566" i="3"/>
  <c r="E582" i="3"/>
  <c r="E460" i="3"/>
  <c r="E436" i="3"/>
  <c r="E90" i="3"/>
  <c r="E131" i="3"/>
  <c r="E155" i="3"/>
  <c r="E258" i="3"/>
  <c r="E241" i="3"/>
  <c r="E292" i="3"/>
  <c r="E363" i="3"/>
  <c r="E349" i="3"/>
  <c r="E389" i="3"/>
  <c r="E544" i="3"/>
  <c r="E76" i="3"/>
  <c r="E59" i="3"/>
  <c r="E409" i="3"/>
  <c r="E484" i="3"/>
  <c r="E425" i="3"/>
  <c r="E467" i="3"/>
  <c r="E64"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23" i="3"/>
  <c r="E486" i="3"/>
  <c r="E374" i="3"/>
  <c r="E413" i="3"/>
  <c r="E39" i="3"/>
  <c r="E187" i="3"/>
  <c r="E297" i="3"/>
  <c r="E348" i="3"/>
  <c r="E375" i="3"/>
  <c r="E58" i="3"/>
  <c r="E488" i="3"/>
  <c r="E521" i="3"/>
  <c r="E47"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3" i="3"/>
  <c r="E416" i="3"/>
  <c r="E500" i="3"/>
  <c r="E520" i="3"/>
  <c r="E57" i="3"/>
  <c r="E240" i="3"/>
  <c r="E259" i="3"/>
  <c r="E378" i="3"/>
  <c r="E504" i="3"/>
  <c r="E110" i="3"/>
  <c r="E462" i="3"/>
  <c r="E446"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B9" i="21"/>
  <c r="U9" i="21"/>
  <c r="C13" i="12"/>
  <c r="J53" i="15"/>
  <c r="L56" i="15" s="1"/>
  <c r="I54" i="15"/>
  <c r="L58" i="15"/>
  <c r="Q60" i="15" s="1"/>
  <c r="J57" i="15"/>
  <c r="J55" i="15" s="1"/>
  <c r="J58" i="15" s="1"/>
  <c r="Q50" i="15" s="1"/>
  <c r="J53" i="67"/>
  <c r="F1" i="67" s="1"/>
  <c r="L56" i="67"/>
  <c r="L58" i="67"/>
  <c r="Q73" i="67" s="1"/>
  <c r="J57" i="67"/>
  <c r="J55" i="67" s="1"/>
  <c r="J58" i="67" s="1"/>
  <c r="Q50" i="67" s="1"/>
  <c r="I54" i="67"/>
  <c r="K77" i="43"/>
  <c r="J77" i="43" s="1"/>
  <c r="D77" i="43" s="1"/>
  <c r="M77" i="43"/>
  <c r="N77" i="43" s="1"/>
  <c r="M79" i="43"/>
  <c r="N79" i="43" s="1"/>
  <c r="K79" i="43"/>
  <c r="J79" i="43" s="1"/>
  <c r="D79" i="43" s="1"/>
  <c r="K72" i="43"/>
  <c r="J72" i="43" s="1"/>
  <c r="M72" i="43"/>
  <c r="N72" i="43" s="1"/>
  <c r="M80" i="43"/>
  <c r="K80" i="43"/>
  <c r="J80" i="43" s="1"/>
  <c r="K74" i="43"/>
  <c r="J74" i="43" s="1"/>
  <c r="M74" i="43"/>
  <c r="N74" i="43" s="1"/>
  <c r="K76" i="43"/>
  <c r="J76" i="43" s="1"/>
  <c r="M76" i="43"/>
  <c r="N76" i="43" s="1"/>
  <c r="K73" i="43"/>
  <c r="J73" i="43" s="1"/>
  <c r="M73" i="43"/>
  <c r="N73" i="43" s="1"/>
  <c r="M78" i="43"/>
  <c r="N78" i="43" s="1"/>
  <c r="K78" i="43"/>
  <c r="D58" i="96"/>
  <c r="E58" i="96" s="1"/>
  <c r="F58" i="96" s="1"/>
  <c r="G58" i="96" s="1"/>
  <c r="H58" i="96" s="1"/>
  <c r="I58" i="96" s="1"/>
  <c r="J58" i="96" s="1"/>
  <c r="K58" i="96" s="1"/>
  <c r="L58" i="96" s="1"/>
  <c r="M58" i="96" s="1"/>
  <c r="N58" i="96" s="1"/>
  <c r="O58" i="96" s="1"/>
  <c r="H7" i="96"/>
  <c r="G12" i="1"/>
  <c r="G16" i="1" s="1"/>
  <c r="F10" i="39" s="1"/>
  <c r="S10" i="39" s="1"/>
  <c r="D58" i="97"/>
  <c r="E58" i="97" s="1"/>
  <c r="F58" i="97" s="1"/>
  <c r="G58" i="97" s="1"/>
  <c r="H58" i="97" s="1"/>
  <c r="I58" i="97" s="1"/>
  <c r="J58" i="97" s="1"/>
  <c r="K58" i="97" s="1"/>
  <c r="L58" i="97" s="1"/>
  <c r="M58" i="97" s="1"/>
  <c r="N58" i="97" s="1"/>
  <c r="O58" i="97" s="1"/>
  <c r="F7" i="97"/>
  <c r="H7" i="97"/>
  <c r="J7" i="97"/>
  <c r="I24" i="43"/>
  <c r="C24" i="43" s="1"/>
  <c r="K16" i="1"/>
  <c r="E59" i="40"/>
  <c r="B15" i="71"/>
  <c r="B14" i="71" s="1"/>
  <c r="B13" i="71" s="1"/>
  <c r="B12" i="71" s="1"/>
  <c r="S16" i="71"/>
  <c r="F7" i="36"/>
  <c r="J7" i="37"/>
  <c r="H7" i="36"/>
  <c r="AB7" i="36" s="1"/>
  <c r="T36" i="36" s="1"/>
  <c r="G36" i="36" s="1"/>
  <c r="B66" i="71"/>
  <c r="N67" i="71"/>
  <c r="T32" i="71"/>
  <c r="D32" i="71"/>
  <c r="AB23" i="36"/>
  <c r="U23" i="36"/>
  <c r="AC36" i="35"/>
  <c r="W36" i="35"/>
  <c r="AA34" i="35"/>
  <c r="S34" i="35"/>
  <c r="S12" i="34"/>
  <c r="AA12" i="34"/>
  <c r="BA5" i="3"/>
  <c r="E27" i="6" s="1"/>
  <c r="K26" i="6" s="1"/>
  <c r="M26" i="6" s="1"/>
  <c r="I26" i="6" s="1"/>
  <c r="S26" i="6" s="1"/>
  <c r="C15" i="71"/>
  <c r="T16" i="71"/>
  <c r="C26" i="71"/>
  <c r="D26" i="71" s="1"/>
  <c r="D27" i="71"/>
  <c r="AA23" i="36"/>
  <c r="S23" i="36"/>
  <c r="AB34" i="35"/>
  <c r="U34" i="35"/>
  <c r="BL5" i="3"/>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8"/>
  <c r="C29" i="69"/>
  <c r="D27" i="69" s="1"/>
  <c r="F45" i="69"/>
  <c r="F27" i="11"/>
  <c r="C29" i="11" s="1"/>
  <c r="D27" i="11" s="1"/>
  <c r="F28" i="12"/>
  <c r="C29" i="12" s="1"/>
  <c r="D28" i="12" s="1"/>
  <c r="E60" i="40"/>
  <c r="F31" i="6"/>
  <c r="E51" i="40"/>
  <c r="E16" i="6"/>
  <c r="E58" i="40"/>
  <c r="E62" i="39"/>
  <c r="AY6" i="3"/>
  <c r="E3" i="6"/>
  <c r="M14" i="1"/>
  <c r="D5" i="43"/>
  <c r="C7" i="43"/>
  <c r="C5" i="43" s="1"/>
  <c r="D10" i="52"/>
  <c r="D125" i="9"/>
  <c r="D11" i="52" s="1"/>
  <c r="B7" i="74"/>
  <c r="C7" i="74" s="1"/>
  <c r="F67" i="39"/>
  <c r="F59" i="67"/>
  <c r="H7" i="37"/>
  <c r="AB7" i="37" s="1"/>
  <c r="T42" i="37" s="1"/>
  <c r="G42" i="37" s="1"/>
  <c r="B40" i="1"/>
  <c r="F22" i="102" s="1"/>
  <c r="H7" i="33"/>
  <c r="J7" i="33"/>
  <c r="D65" i="40"/>
  <c r="E63" i="40"/>
  <c r="F48" i="35"/>
  <c r="S7" i="36"/>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9" i="1"/>
  <c r="AE7" i="1"/>
  <c r="AE8" i="1"/>
  <c r="AE12" i="1"/>
  <c r="AE10" i="1"/>
  <c r="F27" i="68"/>
  <c r="F41" i="101"/>
  <c r="F7" i="96" l="1"/>
  <c r="J7" i="96"/>
  <c r="Q52" i="101"/>
  <c r="F1" i="101"/>
  <c r="Q61" i="101"/>
  <c r="Q74" i="101"/>
  <c r="F41" i="102"/>
  <c r="C44" i="102"/>
  <c r="D41" i="102" s="1"/>
  <c r="C26" i="102"/>
  <c r="D22" i="102" s="1"/>
  <c r="C24" i="102"/>
  <c r="F69" i="101"/>
  <c r="C53" i="101"/>
  <c r="C48" i="101" s="1"/>
  <c r="C10" i="101"/>
  <c r="C5" i="101" s="1"/>
  <c r="L36" i="43"/>
  <c r="L37" i="43" s="1"/>
  <c r="F24" i="101"/>
  <c r="J24" i="101"/>
  <c r="J26" i="101"/>
  <c r="J29" i="101" s="1"/>
  <c r="H6" i="3"/>
  <c r="F10" i="40"/>
  <c r="S10" i="40" s="1"/>
  <c r="AC6" i="3"/>
  <c r="E6" i="3" s="1"/>
  <c r="AA10" i="39"/>
  <c r="H10" i="40"/>
  <c r="AB10" i="40" s="1"/>
  <c r="J10" i="40"/>
  <c r="AC10" i="40" s="1"/>
  <c r="Q60" i="67"/>
  <c r="J10" i="39"/>
  <c r="W10" i="39" s="1"/>
  <c r="H10" i="39"/>
  <c r="U10" i="39" s="1"/>
  <c r="Q52" i="67"/>
  <c r="Q73" i="15"/>
  <c r="Q52" i="15"/>
  <c r="F1" i="15"/>
  <c r="W7" i="97"/>
  <c r="AC7" i="97"/>
  <c r="V48" i="97" s="1"/>
  <c r="I48" i="97" s="1"/>
  <c r="AA7" i="97"/>
  <c r="R48" i="97" s="1"/>
  <c r="S7" i="97"/>
  <c r="AB7" i="96"/>
  <c r="T48" i="96" s="1"/>
  <c r="G48" i="96" s="1"/>
  <c r="U7" i="96"/>
  <c r="N80" i="43"/>
  <c r="D80" i="43"/>
  <c r="AB7" i="97"/>
  <c r="T48" i="97" s="1"/>
  <c r="G48" i="97" s="1"/>
  <c r="U7" i="97"/>
  <c r="S7" i="96"/>
  <c r="AA7" i="96"/>
  <c r="R48" i="96" s="1"/>
  <c r="W7" i="96"/>
  <c r="AC7" i="96"/>
  <c r="V48" i="96" s="1"/>
  <c r="I48" i="96" s="1"/>
  <c r="J78" i="43"/>
  <c r="D78" i="43"/>
  <c r="E72" i="43" s="1"/>
  <c r="B70" i="43" s="1"/>
  <c r="C28" i="43" s="1"/>
  <c r="T15" i="43" s="1"/>
  <c r="V15" i="43" s="1"/>
  <c r="D3" i="97"/>
  <c r="B3" i="97" s="1"/>
  <c r="D3" i="96"/>
  <c r="B3" i="96" s="1"/>
  <c r="E11" i="71"/>
  <c r="E10" i="71" s="1"/>
  <c r="E9" i="71" s="1"/>
  <c r="E8" i="71" s="1"/>
  <c r="E7" i="71" s="1"/>
  <c r="E6" i="71" s="1"/>
  <c r="E5" i="71" s="1"/>
  <c r="V12" i="71"/>
  <c r="N65" i="71"/>
  <c r="N66" i="71"/>
  <c r="E65" i="39"/>
  <c r="C14" i="71"/>
  <c r="D15" i="71"/>
  <c r="B11" i="71"/>
  <c r="B10" i="71" s="1"/>
  <c r="B9" i="71" s="1"/>
  <c r="B8" i="71" s="1"/>
  <c r="B7" i="71" s="1"/>
  <c r="B6" i="71" s="1"/>
  <c r="B5" i="71" s="1"/>
  <c r="S12" i="71"/>
  <c r="AC7" i="34"/>
  <c r="V49" i="34" s="1"/>
  <c r="I49" i="34" s="1"/>
  <c r="U7" i="34"/>
  <c r="AA7" i="34"/>
  <c r="R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01"/>
  <c r="F41" i="67"/>
  <c r="M27" i="15"/>
  <c r="M27" i="67"/>
  <c r="F41" i="15"/>
  <c r="AA10" i="40" l="1"/>
  <c r="W10" i="40"/>
  <c r="Q36" i="43"/>
  <c r="M36" i="43"/>
  <c r="P36" i="43"/>
  <c r="O36" i="43"/>
  <c r="N36" i="43"/>
  <c r="C24" i="101"/>
  <c r="C38" i="101"/>
  <c r="C66" i="101"/>
  <c r="C60" i="101"/>
  <c r="F69" i="67"/>
  <c r="U10" i="40"/>
  <c r="AB10" i="39"/>
  <c r="AC10" i="39"/>
  <c r="I52" i="96"/>
  <c r="J52" i="96" s="1"/>
  <c r="E48" i="96"/>
  <c r="I53" i="96" s="1"/>
  <c r="J53" i="96" s="1"/>
  <c r="R49" i="96"/>
  <c r="I52" i="97"/>
  <c r="J52" i="97" s="1"/>
  <c r="G52" i="97"/>
  <c r="H52" i="97" s="1"/>
  <c r="G53" i="97"/>
  <c r="H53" i="97" s="1"/>
  <c r="G53" i="96"/>
  <c r="H53" i="96" s="1"/>
  <c r="G52" i="96"/>
  <c r="H52" i="96" s="1"/>
  <c r="E48" i="97"/>
  <c r="R49" i="97"/>
  <c r="C38" i="43"/>
  <c r="E38" i="43" s="1"/>
  <c r="C39" i="43"/>
  <c r="G39" i="43" s="1"/>
  <c r="I39" i="43" s="1"/>
  <c r="T12" i="43"/>
  <c r="V12" i="43" s="1"/>
  <c r="T3" i="43"/>
  <c r="V3" i="43" s="1"/>
  <c r="T9" i="43"/>
  <c r="V9" i="43" s="1"/>
  <c r="C42" i="43"/>
  <c r="E42" i="43" s="1"/>
  <c r="C6" i="102" s="1"/>
  <c r="C37" i="43"/>
  <c r="E37" i="43" s="1"/>
  <c r="T6" i="43"/>
  <c r="V6" i="43" s="1"/>
  <c r="T8" i="43"/>
  <c r="V8" i="43" s="1"/>
  <c r="T16" i="43"/>
  <c r="V16" i="43" s="1"/>
  <c r="T13" i="43"/>
  <c r="V13" i="43" s="1"/>
  <c r="C41" i="43"/>
  <c r="E41" i="43" s="1"/>
  <c r="C40" i="43"/>
  <c r="E40" i="43" s="1"/>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F69" i="15"/>
  <c r="M24" i="6"/>
  <c r="I24" i="6" s="1"/>
  <c r="S11" i="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F50" i="102"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C34" i="69"/>
  <c r="D10" i="69"/>
  <c r="C17" i="101"/>
  <c r="D10" i="68"/>
  <c r="C14" i="67"/>
  <c r="C17" i="15"/>
  <c r="C17" i="67"/>
  <c r="D10" i="102"/>
  <c r="G42" i="43" l="1"/>
  <c r="I42" i="43" s="1"/>
  <c r="C10" i="102"/>
  <c r="C8" i="102" s="1"/>
  <c r="D19" i="102"/>
  <c r="D37" i="102" s="1"/>
  <c r="C37" i="102" s="1"/>
  <c r="M19" i="103"/>
  <c r="C118" i="103" s="1"/>
  <c r="S24" i="6"/>
  <c r="L18" i="103"/>
  <c r="E11" i="70"/>
  <c r="C48" i="97"/>
  <c r="C49" i="97"/>
  <c r="C48" i="96"/>
  <c r="C49" i="96"/>
  <c r="E52" i="97"/>
  <c r="F52" i="97" s="1"/>
  <c r="E53" i="97"/>
  <c r="F53" i="97" s="1"/>
  <c r="I53" i="97"/>
  <c r="J53" i="97" s="1"/>
  <c r="E53" i="96"/>
  <c r="F53" i="96" s="1"/>
  <c r="E52" i="96"/>
  <c r="F52" i="96" s="1"/>
  <c r="C25" i="11"/>
  <c r="C22" i="11" s="1"/>
  <c r="C31" i="11" s="1"/>
  <c r="G38" i="43"/>
  <c r="I38" i="43" s="1"/>
  <c r="G37" i="43"/>
  <c r="I37" i="43" s="1"/>
  <c r="H24" i="6"/>
  <c r="R24" i="6" s="1"/>
  <c r="R11" i="1" s="1"/>
  <c r="H22" i="6"/>
  <c r="R22" i="6" s="1"/>
  <c r="R9" i="1" s="1"/>
  <c r="H21" i="6"/>
  <c r="R21" i="6" s="1"/>
  <c r="R8" i="1" s="1"/>
  <c r="E39" i="43"/>
  <c r="G40" i="43"/>
  <c r="I40" i="43" s="1"/>
  <c r="G41" i="43"/>
  <c r="I41" i="43" s="1"/>
  <c r="H25" i="6"/>
  <c r="R25" i="6" s="1"/>
  <c r="R12" i="1" s="1"/>
  <c r="D13" i="71"/>
  <c r="C12"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01"/>
  <c r="C34" i="68"/>
  <c r="C14" i="15"/>
  <c r="C34" i="102"/>
  <c r="C18" i="101" l="1"/>
  <c r="C15" i="101"/>
  <c r="C35" i="102"/>
  <c r="C38" i="102"/>
  <c r="L19" i="103"/>
  <c r="C8" i="68"/>
  <c r="B29" i="1"/>
  <c r="C18" i="12"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F7" i="21" l="1"/>
  <c r="AA7" i="21" s="1"/>
  <c r="R48" i="21" s="1"/>
  <c r="C19" i="101"/>
  <c r="C20" i="101" s="1"/>
  <c r="C26" i="101" s="1"/>
  <c r="C33" i="102"/>
  <c r="C39" i="102" s="1"/>
  <c r="C43" i="102" s="1"/>
  <c r="C21" i="12"/>
  <c r="C22" i="12" s="1"/>
  <c r="C30" i="12" s="1"/>
  <c r="C28" i="12" s="1"/>
  <c r="F26" i="43"/>
  <c r="G26" i="43"/>
  <c r="N370" i="46"/>
  <c r="H26" i="43"/>
  <c r="J26" i="43"/>
  <c r="E26" i="43"/>
  <c r="N94" i="46"/>
  <c r="B116" i="43"/>
  <c r="Z7" i="43"/>
  <c r="J7" i="21"/>
  <c r="W7" i="21" s="1"/>
  <c r="D11" i="71"/>
  <c r="C10"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J63" i="40"/>
  <c r="I65" i="40"/>
  <c r="K48" i="35"/>
  <c r="L48" i="35" s="1"/>
  <c r="M48" i="35" s="1"/>
  <c r="N48" i="35" s="1"/>
  <c r="O48" i="35" s="1"/>
  <c r="H7" i="35" s="1"/>
  <c r="C42" i="102" l="1"/>
  <c r="C41" i="102" s="1"/>
  <c r="C23" i="101"/>
  <c r="C29" i="101" s="1"/>
  <c r="C57" i="101" s="1"/>
  <c r="C64" i="101" s="1"/>
  <c r="C46" i="102"/>
  <c r="C45" i="102" s="1"/>
  <c r="AC7" i="21"/>
  <c r="V48" i="21" s="1"/>
  <c r="I48" i="21" s="1"/>
  <c r="I52" i="21" s="1"/>
  <c r="J52" i="21" s="1"/>
  <c r="C27" i="12"/>
  <c r="C25" i="12" s="1"/>
  <c r="C32" i="12" s="1"/>
  <c r="B2" i="12" s="1"/>
  <c r="B3" i="12"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J7" i="35"/>
  <c r="AC7" i="35" s="1"/>
  <c r="V38" i="35" s="1"/>
  <c r="I38" i="35" s="1"/>
  <c r="C9" i="71"/>
  <c r="D10"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U7" i="35"/>
  <c r="AB7" i="35"/>
  <c r="T38" i="35" s="1"/>
  <c r="G38" i="35" s="1"/>
  <c r="E48" i="21"/>
  <c r="G52" i="21"/>
  <c r="H52" i="21" s="1"/>
  <c r="F7" i="35"/>
  <c r="F35" i="15"/>
  <c r="M21" i="15"/>
  <c r="F35" i="101"/>
  <c r="F35" i="67"/>
  <c r="M21" i="67"/>
  <c r="M21" i="101"/>
  <c r="C49" i="102" l="1"/>
  <c r="C51" i="102" s="1"/>
  <c r="J59" i="101"/>
  <c r="J60" i="101" s="1"/>
  <c r="L46" i="101" s="1"/>
  <c r="J14" i="101"/>
  <c r="J22" i="101" s="1"/>
  <c r="C36" i="101"/>
  <c r="C13" i="101"/>
  <c r="C56" i="101" s="1"/>
  <c r="C65" i="101" s="1"/>
  <c r="Q49" i="101"/>
  <c r="R49" i="21"/>
  <c r="B49" i="80" s="1"/>
  <c r="G53" i="21"/>
  <c r="H53" i="21" s="1"/>
  <c r="C6" i="68"/>
  <c r="J20" i="101"/>
  <c r="J17" i="101" s="1"/>
  <c r="F63" i="101"/>
  <c r="C62" i="101" s="1"/>
  <c r="C59" i="101" s="1"/>
  <c r="C34" i="101"/>
  <c r="C31" i="101" s="1"/>
  <c r="D116" i="43"/>
  <c r="C34" i="43"/>
  <c r="E34" i="43" s="1"/>
  <c r="C31" i="43" s="1"/>
  <c r="E33" i="43"/>
  <c r="C30" i="4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Q48" i="101" l="1"/>
  <c r="J13" i="101"/>
  <c r="J23" i="101" s="1"/>
  <c r="J16" i="101" s="1"/>
  <c r="J25" i="101" s="1"/>
  <c r="C75" i="101"/>
  <c r="Q70" i="101"/>
  <c r="C37" i="101"/>
  <c r="C30" i="101" s="1"/>
  <c r="C39" i="101" s="1"/>
  <c r="C58" i="101"/>
  <c r="C67" i="101" s="1"/>
  <c r="C68" i="101" s="1"/>
  <c r="C71" i="101" s="1"/>
  <c r="C7" i="102"/>
  <c r="C5" i="102" s="1"/>
  <c r="E2" i="76"/>
  <c r="B2"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101"/>
  <c r="B6" i="76"/>
  <c r="C40" i="101" l="1"/>
  <c r="Q56" i="101" s="1"/>
  <c r="Q62" i="101" s="1"/>
  <c r="C80" i="101"/>
  <c r="C79" i="101" s="1"/>
  <c r="Q69" i="101"/>
  <c r="Q68" i="101" s="1"/>
  <c r="C23" i="102"/>
  <c r="C20" i="102"/>
  <c r="C25" i="102" s="1"/>
  <c r="Q67" i="101"/>
  <c r="Q65" i="101"/>
  <c r="Q75" i="101" s="1"/>
  <c r="C6" i="69"/>
  <c r="B2" i="76"/>
  <c r="B3" i="76" s="1"/>
  <c r="B3" i="43"/>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
  <c r="L51" i="67"/>
  <c r="D2" i="33"/>
  <c r="B2" i="101" l="1"/>
  <c r="B3" i="101" s="1"/>
  <c r="C46" i="101"/>
  <c r="C43" i="101"/>
  <c r="C83" i="101"/>
  <c r="C82" i="101" s="1"/>
  <c r="Q47" i="101"/>
  <c r="Q53" i="101" s="1"/>
  <c r="C28" i="102"/>
  <c r="C27" i="102" s="1"/>
  <c r="C22" i="102"/>
  <c r="C102" i="9"/>
  <c r="C21" i="9"/>
  <c r="B3" i="21"/>
  <c r="C7" i="69"/>
  <c r="C5" i="69" s="1"/>
  <c r="C7" i="68"/>
  <c r="C5"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103"/>
  <c r="D2" i="37"/>
  <c r="D2" i="34"/>
  <c r="L51" i="15"/>
  <c r="C20" i="9"/>
  <c r="D2" i="35"/>
  <c r="C19" i="103"/>
  <c r="D2" i="36"/>
  <c r="C102" i="103" l="1"/>
  <c r="C21" i="103"/>
  <c r="C103" i="103"/>
  <c r="C31" i="102"/>
  <c r="C52" i="102" s="1"/>
  <c r="B2" i="102" s="1"/>
  <c r="C103" i="9"/>
  <c r="C23" i="69"/>
  <c r="C20" i="69"/>
  <c r="C23" i="68"/>
  <c r="C20"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0" i="1"/>
  <c r="AO12" i="1"/>
  <c r="B3" i="102"/>
  <c r="C57" i="102" l="1"/>
  <c r="C56" i="102" s="1"/>
  <c r="L46" i="15"/>
  <c r="B2" i="15" s="1"/>
  <c r="B3" i="15" s="1"/>
  <c r="C28" i="68"/>
  <c r="C27" i="68" s="1"/>
  <c r="C25" i="68"/>
  <c r="C22" i="68" s="1"/>
  <c r="C28" i="69"/>
  <c r="C27" i="69" s="1"/>
  <c r="C25" i="69"/>
  <c r="C22" i="69"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C31" i="69"/>
  <c r="C52" i="69" s="1"/>
  <c r="C31" i="68"/>
  <c r="C52" i="68"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B2" i="69"/>
  <c r="B3" i="69" s="1"/>
  <c r="C57" i="69"/>
  <c r="C56" i="69" s="1"/>
  <c r="C42" i="40"/>
  <c r="C43" i="40"/>
  <c r="E47" i="40"/>
  <c r="F47" i="40" s="1"/>
  <c r="E46" i="40"/>
  <c r="F46" i="40" s="1"/>
  <c r="I47" i="40"/>
  <c r="J47" i="40" s="1"/>
  <c r="D20" i="103"/>
  <c r="D19" i="103"/>
  <c r="D19" i="9"/>
  <c r="B3" i="68"/>
  <c r="D103" i="103" l="1"/>
  <c r="G20" i="103"/>
  <c r="D102" i="103"/>
  <c r="D21" i="103"/>
  <c r="D22" i="103"/>
  <c r="G19" i="103"/>
  <c r="G21" i="103" s="1"/>
  <c r="D102" i="9"/>
  <c r="D22" i="9"/>
  <c r="G19" i="9"/>
  <c r="G21" i="9" s="1"/>
  <c r="D21" i="9"/>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B50" i="80" s="1"/>
  <c r="K9" i="80" s="1"/>
  <c r="C32" i="103"/>
  <c r="C35" i="103" s="1"/>
  <c r="C34" i="103" s="1"/>
  <c r="E14" i="74"/>
  <c r="F14" i="74"/>
  <c r="B5" i="74"/>
  <c r="D5" i="74" s="1"/>
  <c r="J4" i="80" l="1"/>
  <c r="L9" i="80"/>
  <c r="M9" i="80" s="1"/>
  <c r="C32" i="9"/>
  <c r="C35" i="9" s="1"/>
  <c r="C34" i="9" s="1"/>
  <c r="L4" i="80"/>
  <c r="G50" i="80"/>
  <c r="K8" i="80" s="1"/>
  <c r="L8" i="80" s="1"/>
  <c r="F50" i="80"/>
  <c r="E50" i="80"/>
  <c r="D50" i="80"/>
  <c r="D49" i="80"/>
  <c r="F49" i="80"/>
  <c r="E49" i="80"/>
  <c r="G49" i="80"/>
  <c r="B6" i="74"/>
  <c r="D6" i="74" s="1"/>
  <c r="K7" i="80" l="1"/>
  <c r="L5" i="80" l="1"/>
  <c r="J5" i="80"/>
  <c r="L6" i="80"/>
  <c r="J6" i="80"/>
  <c r="L7" i="80"/>
  <c r="M7" i="80" s="1"/>
  <c r="J7" i="80"/>
  <c r="M4" i="80" l="1"/>
  <c r="L10" i="80"/>
  <c r="L12" i="80" l="1"/>
  <c r="G14" i="80" s="1"/>
  <c r="N60" i="9" l="1"/>
  <c r="N61" i="9"/>
  <c r="H119" i="103"/>
  <c r="C104" i="103"/>
  <c r="N59" i="9"/>
  <c r="P57" i="9"/>
  <c r="N58" i="9"/>
  <c r="D52" i="9"/>
  <c r="D53" i="9"/>
  <c r="C104" i="9"/>
  <c r="H4" i="52"/>
  <c r="C81" i="103"/>
  <c r="F119" i="103"/>
  <c r="I4" i="52"/>
  <c r="C105" i="9"/>
  <c r="C86" i="103"/>
  <c r="H119" i="9"/>
  <c r="H5" i="52"/>
  <c r="D8" i="52"/>
  <c r="B20" i="72"/>
  <c r="B31" i="72"/>
  <c r="D52" i="103"/>
  <c r="D53" i="103"/>
  <c r="C93" i="103"/>
  <c r="E97" i="9"/>
  <c r="N60" i="103"/>
  <c r="N61" i="103"/>
  <c r="M55" i="9"/>
  <c r="D59" i="9"/>
  <c r="B32" i="72"/>
  <c r="E97" i="103"/>
  <c r="D119" i="103"/>
  <c r="B48" i="72"/>
  <c r="C68" i="9"/>
  <c r="D54" i="9"/>
  <c r="M48" i="9"/>
  <c r="H102" i="103"/>
  <c r="C105" i="103"/>
  <c r="E4" i="52"/>
  <c r="M55" i="103"/>
  <c r="D14" i="53"/>
  <c r="B30" i="72"/>
  <c r="C93" i="9"/>
  <c r="C86" i="9"/>
  <c r="B21" i="72"/>
  <c r="D55" i="9"/>
  <c r="M53" i="9"/>
  <c r="N57" i="9"/>
  <c r="E80" i="9"/>
  <c r="E81" i="9"/>
  <c r="C81" i="9"/>
  <c r="C80" i="9"/>
  <c r="D13" i="53"/>
  <c r="D5" i="53"/>
  <c r="D6" i="53"/>
  <c r="B22" i="72"/>
  <c r="M48" i="103"/>
  <c r="C78" i="103"/>
  <c r="C73" i="103"/>
  <c r="G4" i="52"/>
  <c r="B52" i="72"/>
  <c r="C80" i="103"/>
  <c r="E80" i="103"/>
  <c r="E81" i="103"/>
  <c r="C5" i="74"/>
  <c r="H102" i="9"/>
  <c r="D7" i="53"/>
  <c r="D123" i="103"/>
  <c r="B49" i="72"/>
  <c r="D4" i="52"/>
  <c r="B47" i="72"/>
  <c r="C96" i="103"/>
  <c r="E96" i="103"/>
  <c r="D54" i="103"/>
  <c r="N58" i="103"/>
  <c r="N59" i="103"/>
  <c r="N57" i="103"/>
  <c r="P57" i="103"/>
  <c r="D122" i="9"/>
  <c r="D123" i="9"/>
  <c r="D9" i="52"/>
  <c r="H108" i="103"/>
  <c r="H107" i="103"/>
  <c r="D122" i="103"/>
  <c r="D58" i="9"/>
  <c r="D56" i="9"/>
  <c r="M54" i="9"/>
  <c r="D59" i="103"/>
  <c r="C64" i="103"/>
  <c r="C63" i="103"/>
  <c r="C67" i="103"/>
  <c r="C68" i="103"/>
  <c r="C97" i="9"/>
  <c r="E118" i="9"/>
  <c r="D118" i="9"/>
  <c r="D119" i="9"/>
  <c r="D5" i="52"/>
  <c r="D55" i="103"/>
  <c r="M53" i="103"/>
  <c r="C72" i="9"/>
  <c r="C79" i="9"/>
  <c r="C72" i="103"/>
  <c r="C79" i="103"/>
  <c r="G118" i="103"/>
  <c r="F118" i="103"/>
  <c r="C64" i="9"/>
  <c r="C63" i="9"/>
  <c r="C67" i="9"/>
  <c r="C78" i="9"/>
  <c r="C73" i="9"/>
  <c r="C6" i="74"/>
  <c r="H107" i="9"/>
  <c r="H108" i="9"/>
  <c r="D15" i="53"/>
  <c r="F119" i="9"/>
  <c r="F5" i="52"/>
  <c r="B53" i="72"/>
  <c r="H101" i="103"/>
  <c r="D45" i="103"/>
  <c r="C85" i="103"/>
  <c r="C95" i="103"/>
  <c r="C97" i="103"/>
  <c r="D58" i="103"/>
  <c r="D56" i="103"/>
  <c r="M54" i="103"/>
  <c r="I118" i="9"/>
  <c r="H118" i="9"/>
  <c r="H101" i="9"/>
  <c r="D45" i="9"/>
  <c r="C85" i="9"/>
  <c r="C95" i="9"/>
  <c r="C96" i="9"/>
  <c r="E96" i="9"/>
  <c r="H118" i="103"/>
  <c r="I118" i="103"/>
  <c r="E118" i="103"/>
  <c r="D118" i="103"/>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<sst xmlns="http://schemas.openxmlformats.org/spreadsheetml/2006/main" count="23315" uniqueCount="8772">
  <si>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</si>
  <si>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</si>
  <si>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</si>
  <si>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</si>
  <si>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</si>
  <si>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</si>
  <si>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</si>
  <si>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</si>
  <si>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</si>
  <si>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</si>
  <si>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</si>
  <si>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</si>
  <si>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</si>
  <si>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</si>
  <si>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</si>
  <si>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</si>
  <si>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</si>
  <si>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</si>
  <si>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</si>
  <si>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</si>
  <si>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</si>
  <si>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</si>
  <si>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</si>
  <si>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</si>
  <si>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</si>
  <si>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</si>
  <si>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</si>
  <si>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</si>
  <si>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</si>
  <si>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</si>
  <si>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</si>
  <si>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</si>
  <si>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</si>
  <si>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</si>
  <si>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</si>
  <si>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</si>
  <si>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</si>
  <si>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</si>
  <si>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</si>
  <si>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</si>
  <si>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</si>
  <si>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</si>
  <si>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</si>
  <si>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</si>
  <si>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</si>
  <si>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</si>
  <si>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</si>
  <si>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</si>
  <si>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</si>
  <si>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</si>
  <si>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</si>
  <si>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</si>
  <si>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</si>
  <si>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</si>
  <si>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</si>
  <si>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</si>
  <si>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</si>
  <si>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</si>
  <si>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</si>
  <si>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</si>
  <si>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</si>
  <si>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</si>
  <si>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</si>
  <si>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</si>
  <si>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</si>
  <si>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</si>
  <si>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</si>
  <si>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</si>
  <si>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</si>
  <si>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</si>
  <si>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</si>
  <si>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</si>
  <si>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</si>
  <si>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</si>
  <si>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</si>
  <si>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</si>
  <si>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</si>
  <si>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</si>
  <si>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</si>
  <si>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</si>
  <si>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</si>
  <si>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</si>
  <si>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</si>
  <si>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</si>
  <si>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</si>
  <si>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</si>
  <si>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</si>
  <si>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</si>
  <si>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</si>
  <si>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</si>
  <si>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</si>
  <si>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</si>
  <si>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</si>
  <si>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</si>
  <si>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</si>
  <si>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</si>
  <si>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</si>
  <si>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</si>
  <si>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</si>
  <si>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</si>
  <si>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</si>
  <si>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</si>
  <si>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</si>
  <si>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</si>
  <si>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</si>
  <si>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</si>
  <si>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</si>
  <si>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</si>
  <si>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</si>
  <si>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</si>
  <si>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</si>
  <si>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</si>
  <si>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</si>
  <si>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</si>
  <si>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</si>
  <si>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</si>
  <si>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</si>
  <si>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</si>
  <si>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</si>
  <si>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</si>
  <si>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</si>
  <si>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</si>
  <si>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</si>
  <si>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</si>
  <si>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</si>
  <si>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</si>
  <si>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</si>
  <si>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</si>
  <si>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</si>
  <si>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</si>
  <si>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</si>
  <si>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</si>
  <si>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</si>
  <si>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</si>
  <si>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</si>
  <si>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</si>
  <si>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</si>
  <si>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</si>
  <si>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</si>
  <si>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</si>
  <si>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</si>
  <si>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</si>
  <si>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</si>
  <si>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</si>
  <si>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</si>
  <si>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</si>
  <si>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</si>
  <si>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</si>
  <si>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</si>
  <si>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</si>
  <si>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</si>
  <si>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</si>
  <si>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</si>
  <si>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</si>
  <si>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</si>
  <si>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</si>
  <si>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</si>
  <si>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</si>
  <si>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</si>
  <si>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</si>
  <si>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</si>
  <si>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</si>
  <si>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</si>
  <si>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</si>
  <si>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</si>
  <si>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</si>
  <si>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</si>
  <si>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</si>
  <si>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</si>
  <si>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</si>
  <si>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</si>
  <si>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</si>
  <si>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</si>
  <si>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</si>
  <si>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</si>
  <si>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</si>
  <si>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</si>
  <si>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</si>
  <si>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</si>
  <si>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</si>
  <si>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</si>
  <si>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</si>
  <si>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</si>
  <si>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</si>
  <si>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</si>
  <si>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</si>
  <si>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</si>
  <si>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</si>
  <si>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</si>
  <si>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</si>
  <si>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</si>
  <si>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</si>
  <si>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</si>
  <si>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</si>
  <si>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</si>
  <si>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</si>
  <si>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</si>
  <si>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</si>
  <si>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</si>
  <si>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</si>
  <si>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</si>
  <si>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</si>
  <si>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</si>
  <si>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</si>
  <si>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</si>
  <si>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</si>
  <si>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</si>
  <si>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</si>
  <si>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</si>
  <si>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</si>
  <si>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</si>
  <si>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</si>
  <si>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</si>
  <si>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</si>
  <si>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</si>
  <si>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</si>
  <si>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</si>
  <si>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</si>
  <si>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</si>
  <si>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</si>
  <si>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</si>
  <si>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</si>
  <si>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</si>
  <si>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</si>
  <si>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</si>
  <si>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</si>
  <si>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</si>
  <si>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</si>
  <si>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</si>
  <si>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</si>
  <si>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</si>
  <si>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</si>
  <si>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</si>
  <si>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</si>
  <si>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</si>
  <si>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</si>
  <si>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</si>
  <si>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</si>
  <si>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</si>
  <si>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</si>
  <si>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</si>
  <si>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</si>
  <si>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</si>
  <si>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</si>
  <si>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</si>
  <si>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</si>
  <si>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</si>
  <si>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</si>
  <si>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</si>
  <si>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</si>
  <si>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</si>
  <si>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</si>
  <si>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</si>
  <si>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</si>
  <si>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</si>
  <si>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</si>
  <si>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</si>
  <si>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</si>
  <si>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</si>
  <si>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</si>
  <si>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</si>
  <si>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</si>
  <si>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</si>
  <si>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</si>
  <si>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</si>
  <si>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</si>
  <si>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</si>
  <si>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</si>
  <si>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</si>
  <si>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</si>
  <si>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</si>
  <si>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</si>
  <si>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</si>
  <si>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</si>
  <si>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</si>
  <si>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</si>
  <si>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</si>
  <si>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</si>
  <si>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</si>
  <si>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</si>
  <si>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</si>
  <si>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</si>
  <si>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</si>
  <si>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</si>
  <si>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</si>
  <si>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</si>
  <si>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</si>
  <si>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</si>
  <si>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</si>
  <si>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</si>
  <si>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</si>
  <si>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</si>
  <si>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</si>
  <si>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</si>
  <si>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</si>
  <si>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</si>
  <si>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</si>
  <si>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</si>
  <si>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</si>
  <si>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</si>
  <si>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</si>
  <si>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</si>
  <si>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</si>
  <si>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</si>
  <si>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</si>
  <si>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</si>
  <si>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</si>
  <si>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</si>
  <si>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</si>
  <si>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</si>
  <si>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</si>
  <si>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</si>
  <si>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</si>
  <si>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</si>
  <si>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</si>
  <si>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</si>
  <si>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</si>
  <si>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</si>
  <si>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</si>
  <si>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</si>
  <si>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</si>
  <si>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</si>
  <si>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</si>
  <si>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</si>
  <si>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</si>
  <si>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</si>
  <si>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</si>
  <si>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</si>
  <si>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</si>
  <si>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</si>
  <si>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</si>
  <si>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</si>
  <si>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</si>
  <si>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</si>
  <si>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</si>
  <si>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</si>
  <si>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</si>
  <si>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</si>
  <si>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</si>
  <si>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</si>
  <si>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</si>
  <si>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</si>
  <si>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</si>
  <si>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</si>
  <si>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</si>
  <si>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</si>
  <si>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</si>
  <si>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</si>
  <si>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</si>
  <si>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</si>
  <si>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</si>
  <si>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</si>
  <si>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</si>
  <si>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</si>
  <si>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</si>
  <si>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</si>
  <si>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</si>
  <si>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</si>
  <si>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</si>
  <si>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</si>
  <si>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</si>
  <si>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</si>
  <si>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</si>
  <si>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</si>
  <si>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</si>
  <si>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</si>
  <si>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</si>
  <si>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</si>
  <si>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</si>
  <si>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</si>
  <si>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</si>
  <si>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</si>
  <si>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</si>
  <si>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</si>
  <si>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</si>
  <si>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</si>
  <si>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</si>
  <si>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</si>
  <si>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</si>
  <si>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</si>
  <si>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</si>
  <si>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</si>
  <si>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</si>
  <si>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</si>
  <si>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</si>
  <si>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</si>
  <si>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</si>
  <si>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</si>
  <si>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</si>
  <si>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</si>
  <si>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</si>
  <si>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</si>
  <si>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</si>
  <si>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</si>
  <si>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</si>
  <si>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</si>
  <si>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</si>
  <si>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</si>
  <si>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</si>
  <si>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</si>
  <si>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</si>
  <si>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</si>
  <si>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</si>
  <si>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</si>
  <si>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</si>
  <si>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</si>
  <si>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</si>
  <si>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</si>
  <si>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</si>
  <si>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</si>
  <si>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</si>
  <si>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</si>
  <si>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</si>
  <si>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</si>
  <si>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</si>
  <si>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</si>
  <si>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</si>
  <si>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</si>
  <si>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</si>
  <si>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</si>
  <si>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</si>
  <si>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</si>
  <si>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</si>
  <si>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</si>
  <si>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</si>
  <si>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</si>
  <si>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</si>
  <si>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</si>
  <si>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</si>
  <si>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</si>
  <si>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</si>
  <si>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</si>
  <si>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</si>
  <si>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</si>
  <si>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</si>
  <si>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</si>
  <si>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</si>
  <si>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</si>
  <si>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</si>
  <si>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</si>
  <si>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</si>
  <si>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</si>
  <si>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</si>
  <si>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</si>
  <si>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</si>
  <si>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</si>
  <si>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</si>
  <si>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</si>
  <si>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</si>
  <si>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</si>
  <si>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</si>
  <si>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</si>
  <si>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</si>
  <si>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</si>
  <si>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</si>
  <si>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</si>
  <si>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</si>
  <si>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</si>
  <si>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</si>
  <si>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</si>
  <si>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</si>
  <si>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</si>
  <si>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</si>
  <si>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</si>
  <si>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</si>
  <si>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</si>
  <si>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</si>
  <si>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</si>
  <si>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</si>
  <si>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</si>
  <si>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</si>
  <si>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</si>
  <si>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</si>
  <si>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</si>
  <si>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</si>
  <si>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</si>
  <si>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</si>
  <si>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</si>
  <si>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</si>
  <si>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</si>
  <si>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</si>
  <si>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</si>
  <si>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</si>
  <si>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</si>
  <si>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</si>
  <si>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</si>
  <si>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</si>
  <si>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</si>
  <si>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</si>
  <si>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</si>
  <si>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</si>
  <si>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</si>
  <si>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</si>
  <si>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</si>
  <si>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</si>
  <si>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</si>
  <si>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</si>
  <si>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</si>
  <si>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</si>
  <si>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</si>
  <si>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</si>
  <si>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</si>
  <si>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</si>
  <si>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</si>
  <si>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</si>
  <si>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</si>
  <si>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</si>
  <si>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</si>
  <si>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</si>
  <si>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</si>
  <si>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</si>
  <si>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</si>
  <si>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</si>
  <si>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</si>
  <si>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</si>
  <si>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</si>
  <si>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</si>
  <si>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</si>
  <si>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</si>
  <si>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</si>
  <si>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</si>
  <si>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</si>
  <si>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</si>
  <si>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</si>
  <si>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</si>
  <si>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</si>
  <si>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</si>
  <si>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</si>
  <si>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</si>
  <si>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</si>
  <si>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</si>
  <si>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</si>
  <si>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</si>
  <si>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</si>
  <si>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</si>
  <si>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</si>
  <si>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</si>
  <si>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</si>
  <si>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</si>
  <si>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</si>
  <si>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</si>
  <si>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</si>
  <si>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</si>
  <si>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</si>
  <si>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</si>
  <si>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</si>
  <si>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</si>
  <si>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</si>
  <si>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</si>
  <si>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</si>
  <si>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</si>
  <si>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</si>
  <si>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</si>
  <si>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</si>
  <si>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</si>
  <si>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</si>
  <si>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</si>
  <si>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</si>
  <si>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</si>
  <si>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</si>
  <si>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</si>
  <si>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</si>
  <si>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</si>
  <si>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</si>
  <si>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</si>
  <si>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</si>
  <si>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</si>
  <si>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</si>
  <si>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</si>
  <si>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</si>
  <si>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</si>
  <si>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</si>
  <si>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</si>
  <si>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</si>
  <si>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</si>
  <si>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</si>
  <si>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</si>
  <si>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</si>
  <si>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</si>
  <si>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</si>
  <si>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</si>
  <si>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</si>
  <si>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</si>
  <si>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</si>
  <si>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</si>
  <si>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</si>
  <si>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</si>
  <si>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</si>
  <si>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</si>
  <si>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</si>
  <si>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</si>
  <si>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</si>
  <si>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</si>
  <si>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</si>
  <si>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</si>
  <si>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</si>
  <si>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</si>
  <si>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</si>
  <si>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</si>
  <si>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</si>
  <si>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</si>
  <si>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</si>
  <si>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</si>
  <si>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</si>
  <si>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</si>
  <si>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</si>
  <si>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</si>
  <si>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</si>
  <si>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</si>
  <si>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</si>
  <si>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</si>
  <si>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</si>
  <si>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</si>
  <si>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</si>
  <si>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</si>
  <si>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</si>
  <si>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</si>
  <si>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</si>
  <si>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</si>
  <si>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</si>
  <si>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</si>
  <si>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</si>
  <si>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</si>
  <si>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</si>
  <si>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</si>
  <si>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</si>
  <si>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</si>
  <si>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</si>
  <si>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</si>
  <si>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</si>
  <si>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</si>
  <si>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</si>
  <si>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</si>
  <si>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</si>
  <si>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</si>
  <si>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</si>
  <si>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</si>
  <si>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</si>
  <si>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</si>
  <si>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</si>
  <si>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</si>
  <si>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</si>
  <si>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</si>
  <si>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</si>
  <si>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</si>
  <si>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</si>
  <si>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</si>
  <si>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</si>
  <si>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</si>
  <si>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</si>
  <si>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</si>
  <si>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</si>
  <si>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</si>
  <si>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</si>
  <si>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</si>
  <si>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</si>
  <si>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</si>
  <si>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</si>
  <si>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</si>
  <si>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</si>
  <si>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</si>
  <si>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</si>
  <si>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</si>
  <si>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</si>
  <si>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</si>
  <si>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</si>
  <si>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</si>
  <si>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</si>
  <si>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</si>
  <si>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</si>
  <si>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</si>
  <si>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</si>
  <si>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</si>
  <si>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</si>
  <si>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</si>
  <si>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</si>
  <si>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</si>
  <si>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</si>
  <si>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</si>
  <si>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</si>
  <si>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</si>
  <si>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</si>
  <si>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</si>
  <si>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</si>
  <si>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</si>
  <si>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</si>
  <si>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</si>
  <si>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</si>
  <si>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</si>
  <si>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</si>
  <si>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</si>
  <si>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</si>
  <si>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</si>
  <si>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</si>
  <si>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</si>
  <si>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</si>
  <si>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</si>
  <si>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</si>
  <si>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</si>
  <si>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</si>
  <si>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</si>
  <si>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</si>
  <si>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</si>
  <si>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</si>
  <si>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</si>
  <si>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</si>
  <si>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</si>
  <si>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</si>
  <si>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</si>
  <si>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</si>
  <si>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</si>
  <si>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</si>
  <si>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</si>
  <si>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</si>
  <si>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</si>
  <si>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</si>
  <si>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</si>
  <si>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</si>
  <si>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</si>
  <si>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</si>
  <si>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</si>
  <si>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</si>
  <si>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</si>
  <si>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</si>
  <si>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</si>
  <si>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</si>
  <si>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</si>
  <si>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</si>
  <si>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</si>
  <si>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</si>
  <si>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</si>
  <si>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</si>
  <si>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</si>
  <si>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</si>
  <si>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</si>
  <si>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</si>
  <si>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</si>
  <si>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</si>
  <si>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</si>
  <si>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</si>
  <si>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</si>
  <si>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</si>
  <si>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</si>
  <si>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</si>
  <si>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</si>
  <si>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</si>
  <si>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</si>
  <si>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</si>
  <si>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</si>
  <si>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</si>
  <si>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</si>
  <si>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</si>
  <si>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</si>
  <si>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</si>
  <si>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</si>
  <si>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</si>
  <si>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</si>
  <si>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</si>
  <si>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</si>
  <si>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</si>
  <si>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</si>
  <si>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</si>
  <si>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</si>
  <si>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</si>
  <si>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</si>
  <si>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</si>
  <si>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</si>
  <si>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</si>
  <si>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</si>
  <si>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</si>
  <si>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</si>
  <si>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</si>
  <si>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</si>
  <si>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</si>
  <si>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</si>
  <si>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</si>
  <si>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</si>
  <si>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</si>
  <si>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</si>
  <si>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</si>
  <si>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</si>
  <si>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</si>
  <si>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</si>
  <si>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</si>
  <si>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</si>
  <si>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</si>
  <si>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</si>
  <si>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</si>
  <si>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</si>
  <si>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</si>
  <si>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</si>
  <si>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</si>
  <si>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</si>
  <si>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</si>
  <si>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</si>
  <si>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</si>
  <si>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</si>
  <si>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</si>
  <si>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</si>
  <si>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</si>
  <si>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</si>
  <si>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</si>
  <si>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</si>
  <si>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</si>
  <si>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</si>
  <si>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</si>
  <si>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</si>
  <si>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</si>
  <si>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</si>
  <si>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</si>
  <si>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</si>
  <si>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</si>
  <si>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</si>
  <si>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</si>
  <si>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</si>
  <si>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</si>
  <si>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</si>
  <si>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</si>
  <si>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</si>
  <si>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</si>
  <si>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</si>
  <si>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</si>
  <si>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</si>
  <si>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</si>
  <si>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</si>
  <si>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</si>
  <si>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</si>
  <si>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</si>
  <si>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</si>
  <si>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</si>
  <si>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</si>
  <si>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</si>
  <si>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</si>
  <si>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</si>
  <si>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</si>
  <si>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</si>
  <si>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</si>
  <si>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</si>
  <si>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</si>
  <si>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</si>
  <si>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</si>
  <si>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</si>
  <si>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</si>
  <si>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</si>
  <si>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</si>
  <si>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</si>
  <si>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</si>
  <si>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</si>
  <si>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</si>
  <si>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</si>
  <si>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</si>
  <si>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</si>
  <si>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</si>
  <si>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</si>
  <si>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</si>
  <si>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</si>
  <si>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</si>
  <si>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</si>
  <si>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</si>
  <si>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</si>
  <si>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</si>
  <si>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</si>
  <si>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</si>
  <si>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</si>
  <si>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</si>
  <si>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</si>
  <si>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</si>
  <si>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</si>
  <si>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</si>
  <si>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</si>
  <si>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</si>
  <si>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</si>
  <si>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</si>
  <si>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</si>
  <si>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</si>
  <si>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</si>
  <si>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</si>
  <si>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</si>
  <si>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</si>
  <si>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</si>
  <si>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</si>
  <si>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</si>
  <si>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</si>
  <si>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</si>
  <si>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</si>
  <si>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</si>
  <si>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</si>
  <si>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</si>
  <si>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</si>
  <si>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</si>
  <si>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</si>
  <si>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</si>
  <si>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</si>
  <si>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</si>
  <si>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</si>
  <si>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</si>
  <si>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</si>
  <si>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</si>
  <si>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</si>
  <si>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</si>
  <si>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</si>
  <si>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</si>
  <si>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</si>
  <si>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</si>
  <si>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</si>
  <si>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</si>
  <si>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</si>
  <si>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</si>
  <si>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</si>
  <si>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</si>
  <si>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</si>
  <si>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</si>
  <si>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</si>
  <si>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</si>
  <si>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</si>
  <si>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</si>
  <si>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</si>
  <si>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</si>
  <si>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</si>
  <si>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</si>
  <si>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</si>
  <si>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</si>
  <si>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</si>
  <si>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</si>
  <si>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</si>
  <si>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</si>
  <si>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</si>
  <si>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</si>
  <si>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</si>
  <si>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</si>
  <si>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</si>
  <si>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</si>
  <si>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</si>
  <si>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</si>
  <si>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</si>
  <si>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</si>
  <si>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</si>
  <si>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</si>
  <si>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</si>
  <si>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</si>
  <si>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</si>
  <si>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</si>
  <si>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</si>
  <si>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</si>
  <si>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</si>
  <si>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</si>
  <si>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</si>
  <si>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</si>
  <si>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</si>
  <si>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</si>
  <si>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</si>
  <si>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</si>
  <si>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</si>
  <si>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</si>
  <si>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</si>
  <si>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</si>
  <si>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</si>
  <si>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</si>
  <si>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</si>
  <si>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</si>
  <si>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</si>
  <si>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</si>
  <si>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</si>
  <si>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</si>
  <si>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</si>
  <si>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</si>
  <si>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</si>
  <si>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</si>
  <si>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</si>
  <si>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</si>
  <si>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</si>
  <si>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</si>
  <si>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</si>
  <si>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</si>
  <si>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</si>
  <si>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</si>
  <si>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</si>
  <si>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</si>
  <si>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</si>
  <si>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</si>
  <si>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</si>
  <si>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</si>
  <si>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</si>
  <si>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</si>
  <si>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</si>
  <si>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</si>
  <si>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</si>
  <si>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</si>
  <si>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</si>
  <si>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</si>
  <si>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</si>
  <si>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</si>
  <si>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</si>
  <si>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</si>
  <si>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</si>
  <si>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</si>
  <si>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</si>
  <si>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</si>
  <si>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</si>
  <si>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</si>
  <si>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</si>
  <si>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</si>
  <si>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</si>
  <si>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</si>
  <si>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</si>
  <si>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</si>
  <si>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</si>
  <si>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</si>
  <si>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</si>
  <si>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</si>
  <si>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</si>
  <si>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</si>
  <si>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</si>
  <si>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</si>
  <si>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</si>
  <si>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</si>
  <si>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</si>
  <si>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</si>
  <si>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</si>
  <si>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</si>
  <si>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</si>
  <si>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</si>
  <si>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</si>
  <si>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</si>
  <si>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</si>
  <si>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</si>
  <si>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</si>
  <si>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</si>
  <si>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</si>
  <si>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</si>
  <si>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</si>
  <si>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</si>
  <si>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</si>
  <si>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</si>
  <si>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</si>
  <si>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</si>
  <si>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</si>
  <si>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</si>
  <si>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</si>
  <si>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</si>
  <si>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</si>
  <si>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</si>
  <si>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</si>
  <si>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</si>
  <si>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</si>
  <si>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</si>
  <si>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</si>
  <si>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</si>
  <si>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</si>
  <si>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</si>
  <si>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</si>
  <si>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</si>
  <si>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</si>
  <si>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</si>
  <si>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</si>
  <si>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</si>
  <si>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</si>
  <si>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</si>
  <si>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</si>
  <si>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</si>
  <si>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</si>
  <si>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</si>
  <si>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</si>
  <si>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</si>
  <si>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</si>
  <si>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</si>
  <si>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</si>
  <si>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</si>
  <si>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</si>
  <si>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</si>
  <si>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</si>
  <si>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</si>
  <si>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</si>
  <si>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</si>
  <si>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</si>
  <si>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</si>
  <si>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</si>
  <si>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</si>
  <si>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</si>
  <si>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</si>
  <si>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</si>
  <si>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</si>
  <si>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</si>
  <si>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</si>
  <si>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</si>
  <si>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</si>
  <si>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</si>
  <si>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</si>
  <si>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</si>
  <si>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</si>
  <si>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</si>
  <si>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</si>
  <si>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</si>
  <si>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</si>
  <si>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</si>
  <si>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</si>
  <si>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</si>
  <si>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</si>
  <si>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</si>
  <si>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</si>
  <si>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</si>
  <si>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</si>
  <si>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</si>
  <si>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</si>
  <si>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</si>
  <si>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</si>
  <si>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</si>
  <si>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</si>
  <si>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</si>
  <si>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</si>
  <si>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</si>
  <si>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</si>
  <si>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</si>
  <si>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</si>
  <si>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</si>
  <si>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</si>
  <si>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</si>
  <si>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</si>
  <si>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</si>
  <si>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</si>
  <si>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</si>
  <si>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</si>
  <si>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</si>
  <si>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</si>
  <si>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</si>
  <si>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</si>
  <si>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</si>
  <si>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</si>
  <si>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</si>
  <si>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</si>
  <si>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</si>
  <si>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</si>
  <si>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</si>
  <si>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</si>
  <si>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</si>
  <si>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</si>
  <si>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</si>
  <si>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</si>
  <si>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</si>
  <si>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</si>
  <si>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</si>
  <si>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</si>
  <si>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</si>
  <si>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</si>
  <si>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</si>
  <si>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</si>
  <si>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</si>
  <si>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</si>
  <si>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</si>
  <si>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</si>
  <si>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</si>
  <si>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</si>
  <si>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</si>
  <si>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</si>
  <si>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</si>
  <si>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</si>
  <si>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</si>
  <si>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</si>
  <si>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</si>
  <si>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</si>
  <si>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</si>
  <si>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</si>
  <si>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</si>
  <si>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</si>
  <si>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</si>
  <si>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</si>
  <si>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</si>
  <si>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</si>
  <si>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</si>
  <si>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</si>
  <si>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</si>
  <si>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</si>
  <si>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</si>
  <si>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</si>
  <si>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</si>
  <si>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</si>
  <si>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</si>
  <si>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</si>
  <si>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</si>
  <si>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</si>
  <si>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</si>
  <si>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</si>
  <si>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</si>
  <si>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</si>
  <si>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</si>
  <si>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</si>
  <si>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</si>
  <si>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</si>
  <si>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</si>
  <si>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</si>
  <si>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</si>
  <si>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</si>
  <si>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</si>
  <si>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</si>
  <si>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</si>
  <si>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</si>
  <si>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</si>
  <si>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</si>
  <si>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</si>
  <si>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</si>
  <si>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</si>
  <si>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</si>
  <si>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</si>
  <si>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</si>
  <si>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</si>
  <si>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</si>
  <si>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</si>
  <si>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</si>
  <si>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</si>
  <si>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</si>
  <si>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</si>
  <si>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</si>
  <si>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</si>
  <si>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</si>
  <si>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</si>
  <si>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</si>
  <si>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</si>
  <si>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</si>
  <si>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</si>
  <si>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</si>
  <si>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</si>
  <si>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</si>
  <si>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</si>
  <si>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</si>
  <si>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</si>
  <si>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</si>
  <si>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</si>
  <si>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</si>
  <si>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</si>
  <si>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</si>
  <si>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</si>
  <si>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</si>
  <si>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</si>
  <si>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</si>
  <si>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</si>
  <si>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</si>
  <si>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</si>
  <si>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</si>
  <si>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</si>
  <si>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</si>
  <si>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</si>
  <si>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</si>
  <si>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</si>
  <si>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</si>
  <si>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</si>
  <si>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</si>
  <si>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</si>
  <si>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</si>
  <si>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</si>
  <si>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</si>
  <si>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</si>
  <si>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</si>
  <si>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</si>
  <si>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</si>
  <si>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</si>
  <si>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</si>
  <si>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</si>
  <si>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</si>
  <si>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</si>
  <si>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</si>
  <si>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</si>
  <si>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</si>
  <si>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</si>
  <si>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</si>
  <si>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</si>
  <si>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</si>
  <si>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</si>
  <si>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</si>
  <si>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</si>
  <si>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</si>
  <si>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</si>
  <si>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</si>
  <si>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</si>
  <si>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</si>
  <si>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</si>
  <si>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</si>
  <si>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</si>
  <si>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</si>
  <si>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</si>
  <si>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</si>
  <si>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</si>
  <si>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</si>
  <si>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</si>
  <si>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</si>
  <si>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</si>
  <si>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</si>
  <si>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</si>
  <si>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</si>
  <si>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</si>
  <si>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</si>
  <si>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</si>
  <si>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</si>
  <si>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</si>
  <si>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</si>
  <si>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</si>
  <si>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</si>
  <si>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</si>
  <si>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</si>
  <si>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</si>
  <si>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</si>
  <si>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</si>
  <si>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</si>
  <si>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</si>
  <si>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</si>
  <si>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</si>
  <si>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</si>
  <si>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</si>
  <si>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</si>
  <si>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</si>
  <si>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</si>
  <si>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</si>
  <si>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</si>
  <si>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</si>
  <si>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</si>
  <si>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</si>
  <si>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</si>
  <si>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</si>
  <si>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</si>
  <si>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</si>
  <si>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</si>
  <si>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</si>
  <si>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</si>
  <si>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</si>
  <si>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</si>
  <si>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</si>
  <si>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</si>
  <si>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</si>
  <si>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</si>
  <si>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</si>
  <si>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</si>
  <si>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</si>
  <si>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</si>
  <si>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</si>
  <si>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</si>
  <si>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</si>
  <si>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</si>
  <si>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</si>
  <si>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</si>
  <si>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</si>
  <si>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</si>
  <si>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</si>
  <si>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</si>
  <si>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</si>
  <si>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</si>
  <si>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</si>
  <si>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</si>
  <si>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</si>
  <si>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</si>
  <si>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</si>
  <si>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</si>
  <si>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</si>
  <si>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</si>
  <si>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</si>
  <si>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</si>
  <si>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</si>
  <si>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</si>
  <si>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</si>
  <si>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</si>
  <si>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</si>
  <si>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</si>
  <si>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</si>
  <si>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</si>
  <si>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</si>
  <si>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</si>
  <si>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</si>
  <si>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</si>
  <si>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</si>
  <si>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</si>
  <si>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</si>
  <si>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</si>
  <si>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</si>
  <si>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</si>
  <si>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</si>
  <si>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</si>
  <si>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</si>
  <si>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</si>
  <si>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</si>
  <si>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</si>
  <si>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</si>
  <si>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</si>
  <si>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</si>
  <si>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</si>
  <si>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</si>
  <si>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</si>
  <si>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</si>
  <si>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</si>
  <si>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</si>
  <si>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</si>
  <si>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</si>
  <si>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</si>
  <si>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</si>
  <si>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</si>
  <si>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</si>
  <si>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</si>
  <si>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</si>
  <si>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</si>
  <si>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</si>
  <si>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</si>
  <si>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</si>
  <si>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</si>
  <si>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</si>
  <si>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</si>
  <si>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</si>
  <si>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</si>
  <si>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</si>
  <si>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</si>
  <si>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</si>
  <si>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</si>
  <si>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</si>
  <si>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</si>
  <si>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</si>
  <si>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</si>
  <si>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</si>
  <si>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</si>
  <si>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</si>
  <si>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</si>
  <si>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</si>
  <si>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</si>
  <si>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</si>
  <si>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</si>
  <si>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</si>
  <si>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</si>
  <si>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</si>
  <si>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</si>
  <si>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</si>
  <si>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</si>
  <si>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</si>
  <si>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</si>
  <si>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</si>
  <si>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</si>
  <si>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</si>
  <si>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</si>
  <si>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</si>
  <si>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</si>
  <si>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</si>
  <si>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</si>
  <si>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</si>
  <si>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</si>
  <si>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</si>
  <si>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</si>
  <si>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</si>
  <si>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</si>
  <si>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</si>
  <si>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</si>
  <si>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</si>
  <si>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</si>
  <si>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</si>
  <si>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</si>
  <si>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</si>
  <si>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</si>
  <si>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</si>
  <si>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</si>
  <si>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</si>
  <si>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</si>
  <si>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</si>
  <si>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</si>
  <si>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</si>
  <si>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</si>
  <si>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</si>
  <si>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</si>
  <si>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</si>
  <si>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</si>
  <si>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</si>
  <si>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</si>
  <si>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</si>
  <si>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</si>
  <si>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</si>
  <si>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</si>
  <si>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</si>
  <si>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</si>
  <si>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</si>
  <si>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</si>
  <si>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</si>
  <si>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</si>
  <si>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</si>
  <si>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</si>
  <si>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</si>
  <si>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</si>
  <si>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</si>
  <si>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</si>
  <si>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</si>
  <si>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</si>
  <si>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</si>
  <si>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</si>
  <si>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</si>
  <si>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</si>
  <si>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</si>
  <si>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</si>
  <si>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</si>
  <si>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</si>
  <si>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</si>
  <si>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</si>
  <si>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</si>
  <si>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</si>
  <si>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</si>
  <si>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</si>
  <si>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</si>
  <si>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</si>
  <si>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</si>
  <si>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</si>
  <si>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</si>
  <si>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</si>
  <si>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</si>
  <si>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</si>
  <si>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</si>
  <si>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</si>
  <si>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</si>
  <si>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</si>
  <si>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</si>
  <si>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</si>
  <si>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</si>
  <si>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</si>
  <si>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</si>
  <si>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</si>
  <si>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</si>
  <si>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</si>
  <si>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</si>
  <si>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</si>
  <si>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</si>
  <si>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</si>
  <si>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</si>
  <si>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</si>
  <si>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</si>
  <si>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</si>
  <si>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</si>
  <si>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</si>
  <si>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</si>
  <si>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</si>
  <si>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</si>
  <si>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</si>
  <si>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</si>
  <si>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</si>
  <si>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</si>
  <si>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</si>
  <si>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</si>
  <si>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</si>
  <si>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</si>
  <si>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</si>
  <si>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</si>
  <si>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</si>
  <si>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</si>
  <si>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</si>
  <si>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</si>
  <si>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</si>
  <si>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</si>
  <si>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</si>
  <si>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</si>
  <si>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</si>
  <si>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</si>
  <si>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</si>
  <si>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</si>
  <si>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</si>
  <si>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</si>
  <si>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</si>
  <si>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</si>
  <si>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</si>
  <si>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</si>
  <si>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</si>
  <si>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</si>
  <si>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</si>
  <si>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</si>
  <si>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</si>
  <si>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</si>
  <si>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</si>
  <si>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</si>
  <si>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</si>
  <si>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</si>
  <si>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</si>
  <si>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</si>
  <si>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</si>
  <si>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</si>
  <si>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</si>
  <si>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</si>
  <si>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</si>
  <si>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</si>
  <si>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</si>
  <si>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</si>
  <si>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</si>
  <si>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</si>
  <si>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</si>
  <si>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</si>
  <si>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</si>
  <si>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</si>
  <si>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</si>
  <si>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</si>
  <si>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</si>
  <si>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</si>
  <si>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</si>
  <si>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</si>
  <si>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</si>
  <si>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</si>
  <si>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</si>
  <si>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</si>
  <si>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</si>
  <si>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</si>
  <si>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</si>
  <si>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</si>
  <si>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</si>
  <si>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</si>
  <si>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</si>
  <si>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</si>
  <si>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</si>
  <si>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</si>
  <si>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</si>
  <si>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</si>
  <si>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</si>
  <si>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</si>
  <si>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</si>
  <si>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</si>
  <si>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</si>
  <si>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</si>
  <si>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</si>
  <si>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</si>
  <si>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</si>
  <si>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</si>
  <si>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</si>
  <si>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</si>
  <si>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</si>
  <si>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</si>
  <si>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</si>
  <si>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</si>
  <si>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</si>
  <si>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</si>
  <si>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</si>
  <si>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</si>
  <si>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</si>
  <si>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</si>
  <si>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</si>
  <si>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</si>
  <si>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</si>
  <si>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</si>
  <si>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</si>
  <si>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</si>
  <si>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</si>
  <si>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</si>
  <si>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</si>
  <si>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</si>
  <si>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</si>
  <si>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</si>
  <si>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</si>
  <si>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</si>
  <si>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</si>
  <si>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</si>
  <si>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</si>
  <si>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</si>
  <si>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</si>
  <si>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</si>
  <si>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</si>
  <si>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</si>
  <si>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</si>
  <si>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</si>
  <si>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</si>
  <si>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</si>
  <si>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</si>
  <si>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</si>
  <si>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</si>
  <si>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</si>
  <si>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</si>
  <si>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</si>
  <si>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</si>
  <si>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</si>
  <si>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</si>
  <si>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</si>
  <si>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</si>
  <si>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</si>
  <si>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</si>
  <si>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</si>
  <si>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</si>
  <si>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</si>
  <si>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</si>
  <si>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</si>
  <si>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</si>
  <si>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</si>
  <si>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</si>
  <si>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</si>
  <si>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</si>
  <si>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</si>
  <si>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</si>
  <si>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</si>
  <si>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</si>
  <si>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</si>
  <si>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</si>
  <si>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</si>
  <si>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</si>
  <si>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</si>
  <si>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</si>
  <si>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</si>
  <si>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</si>
  <si>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</si>
  <si>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</si>
  <si>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</si>
  <si>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</si>
  <si>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</si>
  <si>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</si>
  <si>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</si>
  <si>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</si>
  <si>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</si>
  <si>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</si>
  <si>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</si>
  <si>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</si>
  <si>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</si>
  <si>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</si>
  <si>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</si>
  <si>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</si>
  <si>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</si>
  <si>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</si>
  <si>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</si>
  <si>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</si>
  <si>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</si>
  <si>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</si>
  <si>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</si>
  <si>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</si>
  <si>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</si>
  <si>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</si>
  <si>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</si>
  <si>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</si>
  <si>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</si>
  <si>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</si>
  <si>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</si>
  <si>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</si>
  <si>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</si>
  <si>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</si>
  <si>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</si>
  <si>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</si>
  <si>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</si>
  <si>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</si>
  <si>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</si>
  <si>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</si>
  <si>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</si>
  <si>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</si>
  <si>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</si>
  <si>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</si>
  <si>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</si>
  <si>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</si>
  <si>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</si>
  <si>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</si>
  <si>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</si>
  <si>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</si>
  <si>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</si>
  <si>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</si>
  <si>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</si>
  <si>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</si>
  <si>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</si>
  <si>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</si>
  <si>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</si>
  <si>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</si>
  <si>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</si>
  <si>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</si>
  <si>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</si>
  <si>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</si>
  <si>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</si>
  <si>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</si>
  <si>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</si>
  <si>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</si>
  <si>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</si>
  <si>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</si>
  <si>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</si>
  <si>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</si>
  <si>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</si>
  <si>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</si>
  <si>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</si>
  <si>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</si>
  <si>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</si>
  <si>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</si>
  <si>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</si>
  <si>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</si>
  <si>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</si>
  <si>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</si>
  <si>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</si>
  <si>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</si>
  <si>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</si>
  <si>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</si>
  <si>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</si>
  <si>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</si>
  <si>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</si>
  <si>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</si>
  <si>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</si>
  <si>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</si>
  <si>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</si>
  <si>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</si>
  <si>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</si>
  <si>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</si>
  <si>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</si>
  <si>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</si>
  <si>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</si>
  <si>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</si>
  <si>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</si>
  <si>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</si>
  <si>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</si>
  <si>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</si>
  <si>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</si>
  <si>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</si>
  <si>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</si>
  <si>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</si>
  <si>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</si>
  <si>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</si>
  <si>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</si>
  <si>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</si>
  <si>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</si>
  <si>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</si>
  <si>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</si>
  <si>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</si>
  <si>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</si>
  <si>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</si>
  <si>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</si>
  <si>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</si>
  <si>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</si>
  <si>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</si>
  <si>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</si>
  <si>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</si>
  <si>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</si>
  <si>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</si>
  <si>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</si>
  <si>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</si>
  <si>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</si>
  <si>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</si>
  <si>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</si>
  <si>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</si>
  <si>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</si>
  <si>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</si>
  <si>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</si>
  <si>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</si>
  <si>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</si>
  <si>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</si>
  <si>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</si>
  <si>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</si>
  <si>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</si>
  <si>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</si>
  <si>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</si>
  <si>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</si>
  <si>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</si>
  <si>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</si>
  <si>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</si>
  <si>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</si>
  <si>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</si>
  <si>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</si>
  <si>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</si>
  <si>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</si>
  <si>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</si>
  <si>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</si>
  <si>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</si>
  <si>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</si>
  <si>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</si>
  <si>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</si>
  <si>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</si>
  <si>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</si>
  <si>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</si>
  <si>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</si>
  <si>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</si>
  <si>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</si>
  <si>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</si>
  <si>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</si>
  <si>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</si>
  <si>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</si>
  <si>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</si>
  <si>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</si>
  <si>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</si>
  <si>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</si>
  <si>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</si>
  <si>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</si>
  <si>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</si>
  <si>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</si>
  <si>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</si>
  <si>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</si>
  <si>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</si>
  <si>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</si>
  <si>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</si>
  <si>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</si>
  <si>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</si>
  <si>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</si>
  <si>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</si>
  <si>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</si>
  <si>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</si>
  <si>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</si>
  <si>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</si>
  <si>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</si>
  <si>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</si>
  <si>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</si>
  <si>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</si>
  <si>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</si>
  <si>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</si>
  <si>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</si>
  <si>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</si>
  <si>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</si>
  <si>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</si>
  <si>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</si>
  <si>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</si>
  <si>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</si>
  <si>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</si>
  <si>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</si>
  <si>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</si>
  <si>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</si>
  <si>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</si>
  <si>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</si>
  <si>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</si>
  <si>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</si>
  <si>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</si>
  <si>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</si>
  <si>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</si>
  <si>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</si>
  <si>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</si>
  <si>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</si>
  <si>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</si>
  <si>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</si>
  <si>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</si>
  <si>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</si>
  <si>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</si>
  <si>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</si>
  <si>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</si>
  <si>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</si>
  <si>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</si>
  <si>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</si>
  <si>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</si>
  <si>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</si>
  <si>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</si>
  <si>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</si>
  <si>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</si>
  <si>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</si>
  <si>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</si>
  <si>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</si>
  <si>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</si>
  <si>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</si>
  <si>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</si>
  <si>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</si>
  <si>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</si>
  <si>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</si>
  <si>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</si>
  <si>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</si>
  <si>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</si>
  <si>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</si>
  <si>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</si>
  <si>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</si>
  <si>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</si>
  <si>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</si>
  <si>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</si>
  <si>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</si>
  <si>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</si>
  <si>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</si>
  <si>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</si>
  <si>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</si>
  <si>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</si>
  <si>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</si>
  <si>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</si>
  <si>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</si>
  <si>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</si>
  <si>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</si>
  <si>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</si>
  <si>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</si>
  <si>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</si>
  <si>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</si>
  <si>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</si>
  <si>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</si>
  <si>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</si>
  <si>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</si>
  <si>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</si>
  <si>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</si>
  <si>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</si>
  <si>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</si>
  <si>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</si>
  <si>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</si>
  <si>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</si>
  <si>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</si>
  <si>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</si>
  <si>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</si>
  <si>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</si>
  <si>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</si>
  <si>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</si>
  <si>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</si>
  <si>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</si>
  <si>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</si>
  <si>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</si>
  <si>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</si>
  <si>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</si>
  <si>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</si>
  <si>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</si>
  <si>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</si>
  <si>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</si>
  <si>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</si>
  <si>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</si>
  <si>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</si>
  <si>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</si>
  <si>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</si>
  <si>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</si>
  <si>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</si>
  <si>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</si>
  <si>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</si>
  <si>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</si>
  <si>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</si>
  <si>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</si>
  <si>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</si>
  <si>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</si>
  <si>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</si>
  <si>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</si>
  <si>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</si>
  <si>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</si>
  <si>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</si>
  <si>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</si>
  <si>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</si>
  <si>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</si>
  <si>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</si>
  <si>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</si>
  <si>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</si>
  <si>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</si>
  <si>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</si>
  <si>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</si>
  <si>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</si>
  <si>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</si>
  <si>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</si>
  <si>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</si>
  <si>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</si>
  <si>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</si>
  <si>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</si>
  <si>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</si>
  <si>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</si>
  <si>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</si>
  <si>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</si>
  <si>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</si>
  <si>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</si>
  <si>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</si>
  <si>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</si>
  <si>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</si>
  <si>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</si>
  <si>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</si>
  <si>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</si>
  <si>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</si>
  <si>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</si>
  <si>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</si>
  <si>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</si>
  <si>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</si>
  <si>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</si>
  <si>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</si>
  <si>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</si>
  <si>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</si>
  <si>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</si>
  <si>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</si>
  <si>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</si>
  <si>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</si>
  <si>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</si>
  <si>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</si>
  <si>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</si>
  <si>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</si>
  <si>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</si>
  <si>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</si>
  <si>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</si>
  <si>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</si>
  <si>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</si>
  <si>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</si>
  <si>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</si>
  <si>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</si>
  <si>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</si>
  <si>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</si>
  <si>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</si>
  <si>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</si>
  <si>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</si>
  <si>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</si>
  <si>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</si>
  <si>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</si>
  <si>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</si>
  <si>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</si>
  <si>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</si>
  <si>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</si>
  <si>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</si>
  <si>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</si>
  <si>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</si>
  <si>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</si>
  <si>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</si>
  <si>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</si>
  <si>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</si>
  <si>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</si>
  <si>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</si>
  <si>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</si>
  <si>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</si>
  <si>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</si>
  <si>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</si>
  <si>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</si>
  <si>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</si>
  <si>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</si>
  <si>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</si>
  <si>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</si>
  <si>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</si>
  <si>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</si>
  <si>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</si>
  <si>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</si>
  <si>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</si>
  <si>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</si>
  <si>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</si>
  <si>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</si>
  <si>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</si>
  <si>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</si>
  <si>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</si>
  <si>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</si>
  <si>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</si>
  <si>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</si>
  <si>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</si>
  <si>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</si>
  <si>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</si>
  <si>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</si>
  <si>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</si>
  <si>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</si>
  <si>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</si>
  <si>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</si>
  <si>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</si>
  <si>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</si>
  <si>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</si>
  <si>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</si>
  <si>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</si>
  <si>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</si>
  <si>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</si>
  <si>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</si>
  <si>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</si>
  <si>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</si>
  <si>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</si>
  <si>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</si>
  <si>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</si>
  <si>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</si>
  <si>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</si>
  <si>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</si>
  <si>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</si>
  <si>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</si>
  <si>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</si>
  <si>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</si>
  <si>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</si>
  <si>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</si>
  <si>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</si>
  <si>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</si>
  <si>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</si>
  <si>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</si>
  <si>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</si>
  <si>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</si>
  <si>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</si>
  <si>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</si>
  <si>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</si>
  <si>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</si>
  <si>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</si>
  <si>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</si>
  <si>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</si>
  <si>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</si>
  <si>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</si>
  <si>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</si>
  <si>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</si>
  <si>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</si>
  <si>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</si>
  <si>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</si>
  <si>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</si>
  <si>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</si>
  <si>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</si>
  <si>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</si>
  <si>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</si>
  <si>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</si>
  <si>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</si>
  <si>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</si>
  <si>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</si>
  <si>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</si>
  <si>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</si>
  <si>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</si>
  <si>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</si>
  <si>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</si>
  <si>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</si>
  <si>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</si>
  <si>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</si>
  <si>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</si>
  <si>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</si>
  <si>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</si>
  <si>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</si>
  <si>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</si>
  <si>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</si>
  <si>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</si>
  <si>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</si>
  <si>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</si>
  <si>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</si>
  <si>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</si>
  <si>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</si>
  <si>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</si>
  <si>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</si>
  <si>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</si>
  <si>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</si>
  <si>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</si>
  <si>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</si>
  <si>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</si>
  <si>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</si>
  <si>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</si>
  <si>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</si>
  <si>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</si>
  <si>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</si>
  <si>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</si>
  <si>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</si>
  <si>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</si>
  <si>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</si>
  <si>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</si>
  <si>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</si>
  <si>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</si>
  <si>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</si>
  <si>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</si>
  <si>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</si>
  <si>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</si>
  <si>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</si>
  <si>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</si>
  <si>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</si>
  <si>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</si>
  <si>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</si>
  <si>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</si>
  <si>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</si>
  <si>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</si>
  <si>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</si>
  <si>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</si>
  <si>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</si>
  <si>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</si>
  <si>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</si>
  <si>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</si>
  <si>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</si>
  <si>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</si>
  <si>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</si>
  <si>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</si>
  <si>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</si>
  <si>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</si>
  <si>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</si>
  <si>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</si>
  <si>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</si>
  <si>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</si>
  <si>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</si>
  <si>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</si>
  <si>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</si>
  <si>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</si>
  <si>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</si>
  <si>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</si>
  <si>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</si>
  <si>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</si>
  <si>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</si>
  <si>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</si>
  <si>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</si>
  <si>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</si>
  <si>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</si>
  <si>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</si>
  <si>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</si>
  <si>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</si>
  <si>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</si>
  <si>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</si>
  <si>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</si>
  <si>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</si>
  <si>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</si>
  <si>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</si>
  <si>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</si>
  <si>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</si>
  <si>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</si>
  <si>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</si>
  <si>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</si>
  <si>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</si>
  <si>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</si>
  <si>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</si>
  <si>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</si>
  <si>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</si>
  <si>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</si>
  <si>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</si>
  <si>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</si>
  <si>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</si>
  <si>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</si>
  <si>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</si>
  <si>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</si>
  <si>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</si>
  <si>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</si>
  <si>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</si>
  <si>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</si>
  <si>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</si>
  <si>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</si>
  <si>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</si>
  <si>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</si>
  <si>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</si>
  <si>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</si>
  <si>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</si>
  <si>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</si>
  <si>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</si>
  <si>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</si>
  <si>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</si>
  <si>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</si>
  <si>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</si>
  <si>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</si>
  <si>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</si>
  <si>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</si>
  <si>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</si>
  <si>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</si>
  <si>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</si>
  <si>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</si>
  <si>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</si>
  <si>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</si>
  <si>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</si>
  <si>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</si>
  <si>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</si>
  <si>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</si>
  <si>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</si>
  <si>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</si>
  <si>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</si>
  <si>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</si>
  <si>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</si>
  <si>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</si>
  <si>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</si>
  <si>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</si>
  <si>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</si>
  <si>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</si>
  <si>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</si>
  <si>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</si>
  <si>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</si>
  <si>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</si>
  <si>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</si>
  <si>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</si>
  <si>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</si>
  <si>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</si>
  <si>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</si>
  <si>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</si>
  <si>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</si>
  <si>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</si>
  <si>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</si>
  <si>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</si>
  <si>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</si>
  <si>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</si>
  <si>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</si>
  <si>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</si>
  <si>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</si>
  <si>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</si>
  <si>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</si>
  <si>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</si>
  <si>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</si>
  <si>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</si>
  <si>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</si>
  <si>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</si>
  <si>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</si>
  <si>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</si>
  <si>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</si>
  <si>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</si>
  <si>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</si>
  <si>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</si>
  <si>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</si>
  <si>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</si>
  <si>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</si>
  <si>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</si>
  <si>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</si>
  <si>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</si>
  <si>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</si>
  <si>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</si>
  <si>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</si>
  <si>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</si>
  <si>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</si>
  <si>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</si>
  <si>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</si>
  <si>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</si>
  <si>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</si>
  <si>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</si>
  <si>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</si>
  <si>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</si>
  <si>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</si>
  <si>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</si>
  <si>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</si>
  <si>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</si>
  <si>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</si>
  <si>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</si>
  <si>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</si>
  <si>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</si>
  <si>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</si>
  <si>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</si>
  <si>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</si>
  <si>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</si>
  <si>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</si>
  <si>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</si>
  <si>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</si>
  <si>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</si>
  <si>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</si>
  <si>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</si>
  <si>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</si>
  <si>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</si>
  <si>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</si>
  <si>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</si>
  <si>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</si>
  <si>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</si>
  <si>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</si>
  <si>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</si>
  <si>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</si>
  <si>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</si>
  <si>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</si>
  <si>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</si>
  <si>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</si>
  <si>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</si>
  <si>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</si>
  <si>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</si>
  <si>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</si>
  <si>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</si>
  <si>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</si>
  <si>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</si>
  <si>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</si>
  <si>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</si>
  <si>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</si>
  <si>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</si>
  <si>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</si>
  <si>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</si>
  <si>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</si>
  <si>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</si>
  <si>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</si>
  <si>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</si>
  <si>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</si>
  <si>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</si>
  <si>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</si>
  <si>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</si>
  <si>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</si>
  <si>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</si>
  <si>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</si>
  <si>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</si>
  <si>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</si>
  <si>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</si>
  <si>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</si>
  <si>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</si>
  <si>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</si>
  <si>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</si>
  <si>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</si>
  <si>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</si>
  <si>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</si>
  <si>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</si>
  <si>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</si>
  <si>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</si>
  <si>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</si>
  <si>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</si>
  <si>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</si>
  <si>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</si>
  <si>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</si>
  <si>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</si>
  <si>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</si>
  <si>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</si>
  <si>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</si>
  <si>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</si>
  <si>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</si>
  <si>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</si>
  <si>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</si>
  <si>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</si>
  <si>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</si>
  <si>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</si>
  <si>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</si>
  <si>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</si>
  <si>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</si>
  <si>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</si>
  <si>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</si>
  <si>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</si>
  <si>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</si>
  <si>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</si>
  <si>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</si>
  <si>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</si>
  <si>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</si>
  <si>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</si>
  <si>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</si>
  <si>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</si>
  <si>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</si>
  <si>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</si>
  <si>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</si>
  <si>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</si>
  <si>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</si>
  <si>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</si>
  <si>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</si>
  <si>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</si>
  <si>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</si>
  <si>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</si>
  <si>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</si>
  <si>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</si>
  <si>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</si>
  <si>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</si>
  <si>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</si>
  <si>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</si>
  <si>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</si>
  <si>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</si>
  <si>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</si>
  <si>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</si>
  <si>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</si>
  <si>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</si>
  <si>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</si>
  <si>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</si>
  <si>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</si>
  <si>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</si>
  <si>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</si>
  <si>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</si>
  <si>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</si>
  <si>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</si>
  <si>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</si>
  <si>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</si>
  <si>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</si>
  <si>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</si>
  <si>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</si>
  <si>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</si>
  <si>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</si>
  <si>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</si>
  <si>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</si>
  <si>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</si>
  <si>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</si>
  <si>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</si>
  <si>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</si>
  <si>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</si>
  <si>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</si>
  <si>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</si>
  <si>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</si>
  <si>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</si>
  <si>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</si>
  <si>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</si>
  <si>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</si>
  <si>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</si>
  <si>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</si>
  <si>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</si>
  <si>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</si>
  <si>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</si>
  <si>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</si>
  <si>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</si>
  <si>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</si>
  <si>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</si>
  <si>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</si>
  <si>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</si>
  <si>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</si>
  <si>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</si>
  <si>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</si>
  <si>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</si>
  <si>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</si>
  <si>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</si>
  <si>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</si>
  <si>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</si>
  <si>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</si>
  <si>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</si>
  <si>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</si>
  <si>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</si>
  <si>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</si>
  <si>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</si>
  <si>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</si>
  <si>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</si>
  <si>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</si>
  <si>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</si>
  <si>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</si>
  <si>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</si>
  <si>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</si>
  <si>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</si>
  <si>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</si>
  <si>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</si>
  <si>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</si>
  <si>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</si>
  <si>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</si>
  <si>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</si>
  <si>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</si>
  <si>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</si>
  <si>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</si>
  <si>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</si>
  <si>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</si>
  <si>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</si>
  <si>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</si>
  <si>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</si>
  <si>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</si>
  <si>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</si>
  <si>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</si>
  <si>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</si>
  <si>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</si>
  <si>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</si>
  <si>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</si>
  <si>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</si>
  <si>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</si>
  <si>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</si>
  <si>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</si>
  <si>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</si>
  <si>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</si>
  <si>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</si>
  <si>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</si>
  <si>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</si>
  <si>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</si>
  <si>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</si>
  <si>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</si>
  <si>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</si>
  <si>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</si>
  <si>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</si>
  <si>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</si>
  <si>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</si>
  <si>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</si>
  <si>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</si>
  <si>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</si>
  <si>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</si>
  <si>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</si>
  <si>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</si>
  <si>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</si>
  <si>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</si>
  <si>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</si>
  <si>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</si>
  <si>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</si>
  <si>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</si>
  <si>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</si>
  <si>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</si>
  <si>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</si>
  <si>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</si>
  <si>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</si>
  <si>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</si>
  <si>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</si>
  <si>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</si>
  <si>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</si>
  <si>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</si>
  <si>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</si>
  <si>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</si>
  <si>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</si>
  <si>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</si>
  <si>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</si>
  <si>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</si>
  <si>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</si>
  <si>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</si>
  <si>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</si>
  <si>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</si>
  <si>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</si>
  <si>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</si>
  <si>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</si>
  <si>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</si>
  <si>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</si>
  <si>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</si>
  <si>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</si>
  <si>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</si>
  <si>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</si>
  <si>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</si>
  <si>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</si>
  <si>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</si>
  <si>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</si>
  <si>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</si>
  <si>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</si>
  <si>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</si>
  <si>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</si>
  <si>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</si>
  <si>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</si>
  <si>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</si>
  <si>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</si>
  <si>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</si>
  <si>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</si>
  <si>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</si>
  <si>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</si>
  <si>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</si>
  <si>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</si>
  <si>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</si>
  <si>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</si>
  <si>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</si>
  <si>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</si>
  <si>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</si>
  <si>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</si>
  <si>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</si>
  <si>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</si>
  <si>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</si>
  <si>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</si>
  <si>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</si>
  <si>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</si>
  <si>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</si>
  <si>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</si>
  <si>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</si>
  <si>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</si>
  <si>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</si>
  <si>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</si>
  <si>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</si>
  <si>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</si>
  <si>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</si>
  <si>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</si>
  <si>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</si>
  <si>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</si>
  <si>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</si>
  <si>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</si>
  <si>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</si>
  <si>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</si>
  <si>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</si>
  <si>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</si>
  <si>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</si>
  <si>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</si>
  <si>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</si>
  <si>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</si>
  <si>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</si>
  <si>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</si>
  <si>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</si>
  <si>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</si>
  <si>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</si>
  <si>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</si>
  <si>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</si>
  <si>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</si>
  <si>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</si>
  <si>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</si>
  <si>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</si>
  <si>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</si>
  <si>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</si>
  <si>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</si>
  <si>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</si>
  <si>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</si>
  <si>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</si>
  <si>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</si>
  <si>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</si>
  <si>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</si>
  <si>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</si>
  <si>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</si>
  <si>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</si>
  <si>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</si>
  <si>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</si>
  <si>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</si>
  <si>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</si>
  <si>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</si>
  <si>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</si>
  <si>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</si>
  <si>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</si>
  <si>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</si>
  <si>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</si>
  <si>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</si>
  <si>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</si>
  <si>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</si>
  <si>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</si>
  <si>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</si>
  <si>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</si>
  <si>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</si>
  <si>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</si>
  <si>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</si>
  <si>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</si>
  <si>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</si>
  <si>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</si>
  <si>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</si>
  <si>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</si>
  <si>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</si>
  <si>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</si>
  <si>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</si>
  <si>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</si>
  <si>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</si>
  <si>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</si>
  <si>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</si>
  <si>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</si>
  <si>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</si>
  <si>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</si>
  <si>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</si>
  <si>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</si>
  <si>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</si>
  <si>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</si>
  <si>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</si>
  <si>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</si>
  <si>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</si>
  <si>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</si>
  <si>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</si>
  <si>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</si>
  <si>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</si>
  <si>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</si>
  <si>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</si>
  <si>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</si>
  <si>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</si>
  <si>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</si>
  <si>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</si>
  <si>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</si>
  <si>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</si>
  <si>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</si>
  <si>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</si>
  <si>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</si>
  <si>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</si>
  <si>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</si>
  <si>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</si>
  <si>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</si>
  <si>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</si>
  <si>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</si>
  <si>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</si>
  <si>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</si>
  <si>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</si>
  <si>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</si>
  <si>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</si>
  <si>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</si>
  <si>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</si>
  <si>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</si>
  <si>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</si>
  <si>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</si>
  <si>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</si>
  <si>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</si>
  <si>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</si>
  <si>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</si>
  <si>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</si>
  <si>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</si>
  <si>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</si>
  <si>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</si>
  <si>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</si>
  <si>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</si>
  <si>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</si>
  <si>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</si>
  <si>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</si>
  <si>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</si>
  <si>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</si>
  <si>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</si>
  <si>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</si>
  <si>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</si>
  <si>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</si>
  <si>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</si>
  <si>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</si>
  <si>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</si>
  <si>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</si>
  <si>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</si>
  <si>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</si>
  <si>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</si>
  <si>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</si>
  <si>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</si>
  <si>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</si>
  <si>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</si>
  <si>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</si>
  <si>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</si>
  <si>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</si>
  <si>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</si>
  <si>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</si>
  <si>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</si>
  <si>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</si>
  <si>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</si>
  <si>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</si>
  <si>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</si>
  <si>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</si>
  <si>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</si>
  <si>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</si>
  <si>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</si>
  <si>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</si>
  <si>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</si>
  <si>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</si>
  <si>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</si>
  <si>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</si>
  <si>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</si>
  <si>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</si>
  <si>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</si>
  <si>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</si>
  <si>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</si>
  <si>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</si>
  <si>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</si>
  <si>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</si>
  <si>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</si>
  <si>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</si>
  <si>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</si>
  <si>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</si>
  <si>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</si>
  <si>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</si>
  <si>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</si>
  <si>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</si>
  <si>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</si>
  <si>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</si>
  <si>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</si>
  <si>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</si>
  <si>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</si>
  <si>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</si>
  <si>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</si>
  <si>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</si>
  <si>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</si>
  <si>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</si>
  <si>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</si>
  <si>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</si>
  <si>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</si>
  <si>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</si>
  <si>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</si>
  <si>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</si>
  <si>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</si>
  <si>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</si>
  <si>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</si>
  <si>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</si>
  <si>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</si>
  <si>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</si>
  <si>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</si>
  <si>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</si>
  <si>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</si>
  <si>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</si>
  <si>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</si>
  <si>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</si>
  <si>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</si>
  <si>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</si>
  <si>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</si>
  <si>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</si>
  <si>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</si>
  <si>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</si>
  <si>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</si>
  <si>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</si>
  <si>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</si>
  <si>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</si>
  <si>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</si>
  <si>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</si>
  <si>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</si>
  <si>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</si>
  <si>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</si>
  <si>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</si>
  <si>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</si>
  <si>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</si>
  <si>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</si>
  <si>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</si>
  <si>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</si>
  <si>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</si>
  <si>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</si>
  <si>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</si>
  <si>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</si>
  <si>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</si>
  <si>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</si>
  <si>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</si>
  <si>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</si>
  <si>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</si>
  <si>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</si>
  <si>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</si>
  <si>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</si>
  <si>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</si>
  <si>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</si>
  <si>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</si>
  <si>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</si>
  <si>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</si>
  <si>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</si>
  <si>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</si>
  <si>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</si>
  <si>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</si>
  <si>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</si>
  <si>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</si>
  <si>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</si>
  <si>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</si>
  <si>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</si>
  <si>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</si>
  <si>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</si>
  <si>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</si>
  <si>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</si>
  <si>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</si>
  <si>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</si>
  <si>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</si>
  <si>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</si>
  <si>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</si>
  <si>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</si>
  <si>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</si>
  <si>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</si>
  <si>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</si>
  <si>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</si>
  <si>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</si>
  <si>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</si>
  <si>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</si>
  <si>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</si>
  <si>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</si>
  <si>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</si>
  <si>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</si>
  <si>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</si>
  <si>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</si>
  <si>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</si>
  <si>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</si>
  <si>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</si>
  <si>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</si>
  <si>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</si>
  <si>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</si>
  <si>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</si>
  <si>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</si>
  <si>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</si>
  <si>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</si>
  <si>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</si>
  <si>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</si>
  <si>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</si>
  <si>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</si>
  <si>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</si>
  <si>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</si>
  <si>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</si>
  <si>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</si>
  <si>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</si>
  <si>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</si>
  <si>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</si>
  <si>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</si>
  <si>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</si>
  <si>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</si>
  <si>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</si>
  <si>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</si>
  <si>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</si>
  <si>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</si>
  <si>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</si>
  <si>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</si>
  <si>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</si>
  <si>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</si>
  <si>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</si>
  <si>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</si>
  <si>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</si>
  <si>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</si>
  <si>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</si>
  <si>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</si>
  <si>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</si>
  <si>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</si>
  <si>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</si>
  <si>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</si>
  <si>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</si>
  <si>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</si>
  <si>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</si>
  <si>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</si>
  <si>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</si>
  <si>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</si>
  <si>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</si>
  <si>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</si>
  <si>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</si>
  <si>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</si>
  <si>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</si>
  <si>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</si>
  <si>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</si>
  <si>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</si>
  <si>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</si>
  <si>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</si>
  <si>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</si>
  <si>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</si>
  <si>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</si>
  <si>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</si>
  <si>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</si>
  <si>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</si>
  <si>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</si>
  <si>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</si>
  <si>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</si>
  <si>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</si>
  <si>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</si>
  <si>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</si>
  <si>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</si>
  <si>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</si>
  <si>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</si>
  <si>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</si>
  <si>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</si>
  <si>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</si>
  <si>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</si>
  <si>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</si>
  <si>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</si>
  <si>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</si>
  <si>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</si>
  <si>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</si>
  <si>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</si>
  <si>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</si>
  <si>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</si>
  <si>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</si>
  <si>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</si>
  <si>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</si>
  <si>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</si>
  <si>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</si>
  <si>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</si>
  <si>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</si>
  <si>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</si>
  <si>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</si>
  <si>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</si>
  <si>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</si>
  <si>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</si>
  <si>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</si>
  <si>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</si>
  <si>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</si>
  <si>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</si>
  <si>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</si>
  <si>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</si>
  <si>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</si>
  <si>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</si>
  <si>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</si>
  <si>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</si>
  <si>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</si>
  <si>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</si>
  <si>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</si>
  <si>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</si>
  <si>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</si>
  <si>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</si>
  <si>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</si>
  <si>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</si>
  <si>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</si>
  <si>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</si>
  <si>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</si>
  <si>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</si>
  <si>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</si>
  <si>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</si>
  <si>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</si>
  <si>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</si>
  <si>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</si>
  <si>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</si>
  <si>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</si>
  <si>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</si>
  <si>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</si>
  <si>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</si>
  <si>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</si>
  <si>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</si>
  <si>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</si>
  <si>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</si>
  <si>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</si>
  <si>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</si>
  <si>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</si>
  <si>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</si>
  <si>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</si>
  <si>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</si>
  <si>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</si>
  <si>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</si>
  <si>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</si>
  <si>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</si>
  <si>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</si>
  <si>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</si>
  <si>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</si>
  <si>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</si>
  <si>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</si>
  <si>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</si>
  <si>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</si>
  <si>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</si>
  <si>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</si>
  <si>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</si>
  <si>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</si>
  <si>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</si>
  <si>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</si>
  <si>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</si>
  <si>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</si>
  <si>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</si>
  <si>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</si>
  <si>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</si>
  <si>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</si>
  <si>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</si>
  <si>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</si>
  <si>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</si>
  <si>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</si>
  <si>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</si>
  <si>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</si>
  <si>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</si>
  <si>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</si>
  <si>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</si>
  <si>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</si>
  <si>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</si>
  <si>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</si>
  <si>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</si>
  <si>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</si>
  <si>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</si>
  <si>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</si>
  <si>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</si>
  <si>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</si>
  <si>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</si>
  <si>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</si>
  <si>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</si>
  <si>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</si>
  <si>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</si>
  <si>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</si>
  <si>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</si>
  <si>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</si>
  <si>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</si>
  <si>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</si>
  <si>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</si>
  <si>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</si>
  <si>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</si>
  <si>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</si>
  <si>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</si>
  <si>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</si>
  <si>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</si>
  <si>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</si>
  <si>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</si>
  <si>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</si>
  <si>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</si>
  <si>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</si>
  <si>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</si>
  <si>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</si>
  <si>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</si>
  <si>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</si>
  <si>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</si>
  <si>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</si>
  <si>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</si>
  <si>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</si>
  <si>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</si>
  <si>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</si>
  <si>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</si>
  <si>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</si>
  <si>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</si>
  <si>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</si>
  <si>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</si>
  <si>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</si>
  <si>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</si>
  <si>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</si>
  <si>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</si>
  <si>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</si>
  <si>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</si>
  <si>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</si>
  <si>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</si>
  <si>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</si>
  <si>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</si>
  <si>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</si>
  <si>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</si>
  <si>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</si>
  <si>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</si>
  <si>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</si>
  <si>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</si>
  <si>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</si>
  <si>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</si>
  <si>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</si>
  <si>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</si>
  <si>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</si>
  <si>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</si>
  <si>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</si>
  <si>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</si>
  <si>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</si>
  <si>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</si>
  <si>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</si>
  <si>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</si>
  <si>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</si>
  <si>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</si>
  <si>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</si>
  <si>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</si>
  <si>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</si>
  <si>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</si>
  <si>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</si>
  <si>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</si>
  <si>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</si>
  <si>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</si>
  <si>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</si>
  <si>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</si>
  <si>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</si>
  <si>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</si>
  <si>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</si>
  <si>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</si>
  <si>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</si>
  <si>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</si>
  <si>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</si>
  <si>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</si>
  <si>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</si>
  <si>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</si>
  <si>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</si>
  <si>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</si>
  <si>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</si>
  <si>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</si>
  <si>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</si>
  <si>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</si>
  <si>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</si>
  <si>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</si>
  <si>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</si>
  <si>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</si>
  <si>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</si>
  <si>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</si>
  <si>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</si>
  <si>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</si>
  <si>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</si>
  <si>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</si>
  <si>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</si>
  <si>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</si>
  <si>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</si>
  <si>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</si>
  <si>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</si>
  <si>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</si>
  <si>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</si>
  <si>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</si>
  <si>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</si>
  <si>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</si>
  <si>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</si>
  <si>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</si>
  <si>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</si>
  <si>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</si>
  <si>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</si>
  <si>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</si>
  <si>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</si>
  <si>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</si>
  <si>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</si>
  <si>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</si>
  <si>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</si>
  <si>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</si>
  <si>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</si>
  <si>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</si>
  <si>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</si>
  <si>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</si>
  <si>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</si>
  <si>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</si>
  <si>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</si>
  <si>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</si>
  <si>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</si>
  <si>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</si>
  <si>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</si>
  <si>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</si>
  <si>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</si>
  <si>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</si>
  <si>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</si>
  <si>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</si>
  <si>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</si>
  <si>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</si>
  <si>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</si>
  <si>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</si>
  <si>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</si>
  <si>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</si>
  <si>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</si>
  <si>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</si>
  <si>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</si>
  <si>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</si>
  <si>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</si>
  <si>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</si>
  <si>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</si>
  <si>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</si>
  <si>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</si>
  <si>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</si>
  <si>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</si>
  <si>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</si>
  <si>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</si>
  <si>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</si>
  <si>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</si>
  <si>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</si>
  <si>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</si>
  <si>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</si>
  <si>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</si>
  <si>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</si>
  <si>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</si>
  <si>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</si>
  <si>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</si>
  <si>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</si>
  <si>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</si>
  <si>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</si>
  <si>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</si>
  <si>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</si>
  <si>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</si>
  <si>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</si>
  <si>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</si>
  <si>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</si>
  <si>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</si>
  <si>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</si>
  <si>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</si>
  <si>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</si>
  <si>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</si>
  <si>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</si>
  <si>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</si>
  <si>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</si>
  <si>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</si>
  <si>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</si>
  <si>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</si>
  <si>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</si>
  <si>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</si>
  <si>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</si>
  <si>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</si>
  <si>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</si>
  <si>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</si>
  <si>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</si>
  <si>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</si>
  <si>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</si>
  <si>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</si>
  <si>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</si>
  <si>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</si>
  <si>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</si>
  <si>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</si>
  <si>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</si>
  <si>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</si>
  <si>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</si>
  <si>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</si>
  <si>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</si>
  <si>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</si>
  <si>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</si>
  <si>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</si>
  <si>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</si>
  <si>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</si>
  <si>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</si>
  <si>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</si>
  <si>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</si>
  <si>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</si>
  <si>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</si>
  <si>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</si>
  <si>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</si>
  <si>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</si>
  <si>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</si>
  <si>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</si>
  <si>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</si>
  <si>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</si>
  <si>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</si>
  <si>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</si>
  <si>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</si>
  <si>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</si>
  <si>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</si>
  <si>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</si>
  <si>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</si>
  <si>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</si>
  <si>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</si>
  <si>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</si>
  <si>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</si>
  <si>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</si>
  <si>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</si>
  <si>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</si>
  <si>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</si>
  <si>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</si>
  <si>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</si>
  <si>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</si>
  <si>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</si>
  <si>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</si>
  <si>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</si>
  <si>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</si>
  <si>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</si>
  <si>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</si>
  <si>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</si>
  <si>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</si>
  <si>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</si>
  <si>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</si>
  <si>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</si>
  <si>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</si>
  <si>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</si>
  <si>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</si>
  <si>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</si>
  <si>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</si>
  <si>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</si>
  <si>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</si>
  <si>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</si>
  <si>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</si>
  <si>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</si>
  <si>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</si>
  <si>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</si>
  <si>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</si>
  <si>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</si>
  <si>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</si>
  <si>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</si>
  <si>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</si>
  <si>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</si>
  <si>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</si>
  <si>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</si>
  <si>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</si>
  <si>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</si>
  <si>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</si>
  <si>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</si>
  <si>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梁津</t>
  </si>
  <si>
    <t>叶凌</t>
  </si>
  <si>
    <t>核定资产</t>
  </si>
  <si>
    <t>房地产市场价值</t>
  </si>
  <si>
    <t>北京市</t>
  </si>
  <si>
    <t>企业</t>
  </si>
  <si>
    <t>现房</t>
  </si>
  <si>
    <t>产品</t>
  </si>
  <si>
    <t>总货值</t>
  </si>
  <si>
    <t>未售</t>
  </si>
  <si>
    <t>类型</t>
  </si>
  <si>
    <t>套数</t>
  </si>
  <si>
    <t>面积</t>
  </si>
  <si>
    <t>单价</t>
  </si>
  <si>
    <t>金额</t>
  </si>
  <si>
    <t>(元)</t>
  </si>
  <si>
    <t>（万元）</t>
  </si>
  <si>
    <t>洋房</t>
  </si>
  <si>
    <t>中跃住宅</t>
  </si>
  <si>
    <t>下跃住宅</t>
  </si>
  <si>
    <t>跃层绑定仓储</t>
  </si>
  <si>
    <t>独立仓储间</t>
  </si>
  <si>
    <t>车位</t>
  </si>
  <si>
    <t>合计</t>
  </si>
  <si>
    <t>序号</t>
  </si>
  <si>
    <t>房号</t>
  </si>
  <si>
    <t>产品类型</t>
  </si>
  <si>
    <t>建筑面积</t>
  </si>
  <si>
    <t>签约日期</t>
  </si>
  <si>
    <t>35栋-4--103</t>
  </si>
  <si>
    <t>35栋-4--202</t>
  </si>
  <si>
    <t>7栋-2--104</t>
  </si>
  <si>
    <t>7栋-2--204</t>
  </si>
  <si>
    <t>17栋-3--203</t>
  </si>
  <si>
    <t>7栋-1--104</t>
  </si>
  <si>
    <t>7栋-1--204</t>
  </si>
  <si>
    <t>19栋-2--103</t>
  </si>
  <si>
    <t>35栋-2--102</t>
  </si>
  <si>
    <t>12栋-1--102</t>
  </si>
  <si>
    <t>17栋-1--202</t>
  </si>
  <si>
    <t>19栋-5--102</t>
  </si>
  <si>
    <t>2023-06-30</t>
  </si>
  <si>
    <t>38栋-2--103</t>
  </si>
  <si>
    <t>38栋-2--203</t>
  </si>
  <si>
    <t>31栋-2--103</t>
  </si>
  <si>
    <t>2023-06-29</t>
  </si>
  <si>
    <t>31栋-2--203</t>
  </si>
  <si>
    <t>38栋-1--102</t>
  </si>
  <si>
    <t>2023-06-28</t>
  </si>
  <si>
    <t>38栋-1--202</t>
  </si>
  <si>
    <t>7栋-4--104</t>
  </si>
  <si>
    <t>7栋-4--204</t>
  </si>
  <si>
    <t>16栋-1--103</t>
  </si>
  <si>
    <t>2023-06-17</t>
  </si>
  <si>
    <t>16栋-1--203</t>
  </si>
  <si>
    <t>29栋-1--104</t>
  </si>
  <si>
    <t>2023-06-05</t>
  </si>
  <si>
    <t>29栋-1--204</t>
  </si>
  <si>
    <t>29栋-3--103</t>
  </si>
  <si>
    <t>2023-05-31</t>
  </si>
  <si>
    <t>29栋-3--203</t>
  </si>
  <si>
    <t>37栋-2--102</t>
  </si>
  <si>
    <t>37栋-2--202</t>
  </si>
  <si>
    <t>7栋-1--101</t>
  </si>
  <si>
    <t>7栋-1--201</t>
  </si>
  <si>
    <t>23栋-2--203</t>
  </si>
  <si>
    <t>2023-05-30</t>
  </si>
  <si>
    <t>36栋-4--102</t>
  </si>
  <si>
    <t>2023-05-15</t>
  </si>
  <si>
    <t>36栋-4--202</t>
  </si>
  <si>
    <t>40-a栋-3--101</t>
  </si>
  <si>
    <t>2023-04-28</t>
  </si>
  <si>
    <t>40-a栋-3--201</t>
  </si>
  <si>
    <t>7栋-2--102</t>
  </si>
  <si>
    <t>2023-04-26</t>
  </si>
  <si>
    <t>7栋-2--202</t>
  </si>
  <si>
    <t>7栋-4--101</t>
  </si>
  <si>
    <t>7栋-4--201</t>
  </si>
  <si>
    <t>13栋-1--102</t>
  </si>
  <si>
    <t>2023-04-22</t>
  </si>
  <si>
    <t>13栋-1--202</t>
  </si>
  <si>
    <t>6栋-2--103</t>
  </si>
  <si>
    <t>6栋-2--203</t>
  </si>
  <si>
    <t>6栋-3--102</t>
  </si>
  <si>
    <t>6栋-3--202</t>
  </si>
  <si>
    <t>6栋-6--103</t>
  </si>
  <si>
    <t>2023-03-31</t>
  </si>
  <si>
    <t>6栋-6--203</t>
  </si>
  <si>
    <t>7栋-5--103</t>
  </si>
  <si>
    <t>7栋-5--203</t>
  </si>
  <si>
    <t>14栋-2--102</t>
  </si>
  <si>
    <t>2023-03-30</t>
  </si>
  <si>
    <t>14栋-2--202</t>
  </si>
  <si>
    <t>7栋-2--101</t>
  </si>
  <si>
    <t>7栋-2--201</t>
  </si>
  <si>
    <t>36栋-5--103</t>
  </si>
  <si>
    <t>2023-03-27</t>
  </si>
  <si>
    <t>36栋-5--203</t>
  </si>
  <si>
    <t>7栋-4--102</t>
  </si>
  <si>
    <t>7栋-4--202</t>
  </si>
  <si>
    <t>6栋-1--203</t>
  </si>
  <si>
    <t>2023-03-12</t>
  </si>
  <si>
    <t>7栋-2--103</t>
  </si>
  <si>
    <t>7栋-2--203</t>
  </si>
  <si>
    <t>6栋-1--103</t>
  </si>
  <si>
    <t>2023-03-11</t>
  </si>
  <si>
    <t>40-a栋-1--104</t>
  </si>
  <si>
    <t>2023-02-24</t>
  </si>
  <si>
    <t>40-a栋-1--204</t>
  </si>
  <si>
    <t>7栋-4--103</t>
  </si>
  <si>
    <t>2023-02-23</t>
  </si>
  <si>
    <t>7栋-4--203</t>
  </si>
  <si>
    <t>7栋-5--101</t>
  </si>
  <si>
    <t>2023-02-06</t>
  </si>
  <si>
    <t>7栋-5--201</t>
  </si>
  <si>
    <t>7栋-3--101</t>
  </si>
  <si>
    <t>2023-01-31</t>
  </si>
  <si>
    <t>7栋-3--201</t>
  </si>
  <si>
    <t>7栋-5--102</t>
  </si>
  <si>
    <t>2023-01-30</t>
  </si>
  <si>
    <t>7栋-5--202</t>
  </si>
  <si>
    <t>6栋-1--102</t>
  </si>
  <si>
    <t>2023-01-19</t>
  </si>
  <si>
    <t>6栋-1--202</t>
  </si>
  <si>
    <t>7栋-5--104</t>
  </si>
  <si>
    <t>2023-01-15</t>
  </si>
  <si>
    <t>7栋-5--204</t>
  </si>
  <si>
    <t>6栋-2--101</t>
  </si>
  <si>
    <t>2022-12-31</t>
  </si>
  <si>
    <t>6栋-2--201</t>
  </si>
  <si>
    <t>9栋-2--103</t>
  </si>
  <si>
    <t>9栋-2--203</t>
  </si>
  <si>
    <t>6栋-2--104</t>
  </si>
  <si>
    <t>2022-12-30</t>
  </si>
  <si>
    <t>6栋-2--204</t>
  </si>
  <si>
    <t>18栋-1--104</t>
  </si>
  <si>
    <t>2022-12-29</t>
  </si>
  <si>
    <t>18栋-1--204</t>
  </si>
  <si>
    <t>6栋-1--101</t>
  </si>
  <si>
    <t>2022-12-25</t>
  </si>
  <si>
    <t>6栋-1--201</t>
  </si>
  <si>
    <t>36栋-1--102</t>
  </si>
  <si>
    <t>2022-11-29</t>
  </si>
  <si>
    <t>36栋-1--202</t>
  </si>
  <si>
    <t>6栋-1--104</t>
  </si>
  <si>
    <t>2022-11-21</t>
  </si>
  <si>
    <t>6栋-1--204</t>
  </si>
  <si>
    <t>14栋-2--101</t>
  </si>
  <si>
    <t>2022-11-07</t>
  </si>
  <si>
    <t>14栋-2--201</t>
  </si>
  <si>
    <t>6栋-3--101</t>
  </si>
  <si>
    <t>2022-10-12</t>
  </si>
  <si>
    <t>6栋-3--104</t>
  </si>
  <si>
    <t>6栋-3--201</t>
  </si>
  <si>
    <t>6栋-3--204</t>
  </si>
  <si>
    <t>18栋-3--101</t>
  </si>
  <si>
    <t>2022-09-30</t>
  </si>
  <si>
    <t>18栋-3--201</t>
  </si>
  <si>
    <t>36栋-4--103</t>
  </si>
  <si>
    <t>2022-09-13</t>
  </si>
  <si>
    <t>36栋-4--203</t>
  </si>
  <si>
    <t>40-a栋-2--104</t>
  </si>
  <si>
    <t>2022-08-30</t>
  </si>
  <si>
    <t>40-a栋-2--204</t>
  </si>
  <si>
    <t>17栋-2--103</t>
  </si>
  <si>
    <t>17栋-2--203</t>
  </si>
  <si>
    <t>40-a栋-3--104</t>
  </si>
  <si>
    <t>2022-08-29</t>
  </si>
  <si>
    <t>40-a栋-3--204</t>
  </si>
  <si>
    <t>40-a栋-2--101</t>
  </si>
  <si>
    <t>2022-08-26</t>
  </si>
  <si>
    <t>40-a栋-2--201</t>
  </si>
  <si>
    <t>16栋-2--103</t>
  </si>
  <si>
    <t>2022-08-21</t>
  </si>
  <si>
    <t>16栋-2--203</t>
  </si>
  <si>
    <t>12栋-3--102</t>
  </si>
  <si>
    <t>2022-07-29</t>
  </si>
  <si>
    <t>12栋-3--202</t>
  </si>
  <si>
    <t>36栋-5--102</t>
  </si>
  <si>
    <t>2022-06-30</t>
  </si>
  <si>
    <t>36栋-5--202</t>
  </si>
  <si>
    <t>14栋-2--103</t>
  </si>
  <si>
    <t>14栋-2--203</t>
  </si>
  <si>
    <t>18栋-1--103</t>
  </si>
  <si>
    <t>18栋-1--203</t>
  </si>
  <si>
    <t>9栋-3--101</t>
  </si>
  <si>
    <t>19栋-5--103</t>
  </si>
  <si>
    <t>2022-06-29</t>
  </si>
  <si>
    <t>19栋-5--203</t>
  </si>
  <si>
    <t>12栋-1--103</t>
  </si>
  <si>
    <t>2022-06-28</t>
  </si>
  <si>
    <t>12栋-1--203</t>
  </si>
  <si>
    <t>18栋-3--104</t>
  </si>
  <si>
    <t>18栋-3--204</t>
  </si>
  <si>
    <t>36栋-3--103</t>
  </si>
  <si>
    <t>2022-06-27</t>
  </si>
  <si>
    <t>36栋-3--203</t>
  </si>
  <si>
    <t>13栋-2--103</t>
  </si>
  <si>
    <t>2022-06-19</t>
  </si>
  <si>
    <t>13栋-2--203</t>
  </si>
  <si>
    <t>36栋-3--102</t>
  </si>
  <si>
    <t>2022-04-30</t>
  </si>
  <si>
    <t>36栋-3--202</t>
  </si>
  <si>
    <t>13栋-3--102</t>
  </si>
  <si>
    <t>2022-04-29</t>
  </si>
  <si>
    <t>13栋-3--202</t>
  </si>
  <si>
    <t>18栋-2--101</t>
  </si>
  <si>
    <t>2022-04-18</t>
  </si>
  <si>
    <t>18栋-2--201</t>
  </si>
  <si>
    <t>12栋-2--103</t>
  </si>
  <si>
    <t>2022-04-15</t>
  </si>
  <si>
    <t>12栋-2--203</t>
  </si>
  <si>
    <t>15栋-2--103</t>
  </si>
  <si>
    <t>2022-04-14</t>
  </si>
  <si>
    <t>15栋-2--203</t>
  </si>
  <si>
    <t>17栋-1--103</t>
  </si>
  <si>
    <t>2022-04-13</t>
  </si>
  <si>
    <t>17栋-1--203</t>
  </si>
  <si>
    <t>11栋-2--103</t>
  </si>
  <si>
    <t>2022-03-31</t>
  </si>
  <si>
    <t>11栋-2--203</t>
  </si>
  <si>
    <t>18栋-5--101</t>
  </si>
  <si>
    <t>2022-03-28</t>
  </si>
  <si>
    <t>18栋-5--201</t>
  </si>
  <si>
    <t>39栋-4--104</t>
  </si>
  <si>
    <t>2022-03-27</t>
  </si>
  <si>
    <t>39栋-4--204</t>
  </si>
  <si>
    <t>18栋-4--104</t>
  </si>
  <si>
    <t>2022-03-24</t>
  </si>
  <si>
    <t>18栋-4--204</t>
  </si>
  <si>
    <t>10栋-3--103</t>
  </si>
  <si>
    <t>2022-02-28</t>
  </si>
  <si>
    <t>10栋-3--203</t>
  </si>
  <si>
    <t>36栋-2--101</t>
  </si>
  <si>
    <t>2022-02-20</t>
  </si>
  <si>
    <t>36栋-2--201</t>
  </si>
  <si>
    <t>36栋-2--102</t>
  </si>
  <si>
    <t>2022-02-19</t>
  </si>
  <si>
    <t>36栋-2--202</t>
  </si>
  <si>
    <t>15栋-6--103</t>
  </si>
  <si>
    <t>2022-01-30</t>
  </si>
  <si>
    <t>15栋-6--203</t>
  </si>
  <si>
    <t>36栋-1--101</t>
  </si>
  <si>
    <t>2022-01-28</t>
  </si>
  <si>
    <t>36栋-1--201</t>
  </si>
  <si>
    <t>36栋-1--103</t>
  </si>
  <si>
    <t>2022-01-27</t>
  </si>
  <si>
    <t>36栋-1--203</t>
  </si>
  <si>
    <t>11栋-1--103</t>
  </si>
  <si>
    <t>2022-01-25</t>
  </si>
  <si>
    <t>11栋-1--203</t>
  </si>
  <si>
    <t>13栋-3--101</t>
  </si>
  <si>
    <t>13栋-3--201</t>
  </si>
  <si>
    <t>14栋-1--104</t>
  </si>
  <si>
    <t>2022-01-21</t>
  </si>
  <si>
    <t>41栋-3--104</t>
  </si>
  <si>
    <t>2022-01-19</t>
  </si>
  <si>
    <t>41栋-3--204</t>
  </si>
  <si>
    <t>12栋-2--102</t>
  </si>
  <si>
    <t>2022-01-15</t>
  </si>
  <si>
    <t>12栋-2--202</t>
  </si>
  <si>
    <t>13栋-2--104</t>
  </si>
  <si>
    <t>13栋-2--204</t>
  </si>
  <si>
    <t>13栋-3--103</t>
  </si>
  <si>
    <t>2021-12-31</t>
  </si>
  <si>
    <t>13栋-3--203</t>
  </si>
  <si>
    <t>20栋-3--103</t>
  </si>
  <si>
    <t>2021-12-30</t>
  </si>
  <si>
    <t>20栋-3--203</t>
  </si>
  <si>
    <t>13栋-3--104</t>
  </si>
  <si>
    <t>13栋-3--204</t>
  </si>
  <si>
    <t>15栋-5--103</t>
  </si>
  <si>
    <t>15栋-5--203</t>
  </si>
  <si>
    <t>18栋-5--104</t>
  </si>
  <si>
    <t>18栋-5--204</t>
  </si>
  <si>
    <t>39栋-5--104</t>
  </si>
  <si>
    <t>2021-12-29</t>
  </si>
  <si>
    <t>39栋-5--204</t>
  </si>
  <si>
    <t>21栋-1--102</t>
  </si>
  <si>
    <t>2021-12-28</t>
  </si>
  <si>
    <t>21栋-1--202</t>
  </si>
  <si>
    <t>10栋-2--104</t>
  </si>
  <si>
    <t>10栋-2--204</t>
  </si>
  <si>
    <t>18栋-5--103</t>
  </si>
  <si>
    <t>2021-12-27</t>
  </si>
  <si>
    <t>18栋-5--203</t>
  </si>
  <si>
    <t>39栋-3--104</t>
  </si>
  <si>
    <t>2021-12-20</t>
  </si>
  <si>
    <t>39栋-3--204</t>
  </si>
  <si>
    <t>10栋-1--102</t>
  </si>
  <si>
    <t>2021-12-15</t>
  </si>
  <si>
    <t>10栋-1--202</t>
  </si>
  <si>
    <t>9栋-1--102</t>
  </si>
  <si>
    <t>9栋-1--202</t>
  </si>
  <si>
    <t>10栋-3--101</t>
  </si>
  <si>
    <t>2021-12-14</t>
  </si>
  <si>
    <t>10栋-3--201</t>
  </si>
  <si>
    <t>13栋-2--101</t>
  </si>
  <si>
    <t>2021-12-13</t>
  </si>
  <si>
    <t>13栋-2--201</t>
  </si>
  <si>
    <t>21栋-2--103</t>
  </si>
  <si>
    <t>2021-11-30</t>
  </si>
  <si>
    <t>21栋-2--203</t>
  </si>
  <si>
    <t>11栋-2--102</t>
  </si>
  <si>
    <t>11栋-2--202</t>
  </si>
  <si>
    <t>15栋-6--102</t>
  </si>
  <si>
    <t>15栋-6--202</t>
  </si>
  <si>
    <t>9栋-3--102</t>
  </si>
  <si>
    <t>9栋-3--201</t>
  </si>
  <si>
    <t>10栋-1--101</t>
  </si>
  <si>
    <t>2021-11-29</t>
  </si>
  <si>
    <t>10栋-1--201</t>
  </si>
  <si>
    <t>10栋-2--101</t>
  </si>
  <si>
    <t>2021-11-28</t>
  </si>
  <si>
    <t>10栋-2--201</t>
  </si>
  <si>
    <t>13栋-1--101</t>
  </si>
  <si>
    <t>13栋-1--201</t>
  </si>
  <si>
    <t>16栋-2--102</t>
  </si>
  <si>
    <t>16栋-2--202</t>
  </si>
  <si>
    <t>15栋-2--104</t>
  </si>
  <si>
    <t>2021-11-26</t>
  </si>
  <si>
    <t>15栋-2--204</t>
  </si>
  <si>
    <t>11栋-2--104</t>
  </si>
  <si>
    <t>2021-11-23</t>
  </si>
  <si>
    <t>11栋-2--204</t>
  </si>
  <si>
    <t>10栋-3--104</t>
  </si>
  <si>
    <t>2021-11-21</t>
  </si>
  <si>
    <t>10栋-3--204</t>
  </si>
  <si>
    <t>13栋-1--104</t>
  </si>
  <si>
    <t>13栋-1--204</t>
  </si>
  <si>
    <t>10栋-1--104</t>
  </si>
  <si>
    <t>2021-11-20</t>
  </si>
  <si>
    <t>10栋-1--204</t>
  </si>
  <si>
    <t>15栋-4--104</t>
  </si>
  <si>
    <t>15栋-4--204</t>
  </si>
  <si>
    <t>9栋-3--104</t>
  </si>
  <si>
    <t>2021-11-15</t>
  </si>
  <si>
    <t>9栋-3--203</t>
  </si>
  <si>
    <t>9栋-2--104</t>
  </si>
  <si>
    <t>2021-11-14</t>
  </si>
  <si>
    <t>9栋-2--204</t>
  </si>
  <si>
    <t>9栋-1--101</t>
  </si>
  <si>
    <t>2021-11-12</t>
  </si>
  <si>
    <t>9栋-1--201</t>
  </si>
  <si>
    <t>15栋-1--102</t>
  </si>
  <si>
    <t>2021-11-10</t>
  </si>
  <si>
    <t>15栋-1--202</t>
  </si>
  <si>
    <t>9栋-2--101</t>
  </si>
  <si>
    <t>2021-11-07</t>
  </si>
  <si>
    <t>9栋-2--201</t>
  </si>
  <si>
    <t>17栋-2--104</t>
  </si>
  <si>
    <t>2021-10-31</t>
  </si>
  <si>
    <t>17栋-2--204</t>
  </si>
  <si>
    <t>21栋-3--103</t>
  </si>
  <si>
    <t>2021-10-30</t>
  </si>
  <si>
    <t>21栋-3--203</t>
  </si>
  <si>
    <t>15栋-5--104</t>
  </si>
  <si>
    <t>15栋-5--204</t>
  </si>
  <si>
    <t>14栋-3--103</t>
  </si>
  <si>
    <t>2021-10-29</t>
  </si>
  <si>
    <t>14栋-3--203</t>
  </si>
  <si>
    <t>11栋-3--103</t>
  </si>
  <si>
    <t>2021-10-28</t>
  </si>
  <si>
    <t>11栋-3--203</t>
  </si>
  <si>
    <t>9栋-1--104</t>
  </si>
  <si>
    <t>9栋-1--204</t>
  </si>
  <si>
    <t>15栋-6--101</t>
  </si>
  <si>
    <t>2021-10-24</t>
  </si>
  <si>
    <t>15栋-6--201</t>
  </si>
  <si>
    <t>17栋-1--104</t>
  </si>
  <si>
    <t>2021-10-23</t>
  </si>
  <si>
    <t>17栋-1--204</t>
  </si>
  <si>
    <t>21栋-3--102</t>
  </si>
  <si>
    <t>2021-10-22</t>
  </si>
  <si>
    <t>21栋-3--202</t>
  </si>
  <si>
    <t>12栋-2--104</t>
  </si>
  <si>
    <t>12栋-2--204</t>
  </si>
  <si>
    <t>12栋-3--101</t>
  </si>
  <si>
    <t>2021-10-16</t>
  </si>
  <si>
    <t>12栋-3--201</t>
  </si>
  <si>
    <t>11栋-3--101</t>
  </si>
  <si>
    <t>2021-09-30</t>
  </si>
  <si>
    <t>11栋-3--201</t>
  </si>
  <si>
    <t>12栋-2--101</t>
  </si>
  <si>
    <t>12栋-2--201</t>
  </si>
  <si>
    <t>15栋-2--102</t>
  </si>
  <si>
    <t>15栋-2--202</t>
  </si>
  <si>
    <t>15栋-3--104</t>
  </si>
  <si>
    <t>15栋-3--204</t>
  </si>
  <si>
    <t>15栋-5--101</t>
  </si>
  <si>
    <t>15栋-5--201</t>
  </si>
  <si>
    <t>16栋-3--103</t>
  </si>
  <si>
    <t>16栋-3--203</t>
  </si>
  <si>
    <t>11栋-1--101</t>
  </si>
  <si>
    <t>2021-09-29</t>
  </si>
  <si>
    <t>11栋-1--201</t>
  </si>
  <si>
    <t>11栋-2--101</t>
  </si>
  <si>
    <t>11栋-2--201</t>
  </si>
  <si>
    <t>11栋-1--104</t>
  </si>
  <si>
    <t>2021-09-28</t>
  </si>
  <si>
    <t>11栋-1--204</t>
  </si>
  <si>
    <t>11栋-3--104</t>
  </si>
  <si>
    <t>2021-09-18</t>
  </si>
  <si>
    <t>11栋-3--204</t>
  </si>
  <si>
    <t>12栋-1--101</t>
  </si>
  <si>
    <t>12栋-1--201</t>
  </si>
  <si>
    <t>12栋-1--104</t>
  </si>
  <si>
    <t>2021-09-17</t>
  </si>
  <si>
    <t>12栋-1--204</t>
  </si>
  <si>
    <t>39栋-3--101</t>
  </si>
  <si>
    <t>2021-08-31</t>
  </si>
  <si>
    <t>39栋-3--201</t>
  </si>
  <si>
    <t>12栋-1--202</t>
  </si>
  <si>
    <t>15栋-1--104</t>
  </si>
  <si>
    <t>15栋-1--204</t>
  </si>
  <si>
    <t>17栋-2--101</t>
  </si>
  <si>
    <t>17栋-2--201</t>
  </si>
  <si>
    <t>17栋-3--101</t>
  </si>
  <si>
    <t>2021-08-29</t>
  </si>
  <si>
    <t>17栋-3--201</t>
  </si>
  <si>
    <t>41栋-1--101</t>
  </si>
  <si>
    <t>2021-08-28</t>
  </si>
  <si>
    <t>41栋-1--201</t>
  </si>
  <si>
    <t>15栋-1--103</t>
  </si>
  <si>
    <t>2021-08-21</t>
  </si>
  <si>
    <t>15栋-1--203</t>
  </si>
  <si>
    <t>20栋-1--102</t>
  </si>
  <si>
    <t>2021-07-28</t>
  </si>
  <si>
    <t>20栋-1--202</t>
  </si>
  <si>
    <t>23栋-1--103</t>
  </si>
  <si>
    <t>23栋-1--203</t>
  </si>
  <si>
    <t>19栋-2--203</t>
  </si>
  <si>
    <t>2021-06-30</t>
  </si>
  <si>
    <t>20栋-3--102</t>
  </si>
  <si>
    <t>20栋-3--202</t>
  </si>
  <si>
    <t>11栋-1--102</t>
  </si>
  <si>
    <t>11栋-1--202</t>
  </si>
  <si>
    <t>12栋-3--103</t>
  </si>
  <si>
    <t>12栋-3--104</t>
  </si>
  <si>
    <t>12栋-3--203</t>
  </si>
  <si>
    <t>12栋-3--204</t>
  </si>
  <si>
    <t>14栋-2--104</t>
  </si>
  <si>
    <t>14栋-2--204</t>
  </si>
  <si>
    <t>14栋-3--101</t>
  </si>
  <si>
    <t>14栋-3--201</t>
  </si>
  <si>
    <t>19栋-4--103</t>
  </si>
  <si>
    <t>2021-06-29</t>
  </si>
  <si>
    <t>19栋-4--203</t>
  </si>
  <si>
    <t>15栋-6--104</t>
  </si>
  <si>
    <t>15栋-6--204</t>
  </si>
  <si>
    <t>17栋-3--103</t>
  </si>
  <si>
    <t>38栋-1--103</t>
  </si>
  <si>
    <t>2021-06-28</t>
  </si>
  <si>
    <t>38栋-1--203</t>
  </si>
  <si>
    <t>16栋-1--104</t>
  </si>
  <si>
    <t>16栋-1--204</t>
  </si>
  <si>
    <t>16栋-3--101</t>
  </si>
  <si>
    <t>2021-06-25</t>
  </si>
  <si>
    <t>16栋-3--201</t>
  </si>
  <si>
    <t>17栋-1--101</t>
  </si>
  <si>
    <t>2021-06-24</t>
  </si>
  <si>
    <t>17栋-1--102</t>
  </si>
  <si>
    <t>17栋-1--201</t>
  </si>
  <si>
    <t>17栋-3--104</t>
  </si>
  <si>
    <t>17栋-3--204</t>
  </si>
  <si>
    <t>15栋-2--101</t>
  </si>
  <si>
    <t>2021-06-21</t>
  </si>
  <si>
    <t>15栋-2--201</t>
  </si>
  <si>
    <t>19栋-4--102</t>
  </si>
  <si>
    <t>2021-06-20</t>
  </si>
  <si>
    <t>19栋-4--202</t>
  </si>
  <si>
    <t>16栋-2--104</t>
  </si>
  <si>
    <t>2021-06-18</t>
  </si>
  <si>
    <t>16栋-2--204</t>
  </si>
  <si>
    <t>38栋-2--102</t>
  </si>
  <si>
    <t>2021-06-16</t>
  </si>
  <si>
    <t>38栋-2--202</t>
  </si>
  <si>
    <t>41栋-2--101</t>
  </si>
  <si>
    <t>2021-06-15</t>
  </si>
  <si>
    <t>41栋-2--201</t>
  </si>
  <si>
    <t>41栋-3--101</t>
  </si>
  <si>
    <t>41栋-3--201</t>
  </si>
  <si>
    <t>14栋-1--102</t>
  </si>
  <si>
    <t>14栋-1--201</t>
  </si>
  <si>
    <t>34栋-3--104</t>
  </si>
  <si>
    <t>2021-06-12</t>
  </si>
  <si>
    <t>34栋-3--203</t>
  </si>
  <si>
    <t>23栋-2--103</t>
  </si>
  <si>
    <t>2021-05-31</t>
  </si>
  <si>
    <t>16栋-1--102</t>
  </si>
  <si>
    <t>16栋-1--202</t>
  </si>
  <si>
    <t>16栋-2--101</t>
  </si>
  <si>
    <t>16栋-2--201</t>
  </si>
  <si>
    <t>16栋-3--104</t>
  </si>
  <si>
    <t>16栋-3--204</t>
  </si>
  <si>
    <t>16栋-1--101</t>
  </si>
  <si>
    <t>2021-05-29</t>
  </si>
  <si>
    <t>16栋-1--201</t>
  </si>
  <si>
    <t>20栋-2--102</t>
  </si>
  <si>
    <t>2021-05-25</t>
  </si>
  <si>
    <t>20栋-2--202</t>
  </si>
  <si>
    <t>27栋-2--101</t>
  </si>
  <si>
    <t>27栋-2--201</t>
  </si>
  <si>
    <t>27栋-3--103</t>
  </si>
  <si>
    <t>27栋-3--203</t>
  </si>
  <si>
    <t>14栋-3--104</t>
  </si>
  <si>
    <t>14栋-3--204</t>
  </si>
  <si>
    <t>15栋-1--101</t>
  </si>
  <si>
    <t>15栋-1--201</t>
  </si>
  <si>
    <t>39栋-2--104</t>
  </si>
  <si>
    <t>2021-05-15</t>
  </si>
  <si>
    <t>39栋-2--204</t>
  </si>
  <si>
    <t>15栋-4--101</t>
  </si>
  <si>
    <t>15栋-4--201</t>
  </si>
  <si>
    <t>15栋-3--101</t>
  </si>
  <si>
    <t>2021-05-09</t>
  </si>
  <si>
    <t>15栋-3--201</t>
  </si>
  <si>
    <t>20栋-1--104</t>
  </si>
  <si>
    <t>2021-04-30</t>
  </si>
  <si>
    <t>20栋-1--204</t>
  </si>
  <si>
    <t>41栋-1--104</t>
  </si>
  <si>
    <t>41栋-1--204</t>
  </si>
  <si>
    <t>37栋-2--104</t>
  </si>
  <si>
    <t>2021-03-31</t>
  </si>
  <si>
    <t>37栋-2--204</t>
  </si>
  <si>
    <t>33栋-4--102</t>
  </si>
  <si>
    <t>2021-03-30</t>
  </si>
  <si>
    <t>33栋-4--202</t>
  </si>
  <si>
    <t>21栋-2--104</t>
  </si>
  <si>
    <t>2021-03-25</t>
  </si>
  <si>
    <t>21栋-2--204</t>
  </si>
  <si>
    <t>21栋-3--101</t>
  </si>
  <si>
    <t>21栋-3--201</t>
  </si>
  <si>
    <t>39栋-1--104</t>
  </si>
  <si>
    <t>39栋-1--204</t>
  </si>
  <si>
    <t>41栋-3--103</t>
  </si>
  <si>
    <t>41栋-3--203</t>
  </si>
  <si>
    <t>19栋-3--102</t>
  </si>
  <si>
    <t>2021-03-01</t>
  </si>
  <si>
    <t>19栋-3--202</t>
  </si>
  <si>
    <t>27栋-4--101</t>
  </si>
  <si>
    <t>2021-02-28</t>
  </si>
  <si>
    <t>27栋-4--201</t>
  </si>
  <si>
    <t>30栋-2--101</t>
  </si>
  <si>
    <t>30栋-2--201</t>
  </si>
  <si>
    <t>30栋-2--104</t>
  </si>
  <si>
    <t>2021-02-26</t>
  </si>
  <si>
    <t>30栋-2--204</t>
  </si>
  <si>
    <t>37栋-2--101</t>
  </si>
  <si>
    <t>2021-02-25</t>
  </si>
  <si>
    <t>37栋-2--201</t>
  </si>
  <si>
    <t>21栋-1--104</t>
  </si>
  <si>
    <t>2021-01-31</t>
  </si>
  <si>
    <t>21栋-1--204</t>
  </si>
  <si>
    <t>21栋-3--104</t>
  </si>
  <si>
    <t>21栋-3--204</t>
  </si>
  <si>
    <t>38栋-3--103</t>
  </si>
  <si>
    <t>38栋-3--203</t>
  </si>
  <si>
    <t>24栋-3--102</t>
  </si>
  <si>
    <t>2020-12-30</t>
  </si>
  <si>
    <t>24栋-3--202</t>
  </si>
  <si>
    <t>40-a栋-1--101</t>
  </si>
  <si>
    <t>40-a栋-1--102</t>
  </si>
  <si>
    <t>40-a栋-1--103</t>
  </si>
  <si>
    <t>40-a栋-1--201</t>
  </si>
  <si>
    <t>40-a栋-1--202</t>
  </si>
  <si>
    <t>40-a栋-1--203</t>
  </si>
  <si>
    <t>30栋-1--101</t>
  </si>
  <si>
    <t>2020-12-26</t>
  </si>
  <si>
    <t>30栋-1--104</t>
  </si>
  <si>
    <t>30栋-1--201</t>
  </si>
  <si>
    <t>30栋-1--204</t>
  </si>
  <si>
    <t>37栋-1--104</t>
  </si>
  <si>
    <t>37栋-1--204</t>
  </si>
  <si>
    <t>37栋-3--104</t>
  </si>
  <si>
    <t>37栋-3--204</t>
  </si>
  <si>
    <t>19栋-5--202</t>
  </si>
  <si>
    <t>2020-12-25</t>
  </si>
  <si>
    <t>25栋-2--102</t>
  </si>
  <si>
    <t>2020-12-18</t>
  </si>
  <si>
    <t>25栋-2--202</t>
  </si>
  <si>
    <t>21栋-1--101</t>
  </si>
  <si>
    <t>2020-12-14</t>
  </si>
  <si>
    <t>21栋-1--201</t>
  </si>
  <si>
    <t>21栋-2--101</t>
  </si>
  <si>
    <t>21栋-2--201</t>
  </si>
  <si>
    <t>37栋-3--101</t>
  </si>
  <si>
    <t>2020-12-11</t>
  </si>
  <si>
    <t>37栋-3--201</t>
  </si>
  <si>
    <t>20栋-1--101</t>
  </si>
  <si>
    <t>2020-11-30</t>
  </si>
  <si>
    <t>20栋-1--201</t>
  </si>
  <si>
    <t>20栋-2--104</t>
  </si>
  <si>
    <t>20栋-2--204</t>
  </si>
  <si>
    <t>20栋-3--101</t>
  </si>
  <si>
    <t>20栋-3--201</t>
  </si>
  <si>
    <t>29栋-3--101</t>
  </si>
  <si>
    <t>29栋-3--201</t>
  </si>
  <si>
    <t>37栋-1--101</t>
  </si>
  <si>
    <t>37栋-1--102</t>
  </si>
  <si>
    <t>37栋-1--103</t>
  </si>
  <si>
    <t>37栋-1--201</t>
  </si>
  <si>
    <t>37栋-1--202</t>
  </si>
  <si>
    <t>37栋-1--203</t>
  </si>
  <si>
    <t>25栋-1--104</t>
  </si>
  <si>
    <t>2020-11-28</t>
  </si>
  <si>
    <t>25栋-1--204</t>
  </si>
  <si>
    <t>20栋-2--101</t>
  </si>
  <si>
    <t>2020-11-27</t>
  </si>
  <si>
    <t>20栋-2--201</t>
  </si>
  <si>
    <t>20栋-3--104</t>
  </si>
  <si>
    <t>2020-11-23</t>
  </si>
  <si>
    <t>20栋-3--204</t>
  </si>
  <si>
    <t>19栋-3--104</t>
  </si>
  <si>
    <t>2020-10-31</t>
  </si>
  <si>
    <t>19栋-3--204</t>
  </si>
  <si>
    <t>28栋-1--104</t>
  </si>
  <si>
    <t>28栋-1--204</t>
  </si>
  <si>
    <t>28栋-3--101</t>
  </si>
  <si>
    <t>28栋-3--201</t>
  </si>
  <si>
    <t>29栋-2--104</t>
  </si>
  <si>
    <t>29栋-2--204</t>
  </si>
  <si>
    <t>30栋-3--101</t>
  </si>
  <si>
    <t>30栋-3--104</t>
  </si>
  <si>
    <t>30栋-3--201</t>
  </si>
  <si>
    <t>30栋-3--204</t>
  </si>
  <si>
    <t>28栋-2--101</t>
  </si>
  <si>
    <t>2020-10-30</t>
  </si>
  <si>
    <t>28栋-2--201</t>
  </si>
  <si>
    <t>24栋-2--102</t>
  </si>
  <si>
    <t>2020-10-29</t>
  </si>
  <si>
    <t>24栋-2--202</t>
  </si>
  <si>
    <t>36栋-3--101</t>
  </si>
  <si>
    <t>2020-10-26</t>
  </si>
  <si>
    <t>36栋-3--201</t>
  </si>
  <si>
    <t>19栋-1--103</t>
  </si>
  <si>
    <t>2020-10-24</t>
  </si>
  <si>
    <t>19栋-1--203</t>
  </si>
  <si>
    <t>25栋-3--104</t>
  </si>
  <si>
    <t>2020-09-30</t>
  </si>
  <si>
    <t>25栋-3--204</t>
  </si>
  <si>
    <t>27栋-1--101</t>
  </si>
  <si>
    <t>27栋-1--201</t>
  </si>
  <si>
    <t>25栋-2--104</t>
  </si>
  <si>
    <t>2020-09-20</t>
  </si>
  <si>
    <t>25栋-2--204</t>
  </si>
  <si>
    <t>25栋-2--101</t>
  </si>
  <si>
    <t>2020-09-19</t>
  </si>
  <si>
    <t>25栋-2--201</t>
  </si>
  <si>
    <t>33栋-4--103</t>
  </si>
  <si>
    <t>2020-09-04</t>
  </si>
  <si>
    <t>33栋-4--203</t>
  </si>
  <si>
    <t>25栋-3--102</t>
  </si>
  <si>
    <t>2020-08-31</t>
  </si>
  <si>
    <t>25栋-3--202</t>
  </si>
  <si>
    <t>28栋-2--104</t>
  </si>
  <si>
    <t>28栋-2--204</t>
  </si>
  <si>
    <t>29栋-2--101</t>
  </si>
  <si>
    <t>29栋-2--201</t>
  </si>
  <si>
    <t>31栋-3--102</t>
  </si>
  <si>
    <t>31栋-3--202</t>
  </si>
  <si>
    <t>28栋-1--101</t>
  </si>
  <si>
    <t>2020-08-30</t>
  </si>
  <si>
    <t>28栋-1--201</t>
  </si>
  <si>
    <t>35栋-4--102</t>
  </si>
  <si>
    <t>2020-08-27</t>
  </si>
  <si>
    <t>35栋-4--201</t>
  </si>
  <si>
    <t>24栋-1--103</t>
  </si>
  <si>
    <t>2020-08-25</t>
  </si>
  <si>
    <t>24栋-1--203</t>
  </si>
  <si>
    <t>29栋-3--104</t>
  </si>
  <si>
    <t>2020-08-24</t>
  </si>
  <si>
    <t>29栋-3--204</t>
  </si>
  <si>
    <t>24栋-1--104</t>
  </si>
  <si>
    <t>2020-08-16</t>
  </si>
  <si>
    <t>24栋-1--204</t>
  </si>
  <si>
    <t>24栋-2--104</t>
  </si>
  <si>
    <t>2020-08-12</t>
  </si>
  <si>
    <t>24栋-2--204</t>
  </si>
  <si>
    <t>25栋-1--101</t>
  </si>
  <si>
    <t>2020-08-09</t>
  </si>
  <si>
    <t>25栋-1--201</t>
  </si>
  <si>
    <t>24栋-2--101</t>
  </si>
  <si>
    <t>2020-08-07</t>
  </si>
  <si>
    <t>24栋-2--201</t>
  </si>
  <si>
    <t>19栋-2--104</t>
  </si>
  <si>
    <t>2020-08-06</t>
  </si>
  <si>
    <t>19栋-2--204</t>
  </si>
  <si>
    <t>19栋-5--104</t>
  </si>
  <si>
    <t>2020-08-03</t>
  </si>
  <si>
    <t>19栋-5--204</t>
  </si>
  <si>
    <t>23栋-4--101</t>
  </si>
  <si>
    <t>2020-08-02</t>
  </si>
  <si>
    <t>19栋-1--102</t>
  </si>
  <si>
    <t>2020-07-31</t>
  </si>
  <si>
    <t>19栋-1--104</t>
  </si>
  <si>
    <t>19栋-1--202</t>
  </si>
  <si>
    <t>19栋-1--204</t>
  </si>
  <si>
    <t>19栋-2--102</t>
  </si>
  <si>
    <t>19栋-2--202</t>
  </si>
  <si>
    <t>19栋-3--103</t>
  </si>
  <si>
    <t>19栋-3--203</t>
  </si>
  <si>
    <t>19栋-4--104</t>
  </si>
  <si>
    <t>19栋-4--204</t>
  </si>
  <si>
    <t>19栋-5--101</t>
  </si>
  <si>
    <t>19栋-1--101</t>
  </si>
  <si>
    <t>2020-07-30</t>
  </si>
  <si>
    <t>19栋-1--201</t>
  </si>
  <si>
    <t>19栋-3--101</t>
  </si>
  <si>
    <t>19栋-3--201</t>
  </si>
  <si>
    <t>19栋-4--101</t>
  </si>
  <si>
    <t>19栋-4--201</t>
  </si>
  <si>
    <t>23栋-1--101</t>
  </si>
  <si>
    <t>23栋-1--201</t>
  </si>
  <si>
    <t>23栋-1--104</t>
  </si>
  <si>
    <t>2020-07-29</t>
  </si>
  <si>
    <t>23栋-1--204</t>
  </si>
  <si>
    <t>23栋-1--102</t>
  </si>
  <si>
    <t>2020-07-27</t>
  </si>
  <si>
    <t>23栋-1--202</t>
  </si>
  <si>
    <t>19栋-2--101</t>
  </si>
  <si>
    <t>2020-07-20</t>
  </si>
  <si>
    <t>19栋-2--201</t>
  </si>
  <si>
    <t>31栋-3--101</t>
  </si>
  <si>
    <t>31栋-3--201</t>
  </si>
  <si>
    <t>23栋-4--103</t>
  </si>
  <si>
    <t>2020-06-30</t>
  </si>
  <si>
    <t>23栋-4--202</t>
  </si>
  <si>
    <t>24栋-1--102</t>
  </si>
  <si>
    <t>24栋-1--202</t>
  </si>
  <si>
    <t>24栋-3--104</t>
  </si>
  <si>
    <t>24栋-3--204</t>
  </si>
  <si>
    <t>25栋-3--101</t>
  </si>
  <si>
    <t>25栋-3--201</t>
  </si>
  <si>
    <t>28栋-1--102</t>
  </si>
  <si>
    <t>28栋-1--202</t>
  </si>
  <si>
    <t>28栋-3--104</t>
  </si>
  <si>
    <t>28栋-3--204</t>
  </si>
  <si>
    <t>31栋-2--104</t>
  </si>
  <si>
    <t>31栋-2--204</t>
  </si>
  <si>
    <t>32栋-4--103</t>
  </si>
  <si>
    <t>32栋-4--203</t>
  </si>
  <si>
    <t>34栋-3--102</t>
  </si>
  <si>
    <t>34栋-3--201</t>
  </si>
  <si>
    <t>23栋-2--101</t>
  </si>
  <si>
    <t>2020-06-29</t>
  </si>
  <si>
    <t>23栋-2--201</t>
  </si>
  <si>
    <t>24栋-1--101</t>
  </si>
  <si>
    <t>24栋-1--201</t>
  </si>
  <si>
    <t>24栋-2--103</t>
  </si>
  <si>
    <t>24栋-2--203</t>
  </si>
  <si>
    <t>31栋-1--104</t>
  </si>
  <si>
    <t>31栋-1--204</t>
  </si>
  <si>
    <t>23栋-4--104</t>
  </si>
  <si>
    <t>2020-06-28</t>
  </si>
  <si>
    <t>23栋-4--203</t>
  </si>
  <si>
    <t>27栋-3--101</t>
  </si>
  <si>
    <t>27栋-3--201</t>
  </si>
  <si>
    <t>27栋-4--103</t>
  </si>
  <si>
    <t>2020-06-27</t>
  </si>
  <si>
    <t>27栋-4--203</t>
  </si>
  <si>
    <t>27栋-1--102</t>
  </si>
  <si>
    <t>2020-06-25</t>
  </si>
  <si>
    <t>27栋-1--104</t>
  </si>
  <si>
    <t>27栋-1--202</t>
  </si>
  <si>
    <t>27栋-1--204</t>
  </si>
  <si>
    <t>34栋-3--103</t>
  </si>
  <si>
    <t>34栋-3--202</t>
  </si>
  <si>
    <t>31栋-2--102</t>
  </si>
  <si>
    <t>2020-06-22</t>
  </si>
  <si>
    <t>31栋-2--202</t>
  </si>
  <si>
    <t>31栋-3--103</t>
  </si>
  <si>
    <t>2020-06-21</t>
  </si>
  <si>
    <t>31栋-3--203</t>
  </si>
  <si>
    <t>32栋-5--103</t>
  </si>
  <si>
    <t>2020-06-20</t>
  </si>
  <si>
    <t>32栋-5--203</t>
  </si>
  <si>
    <t>23栋-3--101</t>
  </si>
  <si>
    <t>2020-06-18</t>
  </si>
  <si>
    <t>23栋-3--201</t>
  </si>
  <si>
    <t>24栋-3--101</t>
  </si>
  <si>
    <t>2020-05-31</t>
  </si>
  <si>
    <t>24栋-3--201</t>
  </si>
  <si>
    <t>25栋-1--103</t>
  </si>
  <si>
    <t>25栋-1--203</t>
  </si>
  <si>
    <t>27栋-3--104</t>
  </si>
  <si>
    <t>27栋-3--204</t>
  </si>
  <si>
    <t>27栋-4--104</t>
  </si>
  <si>
    <t>27栋-4--204</t>
  </si>
  <si>
    <t>29栋-1--101</t>
  </si>
  <si>
    <t>29栋-1--201</t>
  </si>
  <si>
    <t>31栋-1--101</t>
  </si>
  <si>
    <t>31栋-1--103</t>
  </si>
  <si>
    <t>31栋-1--201</t>
  </si>
  <si>
    <t>31栋-1--203</t>
  </si>
  <si>
    <t>31栋-3--104</t>
  </si>
  <si>
    <t>31栋-3--204</t>
  </si>
  <si>
    <t>32栋-6--102</t>
  </si>
  <si>
    <t>32栋-6--202</t>
  </si>
  <si>
    <t>27栋-2--104</t>
  </si>
  <si>
    <t>2020-05-30</t>
  </si>
  <si>
    <t>27栋-2--204</t>
  </si>
  <si>
    <t>31栋-2--101</t>
  </si>
  <si>
    <t>31栋-2--201</t>
  </si>
  <si>
    <t>34栋-2--102</t>
  </si>
  <si>
    <t>34栋-2--202</t>
  </si>
  <si>
    <t>32栋-5--102</t>
  </si>
  <si>
    <t>2020-05-29</t>
  </si>
  <si>
    <t>32栋-5--202</t>
  </si>
  <si>
    <t>32栋-3--103</t>
  </si>
  <si>
    <t>2020-05-02</t>
  </si>
  <si>
    <t>32栋-3--203</t>
  </si>
  <si>
    <t>33栋-1--104</t>
  </si>
  <si>
    <t>2020-04-30</t>
  </si>
  <si>
    <t>33栋-2--104</t>
  </si>
  <si>
    <t>33栋-2--204</t>
  </si>
  <si>
    <t>34栋-2--101</t>
  </si>
  <si>
    <t>34栋-2--201</t>
  </si>
  <si>
    <t>34栋-1--101</t>
  </si>
  <si>
    <t>2020-04-29</t>
  </si>
  <si>
    <t>34栋-1--201</t>
  </si>
  <si>
    <t>28栋-3--102</t>
  </si>
  <si>
    <t>2020-04-26</t>
  </si>
  <si>
    <t>28栋-3--202</t>
  </si>
  <si>
    <t>33栋-4--101</t>
  </si>
  <si>
    <t>2020-04-25</t>
  </si>
  <si>
    <t>33栋-4--201</t>
  </si>
  <si>
    <t>34栋-1--104</t>
  </si>
  <si>
    <t>34栋-1--204</t>
  </si>
  <si>
    <t>34栋-3--101</t>
  </si>
  <si>
    <t>2020-04-24</t>
  </si>
  <si>
    <t>32栋-3--102</t>
  </si>
  <si>
    <t>2020-04-23</t>
  </si>
  <si>
    <t>33栋-2--101</t>
  </si>
  <si>
    <t>33栋-2--201</t>
  </si>
  <si>
    <t>33栋-3--104</t>
  </si>
  <si>
    <t>33栋-3--204</t>
  </si>
  <si>
    <t>34栋-2--104</t>
  </si>
  <si>
    <t>34栋-2--204</t>
  </si>
  <si>
    <t>32栋-1--103</t>
  </si>
  <si>
    <t>2020-04-22</t>
  </si>
  <si>
    <t>32栋-1--203</t>
  </si>
  <si>
    <t>32栋-3--202</t>
  </si>
  <si>
    <t>33栋-3--101</t>
  </si>
  <si>
    <t>33栋-3--201</t>
  </si>
  <si>
    <t>32栋-4--102</t>
  </si>
  <si>
    <t>2020-04-12</t>
  </si>
  <si>
    <t>32栋-4--202</t>
  </si>
  <si>
    <t>32栋-6--103</t>
  </si>
  <si>
    <t>2020-03-31</t>
  </si>
  <si>
    <t>32栋-6--203</t>
  </si>
  <si>
    <t>33栋-4--104</t>
  </si>
  <si>
    <t>33栋-4--204</t>
  </si>
  <si>
    <t>38栋-1--104</t>
  </si>
  <si>
    <t>2020-03-30</t>
  </si>
  <si>
    <t>38栋-1--101</t>
  </si>
  <si>
    <t>2020-03-29</t>
  </si>
  <si>
    <t>38栋-1--201</t>
  </si>
  <si>
    <t>32栋-6--101</t>
  </si>
  <si>
    <t>2020-03-25</t>
  </si>
  <si>
    <t>32栋-6--201</t>
  </si>
  <si>
    <t>30栋-3--103</t>
  </si>
  <si>
    <t>2020-03-23</t>
  </si>
  <si>
    <t>30栋-3--203</t>
  </si>
  <si>
    <t>35栋-1--103</t>
  </si>
  <si>
    <t>2020-02-29</t>
  </si>
  <si>
    <t>35栋-1--203</t>
  </si>
  <si>
    <t>35栋-2--202</t>
  </si>
  <si>
    <t>35栋-3--102</t>
  </si>
  <si>
    <t>35栋-3--103</t>
  </si>
  <si>
    <t>35栋-3--202</t>
  </si>
  <si>
    <t>35栋-3--203</t>
  </si>
  <si>
    <t>32栋-1--104</t>
  </si>
  <si>
    <t>2020-01-16</t>
  </si>
  <si>
    <t>32栋-1--204</t>
  </si>
  <si>
    <t>32栋-2--102</t>
  </si>
  <si>
    <t>2019-12-31</t>
  </si>
  <si>
    <t>32栋-2--202</t>
  </si>
  <si>
    <t>38栋-2--104</t>
  </si>
  <si>
    <t>38栋-2--204</t>
  </si>
  <si>
    <t>35栋-3--104</t>
  </si>
  <si>
    <t>2019-12-30</t>
  </si>
  <si>
    <t>35栋-3--204</t>
  </si>
  <si>
    <t>38栋-3--104</t>
  </si>
  <si>
    <t>38栋-3--204</t>
  </si>
  <si>
    <t>32栋-5--101</t>
  </si>
  <si>
    <t>2019-12-29</t>
  </si>
  <si>
    <t>32栋-5--201</t>
  </si>
  <si>
    <t>38栋-2--101</t>
  </si>
  <si>
    <t>38栋-2--201</t>
  </si>
  <si>
    <t>38栋-3--101</t>
  </si>
  <si>
    <t>38栋-3--201</t>
  </si>
  <si>
    <t>32栋-4--101</t>
  </si>
  <si>
    <t>2019-12-28</t>
  </si>
  <si>
    <t>32栋-4--201</t>
  </si>
  <si>
    <t>35栋-1--102</t>
  </si>
  <si>
    <t>2019-12-27</t>
  </si>
  <si>
    <t>35栋-1--202</t>
  </si>
  <si>
    <t>32栋-5--104</t>
  </si>
  <si>
    <t>2019-12-24</t>
  </si>
  <si>
    <t>32栋-5--204</t>
  </si>
  <si>
    <t>32栋-4--104</t>
  </si>
  <si>
    <t>2019-12-15</t>
  </si>
  <si>
    <t>32栋-4--204</t>
  </si>
  <si>
    <t>32栋-6--104</t>
  </si>
  <si>
    <t>32栋-6--204</t>
  </si>
  <si>
    <t>32栋-3--104</t>
  </si>
  <si>
    <t>2019-12-14</t>
  </si>
  <si>
    <t>32栋-3--204</t>
  </si>
  <si>
    <t>35栋-4--101</t>
  </si>
  <si>
    <t>2019-12-10</t>
  </si>
  <si>
    <t>32栋-3--101</t>
  </si>
  <si>
    <t>2019-12-08</t>
  </si>
  <si>
    <t>32栋-3--201</t>
  </si>
  <si>
    <t>36栋-3--104</t>
  </si>
  <si>
    <t>36栋-3--204</t>
  </si>
  <si>
    <t>36栋-4--104</t>
  </si>
  <si>
    <t>36栋-4--204</t>
  </si>
  <si>
    <t>32栋-2--104</t>
  </si>
  <si>
    <t>2019-12-04</t>
  </si>
  <si>
    <t>32栋-2--204</t>
  </si>
  <si>
    <t>35栋-4--104</t>
  </si>
  <si>
    <t>2019-11-29</t>
  </si>
  <si>
    <t>35栋-4--203</t>
  </si>
  <si>
    <t>36栋-5--101</t>
  </si>
  <si>
    <t>2019-11-26</t>
  </si>
  <si>
    <t>36栋-5--201</t>
  </si>
  <si>
    <t>36栋-5--104</t>
  </si>
  <si>
    <t>2019-11-25</t>
  </si>
  <si>
    <t>36栋-5--204</t>
  </si>
  <si>
    <t>35栋-3--101</t>
  </si>
  <si>
    <t>2019-11-24</t>
  </si>
  <si>
    <t>35栋-3--201</t>
  </si>
  <si>
    <t>32栋-1--101</t>
  </si>
  <si>
    <t>2019-11-23</t>
  </si>
  <si>
    <t>32栋-1--201</t>
  </si>
  <si>
    <t>36栋-1--104</t>
  </si>
  <si>
    <t>36栋-1--204</t>
  </si>
  <si>
    <t>35栋-2--104</t>
  </si>
  <si>
    <t>2019-11-22</t>
  </si>
  <si>
    <t>35栋-2--204</t>
  </si>
  <si>
    <t>36栋-2--104</t>
  </si>
  <si>
    <t>2019-11-16</t>
  </si>
  <si>
    <t>36栋-2--204</t>
  </si>
  <si>
    <t>35栋-2--101</t>
  </si>
  <si>
    <t>2019-11-15</t>
  </si>
  <si>
    <t>35栋-2--201</t>
  </si>
  <si>
    <t>35栋-1--101</t>
  </si>
  <si>
    <t>2019-11-14</t>
  </si>
  <si>
    <t>35栋-1--104</t>
  </si>
  <si>
    <t>35栋-1--201</t>
  </si>
  <si>
    <t>35栋-1--204</t>
  </si>
  <si>
    <t>32栋-2--101</t>
  </si>
  <si>
    <t>2019-11-13</t>
  </si>
  <si>
    <t>32栋-2--201</t>
  </si>
  <si>
    <t>36栋-4--101</t>
  </si>
  <si>
    <t>2019-11-12</t>
  </si>
  <si>
    <t>36栋-4--201</t>
  </si>
  <si>
    <t>35栋-2--103</t>
  </si>
  <si>
    <t>2019-10-02</t>
  </si>
  <si>
    <t>35栋-2--203</t>
  </si>
  <si>
    <t>31栋-1--102</t>
  </si>
  <si>
    <t>2019-08-19</t>
  </si>
  <si>
    <t>31栋-1--202</t>
  </si>
  <si>
    <t>24栋-3--103</t>
  </si>
  <si>
    <t>2019-07-25</t>
  </si>
  <si>
    <t>24栋-3--203</t>
  </si>
  <si>
    <t>34栋-2--103</t>
  </si>
  <si>
    <t>2019-07-17</t>
  </si>
  <si>
    <t>34栋-2--203</t>
  </si>
  <si>
    <t>25栋-1--102</t>
  </si>
  <si>
    <t>2019-06-30</t>
  </si>
  <si>
    <t>25栋-1--202</t>
  </si>
  <si>
    <t>32栋-1--102</t>
  </si>
  <si>
    <t>32栋-1--202</t>
  </si>
  <si>
    <t>25栋-3--103</t>
  </si>
  <si>
    <t>2019-06-28</t>
  </si>
  <si>
    <t>25栋-3--203</t>
  </si>
  <si>
    <t>28栋-3--103</t>
  </si>
  <si>
    <t>2019-06-27</t>
  </si>
  <si>
    <t>28栋-3--203</t>
  </si>
  <si>
    <t>29栋-1--102</t>
  </si>
  <si>
    <t>2019-06-26</t>
  </si>
  <si>
    <t>29栋-1--202</t>
  </si>
  <si>
    <t>34栋-1--102</t>
  </si>
  <si>
    <t>2019-06-24</t>
  </si>
  <si>
    <t>34栋-1--202</t>
  </si>
  <si>
    <t>地下车库-A--10001</t>
  </si>
  <si>
    <t>地下车库-A--10002</t>
  </si>
  <si>
    <t>地下车库-A--10003</t>
  </si>
  <si>
    <t>地下车库-A--10004</t>
  </si>
  <si>
    <t>地下车库-A--10005</t>
  </si>
  <si>
    <t>地下车库-A--10006</t>
  </si>
  <si>
    <t>地下车库-A--10007</t>
  </si>
  <si>
    <t>地下车库-A--10008</t>
  </si>
  <si>
    <t>地下车库-A--10009</t>
  </si>
  <si>
    <t>地下车库-A--10010</t>
  </si>
  <si>
    <t>地下车库-A--10011</t>
  </si>
  <si>
    <t>地下车库-A--10012</t>
  </si>
  <si>
    <t>地下车库-A--10013</t>
  </si>
  <si>
    <t>地下车库-A--10014</t>
  </si>
  <si>
    <t>地下车库-A--10015</t>
  </si>
  <si>
    <t>地下车库-A--10016</t>
  </si>
  <si>
    <t>地下车库-A--10017</t>
  </si>
  <si>
    <t>地下车库-A--10018</t>
  </si>
  <si>
    <t>地下车库-A--10019</t>
  </si>
  <si>
    <t>地下车库-A--10020</t>
  </si>
  <si>
    <t>地下车库-A--10021</t>
  </si>
  <si>
    <t>地下车库-A--10022</t>
  </si>
  <si>
    <t>地下车库-A--10023</t>
  </si>
  <si>
    <t>地下车库-A--10024</t>
  </si>
  <si>
    <t>地下车库-A--10025</t>
  </si>
  <si>
    <t>地下车库-A--10026</t>
  </si>
  <si>
    <t>地下车库-A--10027</t>
  </si>
  <si>
    <t>地下车库-A--10028</t>
  </si>
  <si>
    <t>地下车库-A--10029</t>
  </si>
  <si>
    <t>地下车库-A--10030</t>
  </si>
  <si>
    <t>地下车库-A--10031</t>
  </si>
  <si>
    <t>地下车库-A--10032</t>
  </si>
  <si>
    <t>地下车库-A--10033</t>
  </si>
  <si>
    <t>地下车库-A--10034</t>
  </si>
  <si>
    <t>地下车库-A--10035</t>
  </si>
  <si>
    <t>地下车库-A--10036</t>
  </si>
  <si>
    <t>地下车库-A--10037</t>
  </si>
  <si>
    <t>地下车库-A--10038</t>
  </si>
  <si>
    <t>地下车库-A--10039</t>
  </si>
  <si>
    <t>地下车库-A--10040</t>
  </si>
  <si>
    <t>地下车库-A--10041</t>
  </si>
  <si>
    <t>地下车库-A--10042</t>
  </si>
  <si>
    <t>地下车库-A--10043</t>
  </si>
  <si>
    <t>地下车库-A--10044</t>
  </si>
  <si>
    <t>地下车库-A--10045</t>
  </si>
  <si>
    <t>地下车库-A--10046</t>
  </si>
  <si>
    <t>地下车库-A--10047</t>
  </si>
  <si>
    <t>地下车库-A--10048</t>
  </si>
  <si>
    <t>地下车库-A--10049</t>
  </si>
  <si>
    <t>地下车库-A--10050</t>
  </si>
  <si>
    <t>地下车库-A--10051</t>
  </si>
  <si>
    <t>地下车库-A--10052</t>
  </si>
  <si>
    <t>地下车库-A--10053</t>
  </si>
  <si>
    <t>地下车库-A--10054</t>
  </si>
  <si>
    <t>地下车库-A--10055</t>
  </si>
  <si>
    <t>地下车库-A--10057</t>
  </si>
  <si>
    <t>地下车库-A--10058</t>
  </si>
  <si>
    <t>地下车库-A--10059</t>
  </si>
  <si>
    <t>地下车库-A--10060</t>
  </si>
  <si>
    <t>地下车库-A--10061</t>
  </si>
  <si>
    <t>地下车库-A--10062</t>
  </si>
  <si>
    <t>地下车库-A--10063</t>
  </si>
  <si>
    <t>地下车库-A--10064</t>
  </si>
  <si>
    <t>地下车库-A--10065</t>
  </si>
  <si>
    <t>地下车库-A--10066</t>
  </si>
  <si>
    <t>地下车库-A--10067</t>
  </si>
  <si>
    <t>地下车库-A--10068</t>
  </si>
  <si>
    <t>地下车库-A--10069</t>
  </si>
  <si>
    <t>地下车库-A--10070</t>
  </si>
  <si>
    <t>地下车库-A--10071</t>
  </si>
  <si>
    <t>地下车库-A--10072</t>
  </si>
  <si>
    <t>地下车库-A--10073</t>
  </si>
  <si>
    <t>地下车库-A--10074</t>
  </si>
  <si>
    <t>地下车库-A--10075</t>
  </si>
  <si>
    <t>地下车库-A--10076</t>
  </si>
  <si>
    <t>地下车库-A--10077</t>
  </si>
  <si>
    <t>地下车库-A--10078</t>
  </si>
  <si>
    <t>地下车库-A--10079</t>
  </si>
  <si>
    <t>地下车库-A--10080</t>
  </si>
  <si>
    <t>地下车库-A--10081</t>
  </si>
  <si>
    <t>地下车库-A--10082</t>
  </si>
  <si>
    <t>地下车库-A--10083</t>
  </si>
  <si>
    <t>地下车库-A--10084</t>
  </si>
  <si>
    <t>地下车库-A--10085</t>
  </si>
  <si>
    <t>地下车库-A--10086</t>
  </si>
  <si>
    <t>地下车库-A--10087</t>
  </si>
  <si>
    <t>地下车库-A--10088</t>
  </si>
  <si>
    <t>地下车库-A--10089</t>
  </si>
  <si>
    <t>地下车库-A--10090</t>
  </si>
  <si>
    <t>地下车库-A--10091</t>
  </si>
  <si>
    <t>地下车库-A--10092</t>
  </si>
  <si>
    <t>地下车库-A--10093</t>
  </si>
  <si>
    <t>地下车库-A--10094</t>
  </si>
  <si>
    <t>地下车库-A--10095</t>
  </si>
  <si>
    <t>地下车库-A--10096</t>
  </si>
  <si>
    <t>地下车库-A--10097</t>
  </si>
  <si>
    <t>地下车库-A--10098</t>
  </si>
  <si>
    <t>地下车库-A--10099</t>
  </si>
  <si>
    <t>地下车库-A--10100</t>
  </si>
  <si>
    <t>地下车库-A--10101</t>
  </si>
  <si>
    <t>地下车库-A--10102</t>
  </si>
  <si>
    <t>地下车库-A--10103</t>
  </si>
  <si>
    <t>地下车库-A--10104</t>
  </si>
  <si>
    <t>地下车库-A--10105</t>
  </si>
  <si>
    <t>地下车库-A--10106</t>
  </si>
  <si>
    <t>地下车库-A--10107</t>
  </si>
  <si>
    <t>地下车库-A--10108</t>
  </si>
  <si>
    <t>地下车库-A--10109</t>
  </si>
  <si>
    <t>地下车库-A--10110</t>
  </si>
  <si>
    <t>地下车库-A--10111</t>
  </si>
  <si>
    <t>地下车库-A--10112</t>
  </si>
  <si>
    <t>地下车库-A--10113</t>
  </si>
  <si>
    <t>地下车库-A--10114</t>
  </si>
  <si>
    <t>地下车库-A--10115</t>
  </si>
  <si>
    <t>地下车库-A--10116</t>
  </si>
  <si>
    <t>地下车库-A--10117</t>
  </si>
  <si>
    <t>地下车库-A--10118</t>
  </si>
  <si>
    <t>地下车库-A--10119</t>
  </si>
  <si>
    <t>地下车库-A--10120</t>
  </si>
  <si>
    <t>地下车库-A--10121</t>
  </si>
  <si>
    <t>地下车库-A--10122</t>
  </si>
  <si>
    <t>地下车库-A--10123</t>
  </si>
  <si>
    <t>地下车库-A--10124</t>
  </si>
  <si>
    <t>地下车库-A--10125</t>
  </si>
  <si>
    <t>地下车库-A--10126</t>
  </si>
  <si>
    <t>地下车库-A--10127</t>
  </si>
  <si>
    <t>地下车库-A--10128</t>
  </si>
  <si>
    <t>地下车库-A--10129</t>
  </si>
  <si>
    <t>地下车库-A--10130</t>
  </si>
  <si>
    <t>地下车库-A--10131</t>
  </si>
  <si>
    <t>地下车库-A--10132</t>
  </si>
  <si>
    <t>地下车库-A--10133</t>
  </si>
  <si>
    <t>地下车库-A--10134</t>
  </si>
  <si>
    <t>地下车库-A--10135</t>
  </si>
  <si>
    <t>地下车库-A--10136</t>
  </si>
  <si>
    <t>地下车库-A--10137</t>
  </si>
  <si>
    <t>地下车库-A--10138</t>
  </si>
  <si>
    <t>地下车库-A--10139</t>
  </si>
  <si>
    <t>地下车库-A--10140</t>
  </si>
  <si>
    <t>地下车库-A--10141</t>
  </si>
  <si>
    <t>地下车库-A--10142</t>
  </si>
  <si>
    <t>地下车库-A--10143</t>
  </si>
  <si>
    <t>地下车库-A--10144</t>
  </si>
  <si>
    <t>地下车库-A--10145</t>
  </si>
  <si>
    <t>地下车库-A--10146</t>
  </si>
  <si>
    <t>地下车库-A--10147</t>
  </si>
  <si>
    <t>地下车库-A--10148</t>
  </si>
  <si>
    <t>地下车库-A--10149</t>
  </si>
  <si>
    <t>地下车库-A--10150</t>
  </si>
  <si>
    <t>地下车库-A--10151</t>
  </si>
  <si>
    <t>地下车库-A--10152</t>
  </si>
  <si>
    <t>地下车库-A--10153</t>
  </si>
  <si>
    <t>地下车库-A--10154</t>
  </si>
  <si>
    <t>地下车库-A--10155</t>
  </si>
  <si>
    <t>地下车库-A--10156</t>
  </si>
  <si>
    <t>地下车库-A--10157</t>
  </si>
  <si>
    <t>地下车库-A--10158</t>
  </si>
  <si>
    <t>地下车库-A--10159</t>
  </si>
  <si>
    <t>地下车库-A--10160</t>
  </si>
  <si>
    <t>地下车库-A--10161</t>
  </si>
  <si>
    <t>地下车库-A--10162</t>
  </si>
  <si>
    <t>地下车库-A--10163</t>
  </si>
  <si>
    <t>地下车库-A--10164</t>
  </si>
  <si>
    <t>地下车库-A--10165</t>
  </si>
  <si>
    <t>地下车库-A--10166</t>
  </si>
  <si>
    <t>地下车库-A--10167</t>
  </si>
  <si>
    <t>地下车库-A--10168</t>
  </si>
  <si>
    <t>地下车库-A--10169</t>
  </si>
  <si>
    <t>地下车库-A--10170</t>
  </si>
  <si>
    <t>地下车库-A--10171</t>
  </si>
  <si>
    <t>地下车库-A--10172</t>
  </si>
  <si>
    <t>地下车库-A--10173</t>
  </si>
  <si>
    <t>地下车库-A--10174</t>
  </si>
  <si>
    <t>地下车库-A--10175</t>
  </si>
  <si>
    <t>地下车库-A--10176</t>
  </si>
  <si>
    <t>地下车库-A--10177</t>
  </si>
  <si>
    <t>地下车库-A--10178</t>
  </si>
  <si>
    <t>地下车库-A--10179</t>
  </si>
  <si>
    <t>地下车库-A--10180</t>
  </si>
  <si>
    <t>地下车库-A--10181</t>
  </si>
  <si>
    <t>地下车库-A--10182</t>
  </si>
  <si>
    <t>地下车库-A--10183</t>
  </si>
  <si>
    <t>地下车库-A--10184</t>
  </si>
  <si>
    <t>地下车库-A--10185</t>
  </si>
  <si>
    <t>地下车库-A--10186</t>
  </si>
  <si>
    <t>地下车库-A--10187</t>
  </si>
  <si>
    <t>地下车库-A--10188</t>
  </si>
  <si>
    <t>地下车库-A--10189</t>
  </si>
  <si>
    <t>地下车库-A--10190</t>
  </si>
  <si>
    <t>地下车库-A--10191</t>
  </si>
  <si>
    <t>地下车库-A--10192</t>
  </si>
  <si>
    <t>地下车库-A--10193</t>
  </si>
  <si>
    <t>地下车库-A--10194</t>
  </si>
  <si>
    <t>地下车库-A--10195</t>
  </si>
  <si>
    <t>地下车库-A--10196</t>
  </si>
  <si>
    <t>地下车库-A--10197</t>
  </si>
  <si>
    <t>地下车库-A--10198</t>
  </si>
  <si>
    <t>地下车库-A--10199</t>
  </si>
  <si>
    <t>地下车库-A-101幢B10525、B10526</t>
  </si>
  <si>
    <t>地下车库-A-101幢B10527、B10528</t>
  </si>
  <si>
    <t>地下车库-A-101幢B10529、B10530</t>
  </si>
  <si>
    <t>地下车库-A-101幢B10531、B10532</t>
  </si>
  <si>
    <t>地下车库-A-101幢B10533、B10534</t>
  </si>
  <si>
    <t>地下车库-A-101幢B10535、B10536</t>
  </si>
  <si>
    <t>地下车库-A-101幢B10537、B10538</t>
  </si>
  <si>
    <t>地下车库-A-101幢B10539</t>
  </si>
  <si>
    <t>地下车库-A-101幢B10540</t>
  </si>
  <si>
    <t>地下车库-A-101幢B10541</t>
  </si>
  <si>
    <t>地下车库-A-101幢B10542</t>
  </si>
  <si>
    <t>地下车库-A-101幢B10543</t>
  </si>
  <si>
    <t>地下车库-A-101幢B10544</t>
  </si>
  <si>
    <t>地下车库-A-101幢B10545</t>
  </si>
  <si>
    <t>地下车库-A-101幢B10546</t>
  </si>
  <si>
    <t>地下车库-A-101幢B10547</t>
  </si>
  <si>
    <t>地下车库-A-101幢B10548</t>
  </si>
  <si>
    <t>地下车库-A-101幢B10549</t>
  </si>
  <si>
    <t>地下车库-A-101幢B10550</t>
  </si>
  <si>
    <t>地下车库-A-101幢B10551</t>
  </si>
  <si>
    <t>地下车库-A-101幢B10552</t>
  </si>
  <si>
    <t>地下车库-A-101幢B10553</t>
  </si>
  <si>
    <t>地下车库-A-101幢B10554</t>
  </si>
  <si>
    <t>地下车库-A-101幢B10555</t>
  </si>
  <si>
    <t>地下车库-A-101幢B10556</t>
  </si>
  <si>
    <t>地下车库-A-101幢B10557</t>
  </si>
  <si>
    <t>地下车库-A-101幢B10558</t>
  </si>
  <si>
    <t>地下车库-A-101幢B10559</t>
  </si>
  <si>
    <t>地下车库-A-101幢B10560</t>
  </si>
  <si>
    <t>地下车库-A-101幢B10561</t>
  </si>
  <si>
    <t>地下车库-A-101幢B10562</t>
  </si>
  <si>
    <t>地下车库-A-101幢B10563</t>
  </si>
  <si>
    <t>地下车库-A-101幢B10564</t>
  </si>
  <si>
    <t>地下车库-A-101幢B10565</t>
  </si>
  <si>
    <t>地下车库-A-101幢B10566</t>
  </si>
  <si>
    <t>地下车库-A-101幢B10567</t>
  </si>
  <si>
    <t>地下车库-A-101幢B10568</t>
  </si>
  <si>
    <t>地下车库-A-101幢B10569</t>
  </si>
  <si>
    <t>地下车库-A-101幢B10570</t>
  </si>
  <si>
    <t>地下车库-A-101幢B10571</t>
  </si>
  <si>
    <t>地下车库-A-101幢B10572</t>
  </si>
  <si>
    <t>地下车库-A-101幢B10573</t>
  </si>
  <si>
    <t>地下车库-A-101幢B10574</t>
  </si>
  <si>
    <t>地下车库-A-101幢B10575</t>
  </si>
  <si>
    <t>地下车库-A-101幢B10576</t>
  </si>
  <si>
    <t>地下车库-A-101幢B10577</t>
  </si>
  <si>
    <t>地下车库-A-101幢B10578</t>
  </si>
  <si>
    <t>地下车库-A-101幢B10579</t>
  </si>
  <si>
    <t>地下车库-A-101幢B10580</t>
  </si>
  <si>
    <t>地下车库-A-101幢B10581</t>
  </si>
  <si>
    <t>地下车库-A-101幢B10582</t>
  </si>
  <si>
    <t>地下车库-A-101幢B10583、B10584</t>
  </si>
  <si>
    <t>地下车库-A-101幢B10585、B10586</t>
  </si>
  <si>
    <t>地下车库-A-101幢B10587、B10588</t>
  </si>
  <si>
    <t>地下车库-A-101幢B10589、B10590</t>
  </si>
  <si>
    <t>地下车库-A-101幢B10591、B10592</t>
  </si>
  <si>
    <t>地下车库-A-101幢B10593、B10594</t>
  </si>
  <si>
    <t>地下车库-A-101幢B10595、B10596</t>
  </si>
  <si>
    <t>地下车库-A-101幢B10597、B10598</t>
  </si>
  <si>
    <t>地下车库-A-101幢B10599、B10600</t>
  </si>
  <si>
    <t>地下车库-A-101幢B10601、B10602</t>
  </si>
  <si>
    <t>地下车库-A-101幢B10603、B10604</t>
  </si>
  <si>
    <t>地下车库-A-101幢B10605、B10606</t>
  </si>
  <si>
    <t>地下车库-A-101幢B10607</t>
  </si>
  <si>
    <t>地下车库-A-101幢B10608</t>
  </si>
  <si>
    <t>地下车库-A-101幢B10609</t>
  </si>
  <si>
    <t>地下车库-A-101幢B10610</t>
  </si>
  <si>
    <t>地下车库-A-101幢B10611</t>
  </si>
  <si>
    <t>地下车库-A-101幢B10612</t>
  </si>
  <si>
    <t>地下车库-A-101幢B10613</t>
  </si>
  <si>
    <t>地下车库-A-101幢B10614</t>
  </si>
  <si>
    <t>地下车库-A-101幢B10615</t>
  </si>
  <si>
    <t>地下车库-A-101幢B10616</t>
  </si>
  <si>
    <t>地下车库-A-101幢B10617</t>
  </si>
  <si>
    <t>地下车库-A-101幢B10618</t>
  </si>
  <si>
    <t>地下车库-A-101幢B10619</t>
  </si>
  <si>
    <t>地下车库-A-101幢B10620</t>
  </si>
  <si>
    <t>地下车库-A-101幢B10621</t>
  </si>
  <si>
    <t>地下车库-A-101幢B10622</t>
  </si>
  <si>
    <t>地下车库-A-101幢B10624</t>
  </si>
  <si>
    <t>地下车库-A-101幢B10625</t>
  </si>
  <si>
    <t>地下车库-A-101幢B10628</t>
  </si>
  <si>
    <t>地下车库-A-101幢B10629</t>
  </si>
  <si>
    <t>地下车库-A-101幢B10630</t>
  </si>
  <si>
    <t>地下车库-A-101幢B10633</t>
  </si>
  <si>
    <t>地下车库-A-101幢B10634</t>
  </si>
  <si>
    <t>地下车库-A-101幢B10635</t>
  </si>
  <si>
    <t>地下车库-A-101幢B10636、B10649</t>
  </si>
  <si>
    <t>地下车库-A-101幢B10637、B10648</t>
  </si>
  <si>
    <t>地下车库-A-101幢B10638、B10647</t>
  </si>
  <si>
    <t>地下车库-A-101幢B10639、B10646</t>
  </si>
  <si>
    <t>地下车库-A-101幢B10640、B10645</t>
  </si>
  <si>
    <t>地下车库-A-101幢B10641、B10644</t>
  </si>
  <si>
    <t>地下车库-A-101幢B10642、B10643</t>
  </si>
  <si>
    <t>地下车库-A-101幢B10660、B10724</t>
  </si>
  <si>
    <t>地下车库-A-101幢B10661、B10723</t>
  </si>
  <si>
    <t>地下车库-A-101幢B10662、B10722</t>
  </si>
  <si>
    <t>地下车库-A-101幢B10663、B10721</t>
  </si>
  <si>
    <t>地下车库-A-101幢B10664、B10720</t>
  </si>
  <si>
    <t>地下车库-A-101幢B10665、B10719</t>
  </si>
  <si>
    <t>地下车库-A-101幢B10666、B10718</t>
  </si>
  <si>
    <t>地下车库-A-101幢B10667、B10717</t>
  </si>
  <si>
    <t>地下车库-A-101幢B10668、B10716</t>
  </si>
  <si>
    <t>地下车库-A-101幢B10669、B10715</t>
  </si>
  <si>
    <t>地下车库-A-101幢B10670、B10714</t>
  </si>
  <si>
    <t>地下车库-A-101幢B10671、B10713</t>
  </si>
  <si>
    <t>地下车库-A-101幢B10672、B10712</t>
  </si>
  <si>
    <t>地下车库-A-101幢B10673、B10711</t>
  </si>
  <si>
    <t>地下车库-A-101幢B10674、B10710</t>
  </si>
  <si>
    <t>地下车库-A-101幢B10675、B10709</t>
  </si>
  <si>
    <t>地下车库-A-101幢B10676、B10708</t>
  </si>
  <si>
    <t>地下车库-A-101幢B10677、B10706</t>
  </si>
  <si>
    <t>地下车库-A-101幢B10678、B10705</t>
  </si>
  <si>
    <t>地下车库-A-101幢B10679、B10704</t>
  </si>
  <si>
    <t>地下车库-A-101幢B10680、B10703</t>
  </si>
  <si>
    <t>地下车库-A-101幢B10681、B10702</t>
  </si>
  <si>
    <t>地下车库-A-101幢B10682、B10701</t>
  </si>
  <si>
    <t>地下车库-A-101幢B10683、B10700</t>
  </si>
  <si>
    <t>地下车库-A-101幢B10684、B10699</t>
  </si>
  <si>
    <t>地下车库-A-101幢B10685、B10698</t>
  </si>
  <si>
    <t>地下车库-A-101幢B10686、B10697</t>
  </si>
  <si>
    <t>地下车库-A-101幢B10687、B10696</t>
  </si>
  <si>
    <t>地下车库-A-101幢B10688、B10695</t>
  </si>
  <si>
    <t>地下车库-A-101幢B10689、B10694</t>
  </si>
  <si>
    <t>地下车库-A-101幢B10690、B10693</t>
  </si>
  <si>
    <t>地下车库-A-101幢B10691、B10692</t>
  </si>
  <si>
    <t>地下车库-A-101幢B10707</t>
  </si>
  <si>
    <t>地下车库-A-101幢B10725</t>
  </si>
  <si>
    <t>地下车库-A-101幢B10726</t>
  </si>
  <si>
    <t>地下车库-A-101幢B10727</t>
  </si>
  <si>
    <t>地下车库-A-101幢B10728</t>
  </si>
  <si>
    <t>地下车库-A-101幢B10729</t>
  </si>
  <si>
    <t>地下车库-A-101幢B10730</t>
  </si>
  <si>
    <t>地下车库-A-101幢B10731</t>
  </si>
  <si>
    <t>地下车库-A-101幢B10732</t>
  </si>
  <si>
    <t>地下车库-A-101幢B10733</t>
  </si>
  <si>
    <t>地下车库-A-101幢B10734</t>
  </si>
  <si>
    <t>地下车库-A-101幢B10735</t>
  </si>
  <si>
    <t>地下车库-A-101幢B10736</t>
  </si>
  <si>
    <t>地下车库-A-101幢B10737</t>
  </si>
  <si>
    <t>地下车库-A-101幢B10738、B10739</t>
  </si>
  <si>
    <t>地下车库-A-101幢B10740、B10741</t>
  </si>
  <si>
    <t>地下车库-A-101幢B10742、B10743</t>
  </si>
  <si>
    <t>地下车库-A-101幢B10744、B10745</t>
  </si>
  <si>
    <t>地下车库-A-101幢B10746、B10747</t>
  </si>
  <si>
    <t>地下车库-A-101幢B10748、B10749</t>
  </si>
  <si>
    <t>地下车库-A-101幢B10750、B10751</t>
  </si>
  <si>
    <t>地下车库-A-101幢B10752</t>
  </si>
  <si>
    <t>地下车库-A-101幢B10753</t>
  </si>
  <si>
    <t>地下车库-A-101幢B10754、B10755</t>
  </si>
  <si>
    <t>地下车库-A-101幢B10756、B10757</t>
  </si>
  <si>
    <t>地下车库-A-101幢B10758</t>
  </si>
  <si>
    <t>地下车库-A-101幢B10759</t>
  </si>
  <si>
    <t>地下车库-A-101幢B10760～B10762</t>
  </si>
  <si>
    <t>地下车库-A-101幢B10763～B10765</t>
  </si>
  <si>
    <t>地下车库-A-101幢B10766</t>
  </si>
  <si>
    <t>地下车库-A-101幢B10767</t>
  </si>
  <si>
    <t>地下车库-A-101幢B10768～B10770</t>
  </si>
  <si>
    <t>地下车库-A-101幢B10771、B10772</t>
  </si>
  <si>
    <t>地下车库-A-101幢B10773、B10774</t>
  </si>
  <si>
    <t>地下车库-A-101幢B10775、B10776</t>
  </si>
  <si>
    <t>地下车库-A-101幢B10777、B10778</t>
  </si>
  <si>
    <t>地下车库-A-101幢B10779、B10780</t>
  </si>
  <si>
    <t>地下车库-A-101幢B10783、B10812</t>
  </si>
  <si>
    <t>地下车库-A-101幢B10784、B10811</t>
  </si>
  <si>
    <t>地下车库-A-101幢B10787、B10807</t>
  </si>
  <si>
    <t>地下车库-A-101幢B10788、B10803</t>
  </si>
  <si>
    <t>地下车库-A-101幢B10789、B10802</t>
  </si>
  <si>
    <t>地下车库-A-101幢B10792、B10798</t>
  </si>
  <si>
    <t>地下车库-A-101幢B10793、B10794</t>
  </si>
  <si>
    <t>地下车库-A-101幢B10795</t>
  </si>
  <si>
    <t>地下车库-A-101幢B10796</t>
  </si>
  <si>
    <t>地下车库-A-101幢B10797</t>
  </si>
  <si>
    <t>地下车库-A-101幢B10800</t>
  </si>
  <si>
    <t>地下车库-A-101幢B10801</t>
  </si>
  <si>
    <t>地下车库-A-101幢B10804</t>
  </si>
  <si>
    <t>地下车库-A-101幢B10805</t>
  </si>
  <si>
    <t>地下车库-A-101幢B10806</t>
  </si>
  <si>
    <t>地下车库-A-101幢B10809</t>
  </si>
  <si>
    <t>地下车库-A-101幢B10810</t>
  </si>
  <si>
    <t>地下车库-A-101幢B10813</t>
  </si>
  <si>
    <t>地下车库-A-101幢B10814</t>
  </si>
  <si>
    <t>地下车库-A-101幢B10815</t>
  </si>
  <si>
    <t>地下车库-A-101幢B10817</t>
  </si>
  <si>
    <t>地下车库-A-101幢B10818、B10867</t>
  </si>
  <si>
    <t>地下车库-A-101幢B10819、B10866</t>
  </si>
  <si>
    <t>地下车库-A-101幢B10820、B10865</t>
  </si>
  <si>
    <t>地下车库-A-101幢B10821、B10864</t>
  </si>
  <si>
    <t>地下车库-A-101幢B10822、B10863</t>
  </si>
  <si>
    <t>地下车库-A-101幢B10823、B10862</t>
  </si>
  <si>
    <t>地下车库-A-101幢B10824、B10861</t>
  </si>
  <si>
    <t>地下车库-A-101幢B10825、B10860</t>
  </si>
  <si>
    <t>地下车库-A-101幢B10826、B10859</t>
  </si>
  <si>
    <t>地下车库-A-101幢B10827、B10858</t>
  </si>
  <si>
    <t>地下车库-A-101幢B10828、B10857</t>
  </si>
  <si>
    <t>地下车库-A-101幢B10829、B10856</t>
  </si>
  <si>
    <t>地下车库-A-101幢B10830、B10855</t>
  </si>
  <si>
    <t>地下车库-A-101幢B10831、B10854</t>
  </si>
  <si>
    <t>地下车库-A-101幢B10832、B10853</t>
  </si>
  <si>
    <t>地下车库-A-101幢B10833、B10852</t>
  </si>
  <si>
    <t>地下车库-A-101幢B10834、B10851</t>
  </si>
  <si>
    <t>地下车库-A-101幢B10835、B10850</t>
  </si>
  <si>
    <t>地下车库-A-101幢B10836、B10849</t>
  </si>
  <si>
    <t>地下车库-A-101幢B10837、B10848</t>
  </si>
  <si>
    <t>地下车库-A-101幢B10838、B10847</t>
  </si>
  <si>
    <t>地下车库-A-101幢B10839、B10846</t>
  </si>
  <si>
    <t>地下车库-A-101幢B10840、B10845</t>
  </si>
  <si>
    <t>地下车库-A-101幢B10841、B10844</t>
  </si>
  <si>
    <t>地下车库-A-101幢B10842、B10843</t>
  </si>
  <si>
    <t>地下车库-A-101幢B10877、B10878</t>
  </si>
  <si>
    <t>地下车库-A-101幢B10889</t>
  </si>
  <si>
    <t>地下车库-A-101幢B10890</t>
  </si>
  <si>
    <t>地下车库-A-101幢B10891</t>
  </si>
  <si>
    <t>地下车库-A-101幢B10894</t>
  </si>
  <si>
    <t>地下车库-A-101幢B10895</t>
  </si>
  <si>
    <t>地下车库-A-101幢B10896</t>
  </si>
  <si>
    <t>地下车库-A-101幢B10899</t>
  </si>
  <si>
    <t>地下车库-A-101幢B10900</t>
  </si>
  <si>
    <t>地下车库-A-101幢B10901</t>
  </si>
  <si>
    <t>地下车库-A-101幢B10904</t>
  </si>
  <si>
    <t>地下车库-A-101幢B10905</t>
  </si>
  <si>
    <t>地下车库-A-101幢B10906</t>
  </si>
  <si>
    <t>地下车库-A-101幢B10909</t>
  </si>
  <si>
    <t>地下车库-A-101幢B10910</t>
  </si>
  <si>
    <t>地下车库-A-101幢B10911</t>
  </si>
  <si>
    <t>地下车库-A-101幢B10912</t>
  </si>
  <si>
    <t>地下车库-A-101幢B10913</t>
  </si>
  <si>
    <t>地下车库-A-101幢B10914</t>
  </si>
  <si>
    <t>地下车库-A-101幢B10915</t>
  </si>
  <si>
    <t>地下车库-A-101幢B10916</t>
  </si>
  <si>
    <t>地下车库-A-101幢B10917、B10918</t>
  </si>
  <si>
    <t>地下车库-A-101幢B10919、B10920</t>
  </si>
  <si>
    <t>地下车库-A-101幢B10921、B10922</t>
  </si>
  <si>
    <t>地下车库-A-101幢B10923、B10924</t>
  </si>
  <si>
    <t>地下车库-A-101幢B10925、B10926</t>
  </si>
  <si>
    <t>地下车库-A-101幢B10927、B10928</t>
  </si>
  <si>
    <t>地下车库-A-101幢B10929、B10930</t>
  </si>
  <si>
    <t>地下车库-A-101幢B10931、B10932</t>
  </si>
  <si>
    <t>地下车库-A-101幢B10933、B10934</t>
  </si>
  <si>
    <t>地下车库-A-101幢B10935、B10936</t>
  </si>
  <si>
    <t>地下车库-A-101幢B10937、B10938</t>
  </si>
  <si>
    <t>地下车库-A-101幢B10939、B10940</t>
  </si>
  <si>
    <t>地下车库-A-101幢B10941、B10942</t>
  </si>
  <si>
    <t>地下车库-A-101幢B10943、B10944</t>
  </si>
  <si>
    <t>地下车库-A-101幢B10945、B10946</t>
  </si>
  <si>
    <t>地下车库-A-101幢B10947、B10948</t>
  </si>
  <si>
    <t>地下车库-A-101幢B10949、B10950</t>
  </si>
  <si>
    <t>地下车库-A-101幢B10951、B10952</t>
  </si>
  <si>
    <t>地下车库-A-101幢B10953</t>
  </si>
  <si>
    <t>地下车库-A-101幢B10954</t>
  </si>
  <si>
    <t>地下车库-A-101幢B10955</t>
  </si>
  <si>
    <t>地下车库-A-101幢B10956</t>
  </si>
  <si>
    <t>地下车库-A-101幢B10957、B10958</t>
  </si>
  <si>
    <t>地下车库-A-101幢B10959、B10960</t>
  </si>
  <si>
    <t>地下车库-A-101幢B10961、B10962</t>
  </si>
  <si>
    <t>地下车库-A-101幢B10963、B10964</t>
  </si>
  <si>
    <t>地下车库-A-101幢B10965、B10966</t>
  </si>
  <si>
    <t>地下车库-A-101幢B10967、B10968</t>
  </si>
  <si>
    <t>地下车库-A-101幢B10969、B10970</t>
  </si>
  <si>
    <t>地下车库-A-101幢B10971、B10972</t>
  </si>
  <si>
    <t>地下车库-A-101幢B10973</t>
  </si>
  <si>
    <t>地下车库-A-101幢B10974</t>
  </si>
  <si>
    <t>地下车库-A-101幢B10975</t>
  </si>
  <si>
    <t>地下车库-A-101幢B10976</t>
  </si>
  <si>
    <t>地下车库-A-101幢B10977</t>
  </si>
  <si>
    <t>地下车库-A-101幢B10978</t>
  </si>
  <si>
    <t>地下车库-A-101幢B10979</t>
  </si>
  <si>
    <t>地下车库-A-101幢B10980</t>
  </si>
  <si>
    <t>地下车库-A-101幢B10981</t>
  </si>
  <si>
    <t>地下车库-A-101幢B10982、B10983</t>
  </si>
  <si>
    <t>地下车库-A-101幢B10984、B10985</t>
  </si>
  <si>
    <t>地下车库-A-101幢B10986、B10987</t>
  </si>
  <si>
    <t>地下车库-A-101幢B10988、B10989</t>
  </si>
  <si>
    <t>地下车库-A-101幢B10990、B10991</t>
  </si>
  <si>
    <t>地下车库-A-101幢B10992、B10993</t>
  </si>
  <si>
    <t>地下车库-A-101幢B10994</t>
  </si>
  <si>
    <t>地下车库-A-101幢B10995</t>
  </si>
  <si>
    <t>地下车库-A-101幢B10996</t>
  </si>
  <si>
    <t>地下车库-A-101幢B10997</t>
  </si>
  <si>
    <t>地下车库-A-101幢B10998</t>
  </si>
  <si>
    <t>地下车库-A-101幢B10999</t>
  </si>
  <si>
    <t>地下车库-A-101幢B11000</t>
  </si>
  <si>
    <t>地下车库-A-101幢B11001</t>
  </si>
  <si>
    <t>地下车库-A-101幢B11002</t>
  </si>
  <si>
    <t>地下车库-A-101幢B11003</t>
  </si>
  <si>
    <t>地下车库-A-101幢B11004</t>
  </si>
  <si>
    <t>地下车库-A-101幢B11005</t>
  </si>
  <si>
    <t>地下车库-A-101幢B11006</t>
  </si>
  <si>
    <t>地下车库-A-101幢B11007</t>
  </si>
  <si>
    <t>地下车库-A-101幢B11008</t>
  </si>
  <si>
    <t>地下车库-A-101幢B11009</t>
  </si>
  <si>
    <t>地下车库-A-101幢B11010</t>
  </si>
  <si>
    <t>地下车库-A-101幢B11011</t>
  </si>
  <si>
    <t>地下车库-A-101幢B11012</t>
  </si>
  <si>
    <t>地下车库-A-101幢B11013</t>
  </si>
  <si>
    <t>地下车库-A-101幢B11014</t>
  </si>
  <si>
    <t>地下车库-A-101幢B11015</t>
  </si>
  <si>
    <t>地下车库-A-101幢B11016</t>
  </si>
  <si>
    <t>地下车库-A-101幢B11017</t>
  </si>
  <si>
    <t>地下车库-A-101幢B11018、B11019</t>
  </si>
  <si>
    <t>地下车库-A-101幢B11020、B11021</t>
  </si>
  <si>
    <t>地下车库-A-101幢B11022、B11023</t>
  </si>
  <si>
    <t>地下车库-A-101幢B11024、B11025</t>
  </si>
  <si>
    <t>地下车库-A-101幢B11026、B11027</t>
  </si>
  <si>
    <t>地下车库-A-101幢B11028、B11029</t>
  </si>
  <si>
    <t>地下车库-A-101幢B11030</t>
  </si>
  <si>
    <t>地下车库-A-101幢B11031</t>
  </si>
  <si>
    <t>地下车库-A-101幢B11032</t>
  </si>
  <si>
    <t>地下车库-A-101幢B11033</t>
  </si>
  <si>
    <t>地下车库-A-101幢B11034</t>
  </si>
  <si>
    <t>地下车库-A-101幢B11035</t>
  </si>
  <si>
    <t>地下车库-A-101幢B11036</t>
  </si>
  <si>
    <t>地下车库-A-101幢B11037</t>
  </si>
  <si>
    <t>地下车库-A-101幢B11038</t>
  </si>
  <si>
    <t>地下车库-A-101幢B11039</t>
  </si>
  <si>
    <t>地下车库-A-101幢B11040</t>
  </si>
  <si>
    <t>地下车库-A-101幢B11041</t>
  </si>
  <si>
    <t>地下车库-A-101幢B11042</t>
  </si>
  <si>
    <t>地下车库-A-101幢B11043</t>
  </si>
  <si>
    <t>地下车库-A-101幢B11044</t>
  </si>
  <si>
    <t>地下车库-A-101幢B11045</t>
  </si>
  <si>
    <t>地下车库-A-101幢B11046</t>
  </si>
  <si>
    <t>地下车库-A-101幢B11047</t>
  </si>
  <si>
    <t>地下车库-A-101幢B11048</t>
  </si>
  <si>
    <t>地下车库-A-101幢B11049</t>
  </si>
  <si>
    <t>地下车库-A-101幢B11050</t>
  </si>
  <si>
    <t>地下车库-A-101幢B11051</t>
  </si>
  <si>
    <t>地下车库-A-101幢B11052</t>
  </si>
  <si>
    <t>地下车库-A-101幢B11053</t>
  </si>
  <si>
    <t>地下车库-A-101幢B11054</t>
  </si>
  <si>
    <t>地下车库-A-101幢B11055</t>
  </si>
  <si>
    <t>地下车库-A-101幢B11056、B11057</t>
  </si>
  <si>
    <t>地下车库-A-101幢B11058、B11059</t>
  </si>
  <si>
    <t>地下车库-A-101幢B11060、B11061</t>
  </si>
  <si>
    <t>地下车库-A-101幢B11062、B11063</t>
  </si>
  <si>
    <t>地下车库-A-101幢B11064、B11065</t>
  </si>
  <si>
    <t>地下车库-A-101幢B11066、B11067</t>
  </si>
  <si>
    <t>地下车库-A-101幢B11068、B11069</t>
  </si>
  <si>
    <t>地下车库-A-101幢B11070、B11071</t>
  </si>
  <si>
    <t>地下车库-A-101幢B11072、B11073</t>
  </si>
  <si>
    <t>地下车库-A-101幢B11074</t>
  </si>
  <si>
    <t>地下车库-A-101幢B11075</t>
  </si>
  <si>
    <t>地下车库-A-101幢B11076</t>
  </si>
  <si>
    <t>地下车库-A-101幢B11077</t>
  </si>
  <si>
    <t>地下车库-A-101幢B11078</t>
  </si>
  <si>
    <t>地下车库-A-101幢B11079</t>
  </si>
  <si>
    <t>地下车库-A-101幢B11080</t>
  </si>
  <si>
    <t>地下车库-A-101幢B11081</t>
  </si>
  <si>
    <t>地下车库-A-101幢B11082</t>
  </si>
  <si>
    <t>地下车库-A-101幢B11083</t>
  </si>
  <si>
    <t>地下车库-A-101幢B11084</t>
  </si>
  <si>
    <t>地下车库-A-101幢B11085</t>
  </si>
  <si>
    <t>地下车库-A-101幢B11086</t>
  </si>
  <si>
    <t>地下车库-A-101幢B11087</t>
  </si>
  <si>
    <t>地下车库-A-101幢B11088</t>
  </si>
  <si>
    <t>地下车库-A-101幢B11089</t>
  </si>
  <si>
    <t>地下车库-A-101幢B11090</t>
  </si>
  <si>
    <t>地下车库-A-101幢B11091</t>
  </si>
  <si>
    <t>地下车库-A-101幢B11092</t>
  </si>
  <si>
    <t>地下车库-A-101幢B11093</t>
  </si>
  <si>
    <t>地下车库-A-101幢B11094</t>
  </si>
  <si>
    <t>地下车库-A-101幢B11095</t>
  </si>
  <si>
    <t>地下车库-A-101幢B11096</t>
  </si>
  <si>
    <t>地下车库-A-101幢B11097</t>
  </si>
  <si>
    <t>地下车库-A-101幢B11098</t>
  </si>
  <si>
    <t>地下车库-A-101幢B11099</t>
  </si>
  <si>
    <t>地下车库-A-101幢B11100～B11102</t>
  </si>
  <si>
    <t>地下车库-A-101幢B11103</t>
  </si>
  <si>
    <t>地下车库-A-101幢B11104</t>
  </si>
  <si>
    <t>地下车库-A-101幢B11105</t>
  </si>
  <si>
    <t>地下车库-A-101幢B11106</t>
  </si>
  <si>
    <t>地下车库-A-101幢B11107</t>
  </si>
  <si>
    <t>地下车库-A-101幢B11108</t>
  </si>
  <si>
    <t>地下车库-A-101幢B11109</t>
  </si>
  <si>
    <t>地下车库-A-101幢B11110</t>
  </si>
  <si>
    <t>地下车库-A-101幢B11111、B11112</t>
  </si>
  <si>
    <t>地下车库-A-101幢B11113、B11114</t>
  </si>
  <si>
    <t>地下车库-A-101幢B11115、B11116</t>
  </si>
  <si>
    <t>地下车库-A-101幢B11117、B11118</t>
  </si>
  <si>
    <t>地下车库-A-101幢B11119、B11120</t>
  </si>
  <si>
    <t>地下车库-A-101幢B11121、B11122</t>
  </si>
  <si>
    <t>地下车库-A-101幢B11123、B11124</t>
  </si>
  <si>
    <t>地下车库-A-101幢B11125、B11126</t>
  </si>
  <si>
    <t>地下车库-A-101幢B11127</t>
  </si>
  <si>
    <t>地下车库-A-101幢B11128</t>
  </si>
  <si>
    <t>地下车库-A-101幢B11129</t>
  </si>
  <si>
    <t>地下车库-A-101幢B11130</t>
  </si>
  <si>
    <t>地下车库-A-101幢B11131</t>
  </si>
  <si>
    <t>地下车库-A-101幢B11132</t>
  </si>
  <si>
    <t>地下车库-A-101幢B11133</t>
  </si>
  <si>
    <t>地下车库-A-101幢B11134</t>
  </si>
  <si>
    <t>地下车库-A-101幢B11135</t>
  </si>
  <si>
    <t>地下车库-A-101幢B11136</t>
  </si>
  <si>
    <t>地下车库-A-101幢B11137</t>
  </si>
  <si>
    <t>地下车库-A-101幢B11138</t>
  </si>
  <si>
    <t>地下车库-A-101幢B11139</t>
  </si>
  <si>
    <t>地下车库-A-101幢B11140</t>
  </si>
  <si>
    <t>地下车库-A-101幢B11141</t>
  </si>
  <si>
    <t>地下车库-A-101幢B11142</t>
  </si>
  <si>
    <t>地下车库-A-101幢B11143</t>
  </si>
  <si>
    <t>地下车库-A-101幢B11144</t>
  </si>
  <si>
    <t>地下车库-A-101幢B11145</t>
  </si>
  <si>
    <t>地下车库-A-101幢B11146</t>
  </si>
  <si>
    <t>地下车库-A-101幢B11147</t>
  </si>
  <si>
    <t>地下车库-A-101幢B11148</t>
  </si>
  <si>
    <t>地下车库-A-101幢B11149</t>
  </si>
  <si>
    <t>地下车库-A-101幢B11150</t>
  </si>
  <si>
    <t>地下车库-A-101幢B11151</t>
  </si>
  <si>
    <t>地下车库-A-101幢B11152</t>
  </si>
  <si>
    <t>地下车库-A-101幢B11153</t>
  </si>
  <si>
    <t>地下车库-A-101幢B11154</t>
  </si>
  <si>
    <t>地下车库-A-101幢B11155</t>
  </si>
  <si>
    <t>地下车库-A-101幢B11156</t>
  </si>
  <si>
    <t>地下车库-A-101幢B11157</t>
  </si>
  <si>
    <t>地下车库-A-101幢B11158</t>
  </si>
  <si>
    <t>地下车库-A-101幢B11159</t>
  </si>
  <si>
    <t>地下车库-A-101幢B11160</t>
  </si>
  <si>
    <t>地下车库-A-101幢B11161</t>
  </si>
  <si>
    <t>地下车库-A-101幢B11162、B11163</t>
  </si>
  <si>
    <t>地下车库-A-101幢B11164、B11165</t>
  </si>
  <si>
    <t>地下车库-A-101幢B11166、B11167</t>
  </si>
  <si>
    <t>地下车库-A-101幢B11168、B11169</t>
  </si>
  <si>
    <t>地下车库-A-101幢B11170、B11171</t>
  </si>
  <si>
    <t>地下车库-A-101幢B11172、B11173</t>
  </si>
  <si>
    <t>地下车库-A-101幢B11174、B11175</t>
  </si>
  <si>
    <t>地下车库-A-101幢B11176、B11177</t>
  </si>
  <si>
    <t>地下车库-A-101幢B11178、B11179</t>
  </si>
  <si>
    <t>地下车库-A-101幢B11180、B11181</t>
  </si>
  <si>
    <t>地下车库-A-101幢B11182</t>
  </si>
  <si>
    <t>地下车库-A-101幢B11183、B11184</t>
  </si>
  <si>
    <t>地下车库-A-101幢B11185、B11186</t>
  </si>
  <si>
    <t>地下车库-A-101幢B11187、B11188</t>
  </si>
  <si>
    <t>地下车库-A-101幢B11189、B11190</t>
  </si>
  <si>
    <t>地下车库-A-101幢B11191、B11192</t>
  </si>
  <si>
    <t>地下车库-A-101幢B11193、B11194</t>
  </si>
  <si>
    <t>地下车库-A-101幢B11195、B11196</t>
  </si>
  <si>
    <t>地下车库-A-101幢B11197、B11198</t>
  </si>
  <si>
    <t>地下车库-A-101幢B11199、B11200</t>
  </si>
  <si>
    <t>地下车库-A-101幢B11201、B11202</t>
  </si>
  <si>
    <t>地下车库-A-101幢B11203、B11204</t>
  </si>
  <si>
    <t>地下车库-A-101幢B11205、B11206</t>
  </si>
  <si>
    <t>地下车库-A-101幢B11207、B11208</t>
  </si>
  <si>
    <t>地下车库-A-101幢B11209、B11210</t>
  </si>
  <si>
    <t>地下车库-A-101幢B11211、B11212</t>
  </si>
  <si>
    <t>地下车库-A-101幢B11213、B11214</t>
  </si>
  <si>
    <t>地下车库-A-101幢B11215、B11216</t>
  </si>
  <si>
    <t>地下车库-A-101幢B11217、B11218</t>
  </si>
  <si>
    <t>地下车库-A-101幢B11219、B11220</t>
  </si>
  <si>
    <t>地下车库-A-101幢B11221、B11222</t>
  </si>
  <si>
    <t>地下车库-A-101幢B11223、B11224</t>
  </si>
  <si>
    <t>地下车库-A-101幢B11225、B11226</t>
  </si>
  <si>
    <t>地下车库-A-101幢B11227、B11228</t>
  </si>
  <si>
    <t>地下车库-A-101幢B11229、B11230</t>
  </si>
  <si>
    <t>地下车库-A-101幢B11231、B11232</t>
  </si>
  <si>
    <t>地下车库-A-101幢B11233、B11234</t>
  </si>
  <si>
    <t>地下车库-A-101幢B11235、B11236</t>
  </si>
  <si>
    <t>地下车库-A-101幢B11237、B11238</t>
  </si>
  <si>
    <t>地下车库-A-101幢B11239、B11240</t>
  </si>
  <si>
    <t>地下车库-A-101幢B11241</t>
  </si>
  <si>
    <t>地下车库-A-101幢B11242</t>
  </si>
  <si>
    <t>地下车库-A-101幢B11243</t>
  </si>
  <si>
    <t>地下车库-A-101幢B11244</t>
  </si>
  <si>
    <t>地下车库-A-101幢B11245</t>
  </si>
  <si>
    <t>地下车库-A-101幢B11246</t>
  </si>
  <si>
    <t>地下车库-A-101幢B11247</t>
  </si>
  <si>
    <t>地下车库-A-101幢B11248</t>
  </si>
  <si>
    <t>地下车库-A-101幢B11249</t>
  </si>
  <si>
    <t>地下车库-A-101幢B11250</t>
  </si>
  <si>
    <t>地下车库-A-101幢B11251</t>
  </si>
  <si>
    <t>地下车库-A-101幢B11252</t>
  </si>
  <si>
    <t>地下车库-A-101幢B11253</t>
  </si>
  <si>
    <t>地下车库-A-101幢B11254、B11255</t>
  </si>
  <si>
    <t>地下车库-A-101幢B11256、B11257</t>
  </si>
  <si>
    <t>地下车库-A-101幢B11258、B11259</t>
  </si>
  <si>
    <t>地下车库-A-101幢B11260、B11261</t>
  </si>
  <si>
    <t>地下车库-A-101幢B11262、B11263</t>
  </si>
  <si>
    <t>地下车库-A-101幢B11264、B11265</t>
  </si>
  <si>
    <t>地下车库-A-101幢B11266、B11267</t>
  </si>
  <si>
    <t>地下车库-A-101幢B11268、B11269</t>
  </si>
  <si>
    <t>地下车库-A-101幢B11270、B11271</t>
  </si>
  <si>
    <t>地下车库-A-101幢B11272、B11273</t>
  </si>
  <si>
    <t>地下车库-A-101幢B11274、B11275</t>
  </si>
  <si>
    <t>地下车库-A-101幢B11276、B11277</t>
  </si>
  <si>
    <t>地下车库-A-101幢B11278</t>
  </si>
  <si>
    <t>地下车库-A-101幢B11279</t>
  </si>
  <si>
    <t>地下车库-A-101幢B11280</t>
  </si>
  <si>
    <t>地下车库-A-101幢B11281</t>
  </si>
  <si>
    <t>地下车库-A-101幢B11282、B11283</t>
  </si>
  <si>
    <t>地下车库-A-101幢B11284、B11285</t>
  </si>
  <si>
    <t>地下车库-A-101幢B11286、B11287</t>
  </si>
  <si>
    <t>地下车库-A-101幢B11288、B11289</t>
  </si>
  <si>
    <t>地下车库-A-101幢B11290、B11291</t>
  </si>
  <si>
    <t>地下车库-A-101幢B11292、B11293</t>
  </si>
  <si>
    <t>地下车库-A-101幢B11294、B11295</t>
  </si>
  <si>
    <t>地下车库-A-101幢B11296、B11297</t>
  </si>
  <si>
    <t>地下车库-A-101幢B11298、B11299</t>
  </si>
  <si>
    <t>地下车库-A-101幢B11300、B11301</t>
  </si>
  <si>
    <t>地下车库-A-101幢B11302、B11303</t>
  </si>
  <si>
    <t>地下车库-A-101幢B11304、B11305</t>
  </si>
  <si>
    <t>地下车库-A-101幢B11306、B11307</t>
  </si>
  <si>
    <t>地下车库-A-101幢B11308、B11309</t>
  </si>
  <si>
    <t>地下车库-A-101幢B11310、B11311</t>
  </si>
  <si>
    <t>地下车库-A-101幢B11312、B11313</t>
  </si>
  <si>
    <t>地下车库-A-101幢B11314、B11315</t>
  </si>
  <si>
    <t>地下车库-A-101幢B11316、B11317</t>
  </si>
  <si>
    <t>地下车库-A-101幢B11318、B11319</t>
  </si>
  <si>
    <t>地下车库-A-101幢B11320、B11321</t>
  </si>
  <si>
    <t>地下车库-A-101幢B11322、B11323</t>
  </si>
  <si>
    <t>地下车库-A-101幢B11324、B11325</t>
  </si>
  <si>
    <t>地下车库-A-101幢B11326、B11327</t>
  </si>
  <si>
    <t>地下车库-A-101幢B11328、B11329</t>
  </si>
  <si>
    <t>地下车库-A-101幢B11330、B11331</t>
  </si>
  <si>
    <t>地下车库-A-101幢B11332、B11333</t>
  </si>
  <si>
    <t>地下车库-A-101幢B11334、B11335</t>
  </si>
  <si>
    <t>地下车库-A-101幢B11336、B11337</t>
  </si>
  <si>
    <t>地下车库-A-101幢B11338、B11339</t>
  </si>
  <si>
    <t>地下车库-A-101幢B11340、B11341</t>
  </si>
  <si>
    <t>地下车库-A-101幢B11342、B11343</t>
  </si>
  <si>
    <t>地下车库-A-101幢B11344、B11345</t>
  </si>
  <si>
    <t>地下车库-A-101幢B11346</t>
  </si>
  <si>
    <t>地下车库-A-101幢B11347</t>
  </si>
  <si>
    <t>地下车库-A-101幢B11348</t>
  </si>
  <si>
    <t>地下车库-A-101幢B11349</t>
  </si>
  <si>
    <t>地下车库-A-101幢B11350</t>
  </si>
  <si>
    <t>地下车库-A-101幢B11351</t>
  </si>
  <si>
    <t>地下车库-A-101幢B11352</t>
  </si>
  <si>
    <t>地下车库-A-101幢B11353</t>
  </si>
  <si>
    <t>地下车库-A-101幢B11354</t>
  </si>
  <si>
    <t>地下车库-A-101幢B11355</t>
  </si>
  <si>
    <t>地下车库-A-101幢B11356</t>
  </si>
  <si>
    <t>地下车库-A-101幢B11357</t>
  </si>
  <si>
    <t>地下车库-A-101幢B11358、B11381</t>
  </si>
  <si>
    <t>地下车库-A-101幢B11359、B11380</t>
  </si>
  <si>
    <t>地下车库-A-101幢B11360、B11379</t>
  </si>
  <si>
    <t>地下车库-A-101幢B11361、B11378</t>
  </si>
  <si>
    <t>地下车库-A-101幢B11362、B11377</t>
  </si>
  <si>
    <t>地下车库-A-101幢B11363、B11376</t>
  </si>
  <si>
    <t>地下车库-A-101幢B11364、B11375</t>
  </si>
  <si>
    <t>地下车库-A-101幢B11365、B11374</t>
  </si>
  <si>
    <t>地下车库-A-101幢B11366、B11373</t>
  </si>
  <si>
    <t>地下车库-A-101幢B11367、B11372</t>
  </si>
  <si>
    <t>地下车库-A-101幢B11368、B11371</t>
  </si>
  <si>
    <t>地下车库-A-101幢B11369、B11370</t>
  </si>
  <si>
    <t>地下车库-A-101幢B11382</t>
  </si>
  <si>
    <t>地下车库-A-101幢B11383</t>
  </si>
  <si>
    <t>地下车库-A-101幢B11384</t>
  </si>
  <si>
    <t>地下车库-A-101幢B11385</t>
  </si>
  <si>
    <t>地下车库-A-101幢B11386</t>
  </si>
  <si>
    <t>地下车库-A-101幢B11387</t>
  </si>
  <si>
    <t>地下车库-A-101幢B11388</t>
  </si>
  <si>
    <t>地下车库-A-101幢B11389</t>
  </si>
  <si>
    <t>地下车库-A-101幢B11390</t>
  </si>
  <si>
    <t>地下车库-A-101幢B11391</t>
  </si>
  <si>
    <t>地下车库-A-101幢B11392</t>
  </si>
  <si>
    <t>地下车库-A-101幢B11393</t>
  </si>
  <si>
    <t>地下车库-A-101幢B11394</t>
  </si>
  <si>
    <t>地下车库-A-101幢B11395</t>
  </si>
  <si>
    <t>地下车库-A-101幢B11396</t>
  </si>
  <si>
    <t>地下车库-A-101幢B11397</t>
  </si>
  <si>
    <t>地下车库-A-101幢B11398、B11430</t>
  </si>
  <si>
    <t>地下车库-A-101幢B11399、B11429</t>
  </si>
  <si>
    <t>地下车库-A-101幢B11400、B11428</t>
  </si>
  <si>
    <t>地下车库-A-101幢B11401、B11427</t>
  </si>
  <si>
    <t>地下车库-A-101幢B11402、B11426</t>
  </si>
  <si>
    <t>地下车库-A-101幢B11403、B11425</t>
  </si>
  <si>
    <t>地下车库-A-101幢B11404、B11424</t>
  </si>
  <si>
    <t>地下车库-A-101幢B11405、B11423</t>
  </si>
  <si>
    <t>地下车库-A-101幢B11406、B11422</t>
  </si>
  <si>
    <t>地下车库-A-101幢B11407、B11421</t>
  </si>
  <si>
    <t>地下车库-A-101幢B11408、B11420</t>
  </si>
  <si>
    <t>地下车库-A-101幢B11409、B11419</t>
  </si>
  <si>
    <t>地下车库-A-101幢B11410、B11418</t>
  </si>
  <si>
    <t>地下车库-A-101幢B11411</t>
  </si>
  <si>
    <t>地下车库-A-101幢B11412</t>
  </si>
  <si>
    <t>地下车库-A-101幢B11413</t>
  </si>
  <si>
    <t>地下车库-A-101幢B11414</t>
  </si>
  <si>
    <t>地下车库-A-101幢B11415</t>
  </si>
  <si>
    <t>地下车库-A-101幢B11416</t>
  </si>
  <si>
    <t>地下车库-A-101幢B11417</t>
  </si>
  <si>
    <t>地下车库-A-101幢B11441、B11475</t>
  </si>
  <si>
    <t>地下车库-A-101幢B11442、B11474</t>
  </si>
  <si>
    <t>地下车库-A-101幢B11453</t>
  </si>
  <si>
    <t>地下车库-A-101幢B11455</t>
  </si>
  <si>
    <t>地下车库-A-101幢B11456</t>
  </si>
  <si>
    <t>地下车库-A-101幢B11459</t>
  </si>
  <si>
    <t>地下车库-A-101幢B11460</t>
  </si>
  <si>
    <t>地下车库-A-101幢B11463</t>
  </si>
  <si>
    <t>地下车库-A-101幢B11464</t>
  </si>
  <si>
    <t>地下车库-A-101幢B11467</t>
  </si>
  <si>
    <t>地下车库-A-101幢B11468</t>
  </si>
  <si>
    <t>地下车库-A-101幢B11471</t>
  </si>
  <si>
    <t>地下车库-A-101幢B11472</t>
  </si>
  <si>
    <t>地下车库-A-101幢B11476、B11477</t>
  </si>
  <si>
    <t>地下车库-A-101幢B11478、B11479</t>
  </si>
  <si>
    <t>地下车库-A-101幢B11480</t>
  </si>
  <si>
    <t>地下车库-A-101幢B11481、B11482</t>
  </si>
  <si>
    <t>地下车库-A-101幢B11483、B11484</t>
  </si>
  <si>
    <t>地下车库-A-101幢B11485、B11486</t>
  </si>
  <si>
    <t>地下车库-A-101幢B11487、B11488</t>
  </si>
  <si>
    <t>地下车库-A-101幢B11489、B11490</t>
  </si>
  <si>
    <t>地下车库-A-101幢B11491、B11492</t>
  </si>
  <si>
    <t>地下车库-A-101幢B11493、B11494</t>
  </si>
  <si>
    <t>地下车库-A-101幢B11495、B11496</t>
  </si>
  <si>
    <t>地下车库-A-101幢B11497、B11498</t>
  </si>
  <si>
    <t>地下车库-A-101幢B11499、B11500</t>
  </si>
  <si>
    <t>地下车库-A-101幢B11501、B11502</t>
  </si>
  <si>
    <t>地下车库-A-101幢B11503、B11504</t>
  </si>
  <si>
    <t>地下车库-A-101幢B11505、B11506</t>
  </si>
  <si>
    <t>地下车库-A-101幢B11507、B11508</t>
  </si>
  <si>
    <t>地下车库-A-101幢B11509、B11510</t>
  </si>
  <si>
    <t>地下车库-A-101幢B11511、B11512</t>
  </si>
  <si>
    <t>地下车库-A-101幢B11513、B11514</t>
  </si>
  <si>
    <t>地下车库-A-101幢B11515、B11516</t>
  </si>
  <si>
    <t>地下车库-A-101幢B11517、B11518</t>
  </si>
  <si>
    <t>地下车库-A-101幢B11519、B11520</t>
  </si>
  <si>
    <t>地下车库-A-101幢B11521、B11522</t>
  </si>
  <si>
    <t>地下车库-A-101幢B11523、B11524</t>
  </si>
  <si>
    <t>地下车库-A-101幢B11525、B11526</t>
  </si>
  <si>
    <t>地下车库-A-101幢B11527、B11528</t>
  </si>
  <si>
    <t>地下车库-A-101幢B11529、B11530</t>
  </si>
  <si>
    <t>地下车库-A-101幢B11531、B11532</t>
  </si>
  <si>
    <t>地下车库-A-101幢B11533、B11534</t>
  </si>
  <si>
    <t>地下车库-A-101幢B11535、B11536</t>
  </si>
  <si>
    <t>地下车库-A-101幢B11537、B11538</t>
  </si>
  <si>
    <t>地下车库-A-101幢B11539、B11706</t>
  </si>
  <si>
    <t>地下车库-A-101幢B11540、B11705</t>
  </si>
  <si>
    <t>地下车库-A-101幢B11541、B11704</t>
  </si>
  <si>
    <t>地下车库-A-101幢B11542、B11703</t>
  </si>
  <si>
    <t>地下车库-A-101幢B11543、B11702</t>
  </si>
  <si>
    <t>地下车库-A-101幢B11544、B11701</t>
  </si>
  <si>
    <t>地下车库-A-101幢B11545、B11700</t>
  </si>
  <si>
    <t>地下车库-A-101幢B11546、B11699</t>
  </si>
  <si>
    <t>地下车库-A-101幢B11547、B11698</t>
  </si>
  <si>
    <t>地下车库-A-101幢B11548、B11697</t>
  </si>
  <si>
    <t>地下车库-A-101幢B11549、B11696</t>
  </si>
  <si>
    <t>地下车库-A-101幢B11550、B11695</t>
  </si>
  <si>
    <t>地下车库-A-101幢B11551、B11694</t>
  </si>
  <si>
    <t>地下车库-A-101幢B11552、B11693</t>
  </si>
  <si>
    <t>地下车库-A-101幢B11553、B11692</t>
  </si>
  <si>
    <t>地下车库-A-101幢B11554、B11691</t>
  </si>
  <si>
    <t>地下车库-A-101幢B11555、B11689</t>
  </si>
  <si>
    <t>地下车库-A-101幢B11556、B11688</t>
  </si>
  <si>
    <t>地下车库-A-101幢B11557、B11687</t>
  </si>
  <si>
    <t>地下车库-A-101幢B11558、B11686</t>
  </si>
  <si>
    <t>地下车库-A-101幢B11559、B11685</t>
  </si>
  <si>
    <t>地下车库-A-101幢B11560、B11684</t>
  </si>
  <si>
    <t>地下车库-A-101幢B11561、B11683</t>
  </si>
  <si>
    <t>地下车库-A-101幢B11562、B11682</t>
  </si>
  <si>
    <t>地下车库-A-101幢B11563、B11681</t>
  </si>
  <si>
    <t>地下车库-A-101幢B11564、B11680</t>
  </si>
  <si>
    <t>地下车库-A-101幢B11565、B11679</t>
  </si>
  <si>
    <t>地下车库-A-101幢B11566、B11678</t>
  </si>
  <si>
    <t>地下车库-A-101幢B11567、B11677</t>
  </si>
  <si>
    <t>地下车库-A-101幢B11568、B11675</t>
  </si>
  <si>
    <t>地下车库-A-101幢B11569、B11674</t>
  </si>
  <si>
    <t>地下车库-A-101幢B11570、B11673</t>
  </si>
  <si>
    <t>地下车库-A-101幢B11571、B11672</t>
  </si>
  <si>
    <t>地下车库-A-101幢B11572、B11671</t>
  </si>
  <si>
    <t>地下车库-A-101幢B11573、B11670</t>
  </si>
  <si>
    <t>地下车库-A-101幢B11574、B11669</t>
  </si>
  <si>
    <t>地下车库-A-101幢B11575、B11668</t>
  </si>
  <si>
    <t>地下车库-A-101幢B11576、B11667</t>
  </si>
  <si>
    <t>地下车库-A-101幢B11577、B11666</t>
  </si>
  <si>
    <t>地下车库-A-101幢B11578、B11665</t>
  </si>
  <si>
    <t>地下车库-A-101幢B11579、B11664</t>
  </si>
  <si>
    <t>地下车库-A-101幢B11580、B11663</t>
  </si>
  <si>
    <t>地下车库-A-101幢B11581、B11662</t>
  </si>
  <si>
    <t>地下车库-A-101幢B11582、B11661</t>
  </si>
  <si>
    <t>地下车库-A-101幢B11583、B11660</t>
  </si>
  <si>
    <t>地下车库-A-101幢B11584、B11659</t>
  </si>
  <si>
    <t>地下车库-A-101幢B11585、B11658</t>
  </si>
  <si>
    <t>地下车库-A-101幢B11586、B11657</t>
  </si>
  <si>
    <t>地下车库-A-101幢B11587、B11656</t>
  </si>
  <si>
    <t>地下车库-A-101幢B11588、B11655</t>
  </si>
  <si>
    <t>地下车库-A-101幢B11589、B11654</t>
  </si>
  <si>
    <t>地下车库-A-101幢B11590、B11653</t>
  </si>
  <si>
    <t>地下车库-A-101幢B11591、B11652</t>
  </si>
  <si>
    <t>地下车库-A-101幢B11592、B11648</t>
  </si>
  <si>
    <t>地下车库-A-101幢B11593、B11647</t>
  </si>
  <si>
    <t>地下车库-A-101幢B11594、B11646</t>
  </si>
  <si>
    <t>地下车库-A-101幢B11595、B11645</t>
  </si>
  <si>
    <t>地下车库-A-101幢B11596、B11643</t>
  </si>
  <si>
    <t>地下车库-A-101幢B11597、B11642</t>
  </si>
  <si>
    <t>地下车库-A-101幢B11598、B11641</t>
  </si>
  <si>
    <t>地下车库-A-101幢B11599、B11640</t>
  </si>
  <si>
    <t>地下车库-A-101幢B11600、B11639</t>
  </si>
  <si>
    <t>地下车库-A-101幢B11601、B11638</t>
  </si>
  <si>
    <t>地下车库-A-101幢B11602、B11637</t>
  </si>
  <si>
    <t>地下车库-A-101幢B11603、B11636</t>
  </si>
  <si>
    <t>地下车库-A-101幢B11604、B11635</t>
  </si>
  <si>
    <t>地下车库-A-101幢B11605、B11633</t>
  </si>
  <si>
    <t>地下车库-A-101幢B11606、B11632</t>
  </si>
  <si>
    <t>地下车库-A-101幢B11607、B11631</t>
  </si>
  <si>
    <t>地下车库-A-101幢B11608、B11630</t>
  </si>
  <si>
    <t>地下车库-A-101幢B11609、B11629</t>
  </si>
  <si>
    <t>地下车库-A-101幢B11610、B11628</t>
  </si>
  <si>
    <t>地下车库-A-101幢B11611、B11627</t>
  </si>
  <si>
    <t>地下车库-A-101幢B11612、B11626</t>
  </si>
  <si>
    <t>地下车库-A-101幢B11614、B11624</t>
  </si>
  <si>
    <t>地下车库-A-101幢B11615、B11623</t>
  </si>
  <si>
    <t>地下车库-A-101幢B11616、B11622</t>
  </si>
  <si>
    <t>地下车库-A-101幢B11617、B11621</t>
  </si>
  <si>
    <t>地下车库-A-101幢B11618</t>
  </si>
  <si>
    <t>地下车库-A-101幢B11619</t>
  </si>
  <si>
    <t>地下车库-A-101幢B11620</t>
  </si>
  <si>
    <t>地下车库-A-101幢B11634</t>
  </si>
  <si>
    <t>地下车库-A-101幢B11644</t>
  </si>
  <si>
    <t>地下车库-A-101幢B11649</t>
  </si>
  <si>
    <t>地下车库-A-101幢B11650</t>
  </si>
  <si>
    <t>地下车库-A-101幢B11651</t>
  </si>
  <si>
    <t>地下车库-A-101幢B11676</t>
  </si>
  <si>
    <t>地下车库-A-101幢B11690</t>
  </si>
  <si>
    <t>地下车库-A-101幢B11708</t>
  </si>
  <si>
    <t>地下车库-A-101幢B11709</t>
  </si>
  <si>
    <t>地下车库-A-101幢B11712</t>
  </si>
  <si>
    <t>地下车库-A-101幢B11713</t>
  </si>
  <si>
    <t>地下车库-A-101幢B11716</t>
  </si>
  <si>
    <t>地下车库-A-101幢B11717</t>
  </si>
  <si>
    <t>地下车库-A-101幢B11720</t>
  </si>
  <si>
    <t>地下车库-A-101幢B11721</t>
  </si>
  <si>
    <t>地下车库-A-101幢B11724</t>
  </si>
  <si>
    <t>地下车库-A-101幢B11725</t>
  </si>
  <si>
    <t>地下车库-A-101幢B11728</t>
  </si>
  <si>
    <t>地下车库-A-101幢B11729</t>
  </si>
  <si>
    <t>地下车库-A-101幢B11732</t>
  </si>
  <si>
    <t>地下车库-A-101幢B11733</t>
  </si>
  <si>
    <t>地下车库-A-101幢B11736</t>
  </si>
  <si>
    <t>地下车库-A-101幢B11737</t>
  </si>
  <si>
    <t>地下车库-A-101幢B11740</t>
  </si>
  <si>
    <t>地下车库-A-101幢B11741</t>
  </si>
  <si>
    <t>地下车库-A-101幢B11744</t>
  </si>
  <si>
    <t>地下车库-A-101幢B11745</t>
  </si>
  <si>
    <t>地下车库-A-101幢B11748</t>
  </si>
  <si>
    <t>地下车库-A-101幢B11749</t>
  </si>
  <si>
    <t>地下车库-A-101幢B11752</t>
  </si>
  <si>
    <t>地下车库-A-101幢B11753</t>
  </si>
  <si>
    <t>地下车库-A-101幢B11756</t>
  </si>
  <si>
    <t>地下车库-A-101幢B11757</t>
  </si>
  <si>
    <t>地下车库-A-101幢B11760</t>
  </si>
  <si>
    <t>地下车库-A-101幢B11761</t>
  </si>
  <si>
    <t>地下车库-A-101幢B11764</t>
  </si>
  <si>
    <t>地下车库-A-101幢B11765</t>
  </si>
  <si>
    <t>下跃</t>
  </si>
  <si>
    <t>地下车库-A-101幢B11768</t>
  </si>
  <si>
    <t>地下车库-A-101幢B11769</t>
  </si>
  <si>
    <t>地下车库-A-101幢B11772</t>
  </si>
  <si>
    <t>地下车库-A-101幢B11773</t>
  </si>
  <si>
    <t>地下车库-A-101幢B11774、B11841</t>
  </si>
  <si>
    <t>地下车库-A-101幢B11842</t>
  </si>
  <si>
    <t>地下车库-A-101幢B11843</t>
  </si>
  <si>
    <t>地下车库-A-101幢B11844</t>
  </si>
  <si>
    <t>地下车库-A-101幢B11845</t>
  </si>
  <si>
    <t>地下车库-A-101幢B11846</t>
  </si>
  <si>
    <t>地下车库-A-101幢B11847</t>
  </si>
  <si>
    <t>地下车库-A-101幢B11848</t>
  </si>
  <si>
    <t>中跃</t>
  </si>
  <si>
    <t>地下车库-A-101幢B11849</t>
  </si>
  <si>
    <t>地下车库-A-101幢B11850</t>
  </si>
  <si>
    <t>地下车库-A-101幢B11851</t>
  </si>
  <si>
    <t>地下车库-A-101幢B11852</t>
  </si>
  <si>
    <t>地下车库-A-101幢B11853</t>
  </si>
  <si>
    <t>地下车库-A-101幢B11854</t>
  </si>
  <si>
    <t>地下车库-A-101幢B11855</t>
  </si>
  <si>
    <t>地下车库-A-101幢B11856</t>
  </si>
  <si>
    <t>地下车库-A-101幢B11857</t>
  </si>
  <si>
    <t>地下车库-A-101幢B11858</t>
  </si>
  <si>
    <t>地下车库-A-101幢B11859</t>
  </si>
  <si>
    <t>地下车库-A-101幢B11860</t>
  </si>
  <si>
    <t>地下车库-A-101幢B11861</t>
  </si>
  <si>
    <t>地下车库-A-101幢B11862</t>
  </si>
  <si>
    <t>地下车库-A-101幢B11863</t>
  </si>
  <si>
    <t>地下车库-A-101幢B11864</t>
  </si>
  <si>
    <t>地下车库-A-101幢B11865</t>
  </si>
  <si>
    <t>地下车库-A-101幢B11866</t>
  </si>
  <si>
    <t>地下车库-A-101幢B11867</t>
  </si>
  <si>
    <t>地下车库-A-101幢B11868</t>
  </si>
  <si>
    <t>地下车库-A--10200</t>
  </si>
  <si>
    <t>地下车库-A--10201</t>
  </si>
  <si>
    <t>地下车库-A--10202</t>
  </si>
  <si>
    <t>地下车库-A--10203</t>
  </si>
  <si>
    <t>地下车库-A--10204</t>
  </si>
  <si>
    <t>地下车库-A--10205</t>
  </si>
  <si>
    <t>地下车库-A--10206</t>
  </si>
  <si>
    <t>地下车库-A--10207</t>
  </si>
  <si>
    <t>地下车库-A--10208</t>
  </si>
  <si>
    <t>地下车库-A--10209</t>
  </si>
  <si>
    <t>地下车库-A--10210</t>
  </si>
  <si>
    <t>地下车库-A--10211</t>
  </si>
  <si>
    <t>地下车库-A--10212</t>
  </si>
  <si>
    <t>地下车库-A--10213</t>
  </si>
  <si>
    <t>地下车库-A--10214</t>
  </si>
  <si>
    <t>地下车库-A--10215</t>
  </si>
  <si>
    <t>地下车库-A--10216</t>
  </si>
  <si>
    <t>地下车库-A--10217</t>
  </si>
  <si>
    <t>地下车库-A--10218</t>
  </si>
  <si>
    <t>地下车库-A--10219</t>
  </si>
  <si>
    <t>地下车库-A--10220</t>
  </si>
  <si>
    <t>地下车库-A--10221</t>
  </si>
  <si>
    <t>地下车库-A--10222</t>
  </si>
  <si>
    <t>地下车库-A--10223</t>
  </si>
  <si>
    <t>地下车库-A--10224</t>
  </si>
  <si>
    <t>地下车库-A--10225</t>
  </si>
  <si>
    <t>地下车库-A--10226</t>
  </si>
  <si>
    <t>地下车库-A--10227</t>
  </si>
  <si>
    <t>地下车库-A--10228</t>
  </si>
  <si>
    <t>地下车库-A--10229</t>
  </si>
  <si>
    <t>地下车库-A--10230</t>
  </si>
  <si>
    <t>地下车库-A--10231</t>
  </si>
  <si>
    <t>地下车库-A--10232</t>
  </si>
  <si>
    <t>地下车库-A--10233</t>
  </si>
  <si>
    <t>地下车库-A--10234</t>
  </si>
  <si>
    <t>地下车库-A--10235</t>
  </si>
  <si>
    <t>地下车库-A--10236</t>
  </si>
  <si>
    <t>地下车库-A--10237</t>
  </si>
  <si>
    <t>地下车库-A--10238</t>
  </si>
  <si>
    <t>地下车库-A--10239</t>
  </si>
  <si>
    <t>地下车库-A--10240</t>
  </si>
  <si>
    <t>地下车库-A--10241</t>
  </si>
  <si>
    <t>地下车库-A--10242</t>
  </si>
  <si>
    <t>地下车库-A--10243</t>
  </si>
  <si>
    <t>地下车库-A--10244</t>
  </si>
  <si>
    <t>地下车库-A--10245</t>
  </si>
  <si>
    <t>地下车库-A--10246</t>
  </si>
  <si>
    <t>地下车库-A--10247</t>
  </si>
  <si>
    <t>地下车库-A--10248</t>
  </si>
  <si>
    <t>地下车库-A--10249</t>
  </si>
  <si>
    <t>地下车库-A--10250</t>
  </si>
  <si>
    <t>地下车库-A--10251</t>
  </si>
  <si>
    <t>地下车库-A--10252</t>
  </si>
  <si>
    <t>地下车库-A--10253</t>
  </si>
  <si>
    <t>地下车库-A--10254</t>
  </si>
  <si>
    <t>地下车库-A--10255</t>
  </si>
  <si>
    <t>地下车库-A--10256</t>
  </si>
  <si>
    <t>地下车库-A--10257</t>
  </si>
  <si>
    <t>地下车库-A--10258</t>
  </si>
  <si>
    <t>地下车库-A--10259</t>
  </si>
  <si>
    <t>地下车库-A--10260</t>
  </si>
  <si>
    <t>地下车库-A--10261</t>
  </si>
  <si>
    <t>地下车库-A--10262</t>
  </si>
  <si>
    <t>地下车库-A--10263</t>
  </si>
  <si>
    <t>地下车库-A--10264</t>
  </si>
  <si>
    <t>地下车库-A--10265</t>
  </si>
  <si>
    <t>地下车库-A--10266</t>
  </si>
  <si>
    <t>地下车库-A--10267</t>
  </si>
  <si>
    <t>地下车库-A--10268</t>
  </si>
  <si>
    <t>地下车库-A--10269</t>
  </si>
  <si>
    <t>地下车库-A--10270</t>
  </si>
  <si>
    <t>地下车库-A--10271</t>
  </si>
  <si>
    <t>地下车库-A--10272</t>
  </si>
  <si>
    <t>地下车库-A--10273</t>
  </si>
  <si>
    <t>地下车库-A--10274</t>
  </si>
  <si>
    <t>地下车库-A--10275</t>
  </si>
  <si>
    <t>地下车库-A--10276</t>
  </si>
  <si>
    <t>地下车库-A--10277</t>
  </si>
  <si>
    <t>地下车库-A--10278</t>
  </si>
  <si>
    <t>地下车库-A--10279</t>
  </si>
  <si>
    <t>地下车库-A--10280</t>
  </si>
  <si>
    <t>地下车库-A--10281</t>
  </si>
  <si>
    <t>地下车库-A--10282</t>
  </si>
  <si>
    <t>地下车库-A--10283</t>
  </si>
  <si>
    <t>地下车库-A--10284</t>
  </si>
  <si>
    <t>地下车库-A--10285</t>
  </si>
  <si>
    <t>地下车库-A--10286</t>
  </si>
  <si>
    <t>地下车库-A--10287</t>
  </si>
  <si>
    <t>地下车库-A--10288</t>
  </si>
  <si>
    <t>地下车库-A--10289</t>
  </si>
  <si>
    <t>地下车库-A--10290</t>
  </si>
  <si>
    <t>地下车库-A--10291</t>
  </si>
  <si>
    <t>地下车库-A--10292</t>
  </si>
  <si>
    <t>地下车库-A--10293</t>
  </si>
  <si>
    <t>地下车库-A--10294</t>
  </si>
  <si>
    <t>地下车库-A--10295</t>
  </si>
  <si>
    <t>地下车库-A--10296</t>
  </si>
  <si>
    <t>地下车库-A--10297</t>
  </si>
  <si>
    <t>地下车库-A--10298</t>
  </si>
  <si>
    <t>地下车库-A--10299</t>
  </si>
  <si>
    <t>地下车库-A--10300</t>
  </si>
  <si>
    <t>地下车库-A--10301</t>
  </si>
  <si>
    <t>地下车库-A--10302</t>
  </si>
  <si>
    <t>地下车库-A--10303</t>
  </si>
  <si>
    <t>地下车库-A--10304</t>
  </si>
  <si>
    <t>地下车库-A--10305</t>
  </si>
  <si>
    <t>地下车库-A--10306</t>
  </si>
  <si>
    <t>地下车库-A--10307</t>
  </si>
  <si>
    <t>地下车库-A--10308</t>
  </si>
  <si>
    <t>地下车库-A--10309</t>
  </si>
  <si>
    <t>地下车库-A--10310</t>
  </si>
  <si>
    <t>地下车库-A--10311</t>
  </si>
  <si>
    <t>地下车库-A--10312</t>
  </si>
  <si>
    <t>地下车库-A--10313</t>
  </si>
  <si>
    <t>地下车库-A--10314</t>
  </si>
  <si>
    <t>地下车库-A--10315</t>
  </si>
  <si>
    <t>地下车库-A--10316</t>
  </si>
  <si>
    <t>地下车库-A--10317</t>
  </si>
  <si>
    <t>地下车库-A--10318</t>
  </si>
  <si>
    <t>地下车库-A--10319</t>
  </si>
  <si>
    <t>地下车库-A--10320</t>
  </si>
  <si>
    <t>地下车库-A--10321</t>
  </si>
  <si>
    <t>地下车库-A--10322</t>
  </si>
  <si>
    <t>地下车库-A--10323</t>
  </si>
  <si>
    <t>地下车库-A--10324</t>
  </si>
  <si>
    <t>地下车库-A--10325</t>
  </si>
  <si>
    <t>地下车库-A--10326</t>
  </si>
  <si>
    <t>地下车库-A--10327</t>
  </si>
  <si>
    <t>地下车库-A--10328</t>
  </si>
  <si>
    <t>地下车库-A--10329</t>
  </si>
  <si>
    <t>地下车库-A--10330</t>
  </si>
  <si>
    <t>地下车库-A--10331</t>
  </si>
  <si>
    <t>地下车库-A--10332</t>
  </si>
  <si>
    <t>地下车库-A--10333</t>
  </si>
  <si>
    <t>地下车库-A--10334</t>
  </si>
  <si>
    <t>地下车库-A--10335</t>
  </si>
  <si>
    <t>地下车库-A--10336</t>
  </si>
  <si>
    <t>地下车库-A--10337</t>
  </si>
  <si>
    <t>地下车库-A--10338</t>
  </si>
  <si>
    <t>地下车库-A--10339</t>
  </si>
  <si>
    <t>地下车库-A--10340</t>
  </si>
  <si>
    <t>地下车库-A--10341</t>
  </si>
  <si>
    <t>地下车库-A--10342</t>
  </si>
  <si>
    <t>地下车库-A--10343</t>
  </si>
  <si>
    <t>地下车库-A--10344</t>
  </si>
  <si>
    <t>地下车库-A--10345</t>
  </si>
  <si>
    <t>地下车库-A--10346</t>
  </si>
  <si>
    <t>地下车库-A--10347</t>
  </si>
  <si>
    <t>地下车库-A--10348</t>
  </si>
  <si>
    <t>地下车库-A--10349</t>
  </si>
  <si>
    <t>地下车库-A--10350</t>
  </si>
  <si>
    <t>地下车库-A--10351</t>
  </si>
  <si>
    <t>地下车库-A--10352</t>
  </si>
  <si>
    <t>地下车库-A--10353</t>
  </si>
  <si>
    <t>地下车库-A--10354</t>
  </si>
  <si>
    <t>地下车库-A--10355</t>
  </si>
  <si>
    <t>地下车库-A--10356</t>
  </si>
  <si>
    <t>地下车库-A--10357</t>
  </si>
  <si>
    <t>地下车库-A--10358</t>
  </si>
  <si>
    <t>地下车库-A--10359</t>
  </si>
  <si>
    <t>地下车库-A--10360</t>
  </si>
  <si>
    <t>地下车库-A--10361</t>
  </si>
  <si>
    <t>地下车库-A--10362</t>
  </si>
  <si>
    <t>地下车库-A--10363</t>
  </si>
  <si>
    <t>地下车库-A--10364</t>
  </si>
  <si>
    <t>地下车库-A--10365</t>
  </si>
  <si>
    <t>地下车库-A--10366</t>
  </si>
  <si>
    <t>地下车库-A--10367</t>
  </si>
  <si>
    <t>地下车库-A--10368</t>
  </si>
  <si>
    <t>地下车库-A--10369</t>
  </si>
  <si>
    <t>地下车库-A--10370</t>
  </si>
  <si>
    <t>地下车库-A--10371</t>
  </si>
  <si>
    <t>地下车库-A--10372</t>
  </si>
  <si>
    <t>地下车库-A--10373</t>
  </si>
  <si>
    <t>地下车库-A--10374</t>
  </si>
  <si>
    <t>地下车库-A--10375</t>
  </si>
  <si>
    <t>地下车库-A--10376</t>
  </si>
  <si>
    <t>地下车库-A--10377</t>
  </si>
  <si>
    <t>地下车库-A--10378</t>
  </si>
  <si>
    <t>地下车库-A--10379</t>
  </si>
  <si>
    <t>地下车库-A--10380</t>
  </si>
  <si>
    <t>地下车库-A--10381</t>
  </si>
  <si>
    <t>地下车库-A--10382</t>
  </si>
  <si>
    <t>地下车库-A--10383</t>
  </si>
  <si>
    <t>地下车库-A--10384</t>
  </si>
  <si>
    <t>地下车库-A--10385</t>
  </si>
  <si>
    <t>地下车库-A--10386</t>
  </si>
  <si>
    <t>地下车库-A--10387</t>
  </si>
  <si>
    <t>地下车库-A--10388</t>
  </si>
  <si>
    <t>地下车库-A--10389</t>
  </si>
  <si>
    <t>地下车库-A--10390</t>
  </si>
  <si>
    <t>地下车库-A--10391</t>
  </si>
  <si>
    <t>地下车库-A--10392</t>
  </si>
  <si>
    <t>地下车库-A--10393</t>
  </si>
  <si>
    <t>地下车库-A--10394</t>
  </si>
  <si>
    <t>地下车库-A--10395</t>
  </si>
  <si>
    <t>地下车库-A--10396</t>
  </si>
  <si>
    <t>地下车库-A--10397</t>
  </si>
  <si>
    <t>地下车库-A--10398</t>
  </si>
  <si>
    <t>地下车库-A--10399</t>
  </si>
  <si>
    <t>地下车库-A--10400</t>
  </si>
  <si>
    <t>地下车库-A--10401</t>
  </si>
  <si>
    <t>地下车库-A-B10623、B10654、B10655</t>
  </si>
  <si>
    <t>地下车库-A-B10626、B10653、B10656</t>
  </si>
  <si>
    <t>地下车库-A-B10627、B10652、B10657</t>
  </si>
  <si>
    <t>地下车库-A-B10631、B10651、B10658</t>
  </si>
  <si>
    <t>地下车库-A-B10632、B10650、B10659</t>
  </si>
  <si>
    <t>地下车库-A-B10781、B10782、B10816</t>
  </si>
  <si>
    <t>地下车库-A-B10785、B10786、B10808</t>
  </si>
  <si>
    <t>地下车库-A-B10790、B10791、B10799</t>
  </si>
  <si>
    <t>地下车库-A-B10868、B10887、B10888</t>
  </si>
  <si>
    <t>地下车库-A-B10869、B10886、B10892</t>
  </si>
  <si>
    <t>地下车库-A-B10870、B10885、B10893</t>
  </si>
  <si>
    <t>地下车库-A-B10871、B10884、B10897</t>
  </si>
  <si>
    <t>地下车库-A-B10872、B10883、B10898</t>
  </si>
  <si>
    <t>地下车库-A-B10873、B10882、B10902</t>
  </si>
  <si>
    <t>地下车库-A-B10874、B10881、B10903</t>
  </si>
  <si>
    <t>地下车库-A-B10875、B10880、B10907</t>
  </si>
  <si>
    <t>地下车库-A-B10876、B10879、B10908</t>
  </si>
  <si>
    <t>地下车库-A-B11431、B11452、B11454</t>
  </si>
  <si>
    <t>地下车库-A-B11432、B11451、B11457</t>
  </si>
  <si>
    <t>地下车库-A-B11433、B11450、B11458</t>
  </si>
  <si>
    <t>地下车库-A-B11434、B11449、B11461</t>
  </si>
  <si>
    <t>地下车库-A-B11435、B11448、B11462</t>
  </si>
  <si>
    <t>地下车库-A-B11436、B11447、B11465</t>
  </si>
  <si>
    <t>地下车库-A-B11437、B11446、B11466</t>
  </si>
  <si>
    <t>地下车库-A-B11438、B11445、B11469</t>
  </si>
  <si>
    <t>地下车库-A-B11439、B11444、B11470</t>
  </si>
  <si>
    <t>地下车库-A-B11440、B11443、B11473</t>
  </si>
  <si>
    <t>地下车库-A-B11707、B11807、B11808</t>
  </si>
  <si>
    <t>地下车库-A-B11710、B11806、B11809</t>
  </si>
  <si>
    <t>地下车库-A-B11711、B11805、B11810</t>
  </si>
  <si>
    <t>地下车库-A-B11714、B11804、B11811</t>
  </si>
  <si>
    <t>地下车库-A-B11715、B11803、B11812</t>
  </si>
  <si>
    <t>地下车库-A-B11718、B11802、B11813</t>
  </si>
  <si>
    <t>地下车库-A-B11719、B11801、B11814</t>
  </si>
  <si>
    <t>地下车库-A-B11722、B11800、B11815</t>
  </si>
  <si>
    <t>地下车库-A-B11723、B11799、B11816</t>
  </si>
  <si>
    <t>地下车库-A-B11726、B11798、B11817</t>
  </si>
  <si>
    <t>地下车库-A-B11727、B11797、B11818</t>
  </si>
  <si>
    <t>地下车库-A-B11730、B11796、B11819</t>
  </si>
  <si>
    <t>地下车库-A-B11731、B11795、B11820</t>
  </si>
  <si>
    <t>地下车库-A-B11734、B11794、B11821</t>
  </si>
  <si>
    <t>地下车库-A-B11735、B11793、B11822</t>
  </si>
  <si>
    <t>地下车库-A-B11738、B11792、B11823</t>
  </si>
  <si>
    <t>地下车库-A-B11739、B11791、B11824</t>
  </si>
  <si>
    <t>地下车库-A-B11742、B11790、B11825</t>
  </si>
  <si>
    <t>地下车库-A-B11743、B11789、B11826</t>
  </si>
  <si>
    <t>地下车库-A-B11746、B11788、B11827</t>
  </si>
  <si>
    <t>地下车库-A-B11747、B11787、B11828</t>
  </si>
  <si>
    <t>地下车库-A-B11750、B11786、B11829</t>
  </si>
  <si>
    <t>地下车库-A-B11751、B11785、B11830</t>
  </si>
  <si>
    <t>地下车库-A-B11754、B11784、B11831</t>
  </si>
  <si>
    <t>地下车库-A-B11755、B11783、B11832</t>
  </si>
  <si>
    <t>地下车库-A-B11758、B11782、B11833</t>
  </si>
  <si>
    <t>地下车库-A-B11759、B11781、B11834</t>
  </si>
  <si>
    <t>地下车库-A-B11762、B11780、B11835</t>
  </si>
  <si>
    <t>地下车库-A-B11763、B11779、B11836</t>
  </si>
  <si>
    <t>地下车库-A-B11766、B11778、B11837</t>
  </si>
  <si>
    <t>地下车库-A-B11767、B11777、B11838</t>
  </si>
  <si>
    <t>地下车库-A-B11770、B11776、B11839</t>
  </si>
  <si>
    <t>地下车库-A-B11771、B11775、B11840</t>
  </si>
  <si>
    <t>20栋-1-103</t>
  </si>
  <si>
    <t>20栋-1--103</t>
  </si>
  <si>
    <t>20栋-1--203</t>
  </si>
  <si>
    <t>20栋-2-103</t>
  </si>
  <si>
    <t>20栋-2--103</t>
  </si>
  <si>
    <t>20栋-2--203</t>
  </si>
  <si>
    <t>21栋-1-103</t>
  </si>
  <si>
    <t>21栋-1--103</t>
  </si>
  <si>
    <t>21栋-1--203</t>
  </si>
  <si>
    <t>21栋-2-102</t>
  </si>
  <si>
    <t>21栋-2--102</t>
  </si>
  <si>
    <t>21栋-2--202</t>
  </si>
  <si>
    <t>22栋-1-101</t>
  </si>
  <si>
    <t>22栋-1--101</t>
  </si>
  <si>
    <t>22栋-1-102</t>
  </si>
  <si>
    <t>22栋-1--102</t>
  </si>
  <si>
    <t>22栋-1-103</t>
  </si>
  <si>
    <t>22栋-1--103</t>
  </si>
  <si>
    <t>22栋-1-104</t>
  </si>
  <si>
    <t>22栋-1--104</t>
  </si>
  <si>
    <t>22栋-1--201</t>
  </si>
  <si>
    <t>22栋-1--202</t>
  </si>
  <si>
    <t>22栋-1--203</t>
  </si>
  <si>
    <t>22栋-1--204</t>
  </si>
  <si>
    <t>22栋-1-501</t>
  </si>
  <si>
    <t>22栋-1-502</t>
  </si>
  <si>
    <t>22栋-2-101</t>
  </si>
  <si>
    <t>22栋-2--101</t>
  </si>
  <si>
    <t>22栋-2-102</t>
  </si>
  <si>
    <t>22栋-2--102</t>
  </si>
  <si>
    <t>22栋-2-103</t>
  </si>
  <si>
    <t>22栋-2--103</t>
  </si>
  <si>
    <t>22栋-2-104</t>
  </si>
  <si>
    <t>22栋-2--104</t>
  </si>
  <si>
    <t>22栋-2--201</t>
  </si>
  <si>
    <t>22栋-2--202</t>
  </si>
  <si>
    <t>22栋-2--203</t>
  </si>
  <si>
    <t>22栋-2--204</t>
  </si>
  <si>
    <t>22栋-2-502</t>
  </si>
  <si>
    <t>22栋-3-101</t>
  </si>
  <si>
    <t>22栋-3--101</t>
  </si>
  <si>
    <t>22栋-3-102</t>
  </si>
  <si>
    <t>22栋-3--102</t>
  </si>
  <si>
    <t>22栋-3-103</t>
  </si>
  <si>
    <t>22栋-3--103</t>
  </si>
  <si>
    <t>22栋-3-104</t>
  </si>
  <si>
    <t>22栋-3--104</t>
  </si>
  <si>
    <t>22栋-3--201</t>
  </si>
  <si>
    <t>22栋-3--202</t>
  </si>
  <si>
    <t>22栋-3--203</t>
  </si>
  <si>
    <t>22栋-3--204</t>
  </si>
  <si>
    <t>22栋-3-501</t>
  </si>
  <si>
    <t>22栋-3-502</t>
  </si>
  <si>
    <t>22栋-4-101</t>
  </si>
  <si>
    <t>22栋-4--101</t>
  </si>
  <si>
    <t>22栋-4-102</t>
  </si>
  <si>
    <t>22栋-4--102</t>
  </si>
  <si>
    <t>22栋-4-103</t>
  </si>
  <si>
    <t>22栋-4--103</t>
  </si>
  <si>
    <t>22栋-4-104</t>
  </si>
  <si>
    <t>22栋-4--104</t>
  </si>
  <si>
    <t>22栋-4--201</t>
  </si>
  <si>
    <t>22栋-4--202</t>
  </si>
  <si>
    <t>22栋-4--203</t>
  </si>
  <si>
    <t>22栋-4--204</t>
  </si>
  <si>
    <t>23栋-2-102</t>
  </si>
  <si>
    <t>23栋-2--102</t>
  </si>
  <si>
    <t>23栋-2-104</t>
  </si>
  <si>
    <t>23栋-2--104</t>
  </si>
  <si>
    <t>23栋-2--202</t>
  </si>
  <si>
    <t>23栋-2--204</t>
  </si>
  <si>
    <t>23栋-2-601</t>
  </si>
  <si>
    <t>23栋-3-102</t>
  </si>
  <si>
    <t>23栋-3--102</t>
  </si>
  <si>
    <t>23栋-3-103</t>
  </si>
  <si>
    <t>23栋-3--103</t>
  </si>
  <si>
    <t>23栋-3-104</t>
  </si>
  <si>
    <t>23栋-3--104</t>
  </si>
  <si>
    <t>23栋-3--202</t>
  </si>
  <si>
    <t>23栋-3--203</t>
  </si>
  <si>
    <t>23栋-3--204</t>
  </si>
  <si>
    <t>23栋-3-501</t>
  </si>
  <si>
    <t>23栋-4-102</t>
  </si>
  <si>
    <t>23栋-4--102</t>
  </si>
  <si>
    <t>23栋-4--201</t>
  </si>
  <si>
    <t>25栋-2-103</t>
  </si>
  <si>
    <t>25栋-2--103</t>
  </si>
  <si>
    <t>25栋-2--203</t>
  </si>
  <si>
    <t>26栋-1-101</t>
  </si>
  <si>
    <t>26栋-1--101</t>
  </si>
  <si>
    <t>26栋-1-102</t>
  </si>
  <si>
    <t>26栋-1--102</t>
  </si>
  <si>
    <t>26栋-1-103</t>
  </si>
  <si>
    <t>26栋-1--103</t>
  </si>
  <si>
    <t>26栋-1-104</t>
  </si>
  <si>
    <t>26栋-1--104</t>
  </si>
  <si>
    <t>26栋-1--201</t>
  </si>
  <si>
    <t>26栋-1--202</t>
  </si>
  <si>
    <t>26栋-1--203</t>
  </si>
  <si>
    <t>26栋-1-501</t>
  </si>
  <si>
    <t>26栋-2-101</t>
  </si>
  <si>
    <t>26栋-2--101</t>
  </si>
  <si>
    <t>26栋-2-102</t>
  </si>
  <si>
    <t>26栋-2--102</t>
  </si>
  <si>
    <t>26栋-2-103</t>
  </si>
  <si>
    <t>26栋-2--103</t>
  </si>
  <si>
    <t>26栋-2-104</t>
  </si>
  <si>
    <t>26栋-2--104</t>
  </si>
  <si>
    <t>26栋-2--201</t>
  </si>
  <si>
    <t>26栋-2--202</t>
  </si>
  <si>
    <t>26栋-2--203</t>
  </si>
  <si>
    <t>26栋-2--204</t>
  </si>
  <si>
    <t>26栋-3-101</t>
  </si>
  <si>
    <t>26栋-3--101</t>
  </si>
  <si>
    <t>26栋-3-102</t>
  </si>
  <si>
    <t>26栋-3--102</t>
  </si>
  <si>
    <t>26栋-3-103</t>
  </si>
  <si>
    <t>26栋-3--103</t>
  </si>
  <si>
    <t>26栋-3-104</t>
  </si>
  <si>
    <t>26栋-3--104</t>
  </si>
  <si>
    <t>26栋-3--201</t>
  </si>
  <si>
    <t>26栋-3--202</t>
  </si>
  <si>
    <t>26栋-3--203</t>
  </si>
  <si>
    <t>26栋-3--204</t>
  </si>
  <si>
    <t>27栋-1-103</t>
  </si>
  <si>
    <t>27栋-1--103</t>
  </si>
  <si>
    <t>27栋-1--203</t>
  </si>
  <si>
    <t>27栋-2-102</t>
  </si>
  <si>
    <t>27栋-2--102</t>
  </si>
  <si>
    <t>27栋-2-103</t>
  </si>
  <si>
    <t>27栋-2--103</t>
  </si>
  <si>
    <t>27栋-2--202</t>
  </si>
  <si>
    <t>27栋-2--203</t>
  </si>
  <si>
    <t>27栋-3-102</t>
  </si>
  <si>
    <t>27栋-3--102</t>
  </si>
  <si>
    <t>27栋-3--202</t>
  </si>
  <si>
    <t>27栋-4-102</t>
  </si>
  <si>
    <t>27栋-4--102</t>
  </si>
  <si>
    <t>27栋-4--202</t>
  </si>
  <si>
    <t>28栋-1-103</t>
  </si>
  <si>
    <t>28栋-1--103</t>
  </si>
  <si>
    <t>28栋-1--203</t>
  </si>
  <si>
    <t>28栋-2-102</t>
  </si>
  <si>
    <t>28栋-2--102</t>
  </si>
  <si>
    <t>28栋-2-103</t>
  </si>
  <si>
    <t>28栋-2--103</t>
  </si>
  <si>
    <t>28栋-2--202</t>
  </si>
  <si>
    <t>28栋-2--203</t>
  </si>
  <si>
    <t>29栋-1-103</t>
  </si>
  <si>
    <t>29栋-1--103</t>
  </si>
  <si>
    <t>29栋-1--203</t>
  </si>
  <si>
    <t>29栋-2-102</t>
  </si>
  <si>
    <t>29栋-2--102</t>
  </si>
  <si>
    <t>29栋-2-103</t>
  </si>
  <si>
    <t>29栋-2--103</t>
  </si>
  <si>
    <t>29栋-2--202</t>
  </si>
  <si>
    <t>29栋-2--203</t>
  </si>
  <si>
    <t>29栋-3-102</t>
  </si>
  <si>
    <t>29栋-3--102</t>
  </si>
  <si>
    <t>29栋-3--202</t>
  </si>
  <si>
    <t>30栋-1-102</t>
  </si>
  <si>
    <t>30栋-1--102</t>
  </si>
  <si>
    <t>30栋-1-103</t>
  </si>
  <si>
    <t>30栋-1--103</t>
  </si>
  <si>
    <t>30栋-1--202</t>
  </si>
  <si>
    <t>30栋-1--203</t>
  </si>
  <si>
    <t>30栋-2-102</t>
  </si>
  <si>
    <t>30栋-2--102</t>
  </si>
  <si>
    <t>30栋-2-103</t>
  </si>
  <si>
    <t>30栋-2--103</t>
  </si>
  <si>
    <t>30栋-2--202</t>
  </si>
  <si>
    <t>30栋-2--203</t>
  </si>
  <si>
    <t>30栋-2-501</t>
  </si>
  <si>
    <t>30栋-3-102</t>
  </si>
  <si>
    <t>30栋-3--102</t>
  </si>
  <si>
    <t>30栋-3--202</t>
  </si>
  <si>
    <t>30栋-3-401</t>
  </si>
  <si>
    <t>32栋-1-501</t>
  </si>
  <si>
    <t>32栋-2-103</t>
  </si>
  <si>
    <t>32栋-2--103</t>
  </si>
  <si>
    <t>32栋-2--203</t>
  </si>
  <si>
    <t>33栋-1-101</t>
  </si>
  <si>
    <t>33栋-1--101</t>
  </si>
  <si>
    <t>33栋-1-102</t>
  </si>
  <si>
    <t>33栋-1--102</t>
  </si>
  <si>
    <t>33栋-1-103</t>
  </si>
  <si>
    <t>33栋-1--103</t>
  </si>
  <si>
    <t>33栋-1--201</t>
  </si>
  <si>
    <t>33栋-1--202</t>
  </si>
  <si>
    <t>33栋-2-102</t>
  </si>
  <si>
    <t>33栋-2--102</t>
  </si>
  <si>
    <t>33栋-2-103</t>
  </si>
  <si>
    <t>33栋-2--103</t>
  </si>
  <si>
    <t>33栋-2--202</t>
  </si>
  <si>
    <t>33栋-2--203</t>
  </si>
  <si>
    <t>33栋-3-102</t>
  </si>
  <si>
    <t>33栋-3--102</t>
  </si>
  <si>
    <t>33栋-3-103</t>
  </si>
  <si>
    <t>33栋-3--103</t>
  </si>
  <si>
    <t>33栋-3--202</t>
  </si>
  <si>
    <t>33栋-3--203</t>
  </si>
  <si>
    <t>34栋-1-103</t>
  </si>
  <si>
    <t>34栋-1--103</t>
  </si>
  <si>
    <t>34栋-1--203</t>
  </si>
  <si>
    <t>35栋-4-502</t>
  </si>
  <si>
    <t>36栋-2-103</t>
  </si>
  <si>
    <t>36栋-2--103</t>
  </si>
  <si>
    <t>36栋-2--203</t>
  </si>
  <si>
    <t>37栋-2-103</t>
  </si>
  <si>
    <t>37栋-2--103</t>
  </si>
  <si>
    <t>37栋-2--203</t>
  </si>
  <si>
    <t>37栋-3-102</t>
  </si>
  <si>
    <t>37栋-3--102</t>
  </si>
  <si>
    <t>37栋-3-103</t>
  </si>
  <si>
    <t>37栋-3--103</t>
  </si>
  <si>
    <t>37栋-3--202</t>
  </si>
  <si>
    <t>37栋-3--203</t>
  </si>
  <si>
    <t>38栋-3-102</t>
  </si>
  <si>
    <t>38栋-3--102</t>
  </si>
  <si>
    <t>38栋-3--202</t>
  </si>
  <si>
    <t>39栋-1-101</t>
  </si>
  <si>
    <t>39栋-1--101</t>
  </si>
  <si>
    <t>39栋-1-102</t>
  </si>
  <si>
    <t>39栋-1--102</t>
  </si>
  <si>
    <t>39栋-1-103</t>
  </si>
  <si>
    <t>39栋-1--103</t>
  </si>
  <si>
    <t>39栋-1--201</t>
  </si>
  <si>
    <t>39栋-1--202</t>
  </si>
  <si>
    <t>39栋-1--203</t>
  </si>
  <si>
    <t>39栋-2-101</t>
  </si>
  <si>
    <t>39栋-2--101</t>
  </si>
  <si>
    <t>39栋-2-102</t>
  </si>
  <si>
    <t>39栋-2--102</t>
  </si>
  <si>
    <t>39栋-2-103</t>
  </si>
  <si>
    <t>39栋-2--103</t>
  </si>
  <si>
    <t>39栋-2--201</t>
  </si>
  <si>
    <t>39栋-2--202</t>
  </si>
  <si>
    <t>39栋-2--203</t>
  </si>
  <si>
    <t>39栋-3-102</t>
  </si>
  <si>
    <t>39栋-3--102</t>
  </si>
  <si>
    <t>39栋-3-103</t>
  </si>
  <si>
    <t>39栋-3--103</t>
  </si>
  <si>
    <t>39栋-3--202</t>
  </si>
  <si>
    <t>39栋-3--203</t>
  </si>
  <si>
    <t>39栋-4-101</t>
  </si>
  <si>
    <t>39栋-4--101</t>
  </si>
  <si>
    <t>39栋-4-102</t>
  </si>
  <si>
    <t>39栋-4--102</t>
  </si>
  <si>
    <t>39栋-4-103</t>
  </si>
  <si>
    <t>39栋-4--103</t>
  </si>
  <si>
    <t>39栋-4--201</t>
  </si>
  <si>
    <t>39栋-4--202</t>
  </si>
  <si>
    <t>39栋-4--203</t>
  </si>
  <si>
    <t>39栋-5-101</t>
  </si>
  <si>
    <t>39栋-5--101</t>
  </si>
  <si>
    <t>39栋-5-102</t>
  </si>
  <si>
    <t>39栋-5--102</t>
  </si>
  <si>
    <t>39栋-5-103</t>
  </si>
  <si>
    <t>39栋-5--103</t>
  </si>
  <si>
    <t>39栋-5--201</t>
  </si>
  <si>
    <t>39栋-5--202</t>
  </si>
  <si>
    <t>39栋-5--203</t>
  </si>
  <si>
    <t>40-a栋-1-401</t>
  </si>
  <si>
    <t>40-a栋-1-402</t>
  </si>
  <si>
    <t>40-a栋-2-102</t>
  </si>
  <si>
    <t>40-a栋-2--102</t>
  </si>
  <si>
    <t>40-a栋-2-103</t>
  </si>
  <si>
    <t>40-a栋-2--103</t>
  </si>
  <si>
    <t>40-a栋-2--202</t>
  </si>
  <si>
    <t>40-a栋-2--203</t>
  </si>
  <si>
    <t>40-a栋-2-501</t>
  </si>
  <si>
    <t>40-a栋-3-102</t>
  </si>
  <si>
    <t>40-a栋-3--102</t>
  </si>
  <si>
    <t>40-a栋-3-103</t>
  </si>
  <si>
    <t>40-a栋-3--103</t>
  </si>
  <si>
    <t>40-a栋-3--202</t>
  </si>
  <si>
    <t>40-a栋-3--203</t>
  </si>
  <si>
    <t>40-a栋-3-302</t>
  </si>
  <si>
    <t>40-a栋-3-402</t>
  </si>
  <si>
    <t>40-a栋-3-501</t>
  </si>
  <si>
    <t>41栋-1-102</t>
  </si>
  <si>
    <t>41栋-1--102</t>
  </si>
  <si>
    <t>41栋-1-103</t>
  </si>
  <si>
    <t>41栋-1--103</t>
  </si>
  <si>
    <t>41栋-1--202</t>
  </si>
  <si>
    <t>41栋-1--203</t>
  </si>
  <si>
    <t>41栋-1-301</t>
  </si>
  <si>
    <t>41栋-1-302</t>
  </si>
  <si>
    <t>41栋-1-401</t>
  </si>
  <si>
    <t>41栋-1-402</t>
  </si>
  <si>
    <t>41栋-1-501</t>
  </si>
  <si>
    <t>41栋-1-502</t>
  </si>
  <si>
    <t>41栋-2-102</t>
  </si>
  <si>
    <t>41栋-2--102</t>
  </si>
  <si>
    <t>41栋-2-103</t>
  </si>
  <si>
    <t>41栋-2--103</t>
  </si>
  <si>
    <t>41栋-2-104</t>
  </si>
  <si>
    <t>41栋-2--104</t>
  </si>
  <si>
    <t>41栋-2--202</t>
  </si>
  <si>
    <t>41栋-2--203</t>
  </si>
  <si>
    <t>41栋-2--204</t>
  </si>
  <si>
    <t>41栋-2-401</t>
  </si>
  <si>
    <t>41栋-2-402</t>
  </si>
  <si>
    <t>41栋-2-501</t>
  </si>
  <si>
    <t>41栋-2-502</t>
  </si>
  <si>
    <t>41栋-3-102</t>
  </si>
  <si>
    <t>41栋-3--102</t>
  </si>
  <si>
    <t>41栋-3--202</t>
  </si>
  <si>
    <t>41栋-3-301</t>
  </si>
  <si>
    <t>41栋-3-401</t>
  </si>
  <si>
    <t>41栋-3-402</t>
  </si>
  <si>
    <t>41栋-3-501</t>
  </si>
  <si>
    <t>41栋-3-502</t>
  </si>
  <si>
    <t>10栋-1-103</t>
  </si>
  <si>
    <t>10栋-1--103</t>
  </si>
  <si>
    <t>10栋-1--203</t>
  </si>
  <si>
    <t>10栋-2-102</t>
  </si>
  <si>
    <t>10栋-2--102</t>
  </si>
  <si>
    <t>10栋-2-103</t>
  </si>
  <si>
    <t>10栋-2--103</t>
  </si>
  <si>
    <t>10栋-2--202</t>
  </si>
  <si>
    <t>10栋-2--203</t>
  </si>
  <si>
    <t>10栋-3-102</t>
  </si>
  <si>
    <t>10栋-3--102</t>
  </si>
  <si>
    <t>10栋-3--202</t>
  </si>
  <si>
    <t>11栋-3-102</t>
  </si>
  <si>
    <t>11栋-3--102</t>
  </si>
  <si>
    <t>11栋-3--202</t>
  </si>
  <si>
    <t>12栋-3-601</t>
  </si>
  <si>
    <t>13栋-1-103</t>
  </si>
  <si>
    <t>13栋-1--103</t>
  </si>
  <si>
    <t>13栋-1--203</t>
  </si>
  <si>
    <t>13栋-2-102</t>
  </si>
  <si>
    <t>13栋-2--102</t>
  </si>
  <si>
    <t>13栋-2--202</t>
  </si>
  <si>
    <t>13栋-2-501</t>
  </si>
  <si>
    <t>14栋-1-101</t>
  </si>
  <si>
    <t>14栋-1--101</t>
  </si>
  <si>
    <t>14栋-1-103</t>
  </si>
  <si>
    <t>14栋-1--103</t>
  </si>
  <si>
    <t>14栋-1--202</t>
  </si>
  <si>
    <t>14栋-3-102</t>
  </si>
  <si>
    <t>14栋-3--102</t>
  </si>
  <si>
    <t>14栋-3--202</t>
  </si>
  <si>
    <t>15栋-3-102</t>
  </si>
  <si>
    <t>15栋-3--102</t>
  </si>
  <si>
    <t>15栋-3-103</t>
  </si>
  <si>
    <t>15栋-3--103</t>
  </si>
  <si>
    <t>15栋-3--202</t>
  </si>
  <si>
    <t>15栋-3--203</t>
  </si>
  <si>
    <t>15栋-4-102</t>
  </si>
  <si>
    <t>15栋-4--102</t>
  </si>
  <si>
    <t>15栋-4-103</t>
  </si>
  <si>
    <t>15栋-4--103</t>
  </si>
  <si>
    <t>15栋-4--202</t>
  </si>
  <si>
    <t>15栋-4--203</t>
  </si>
  <si>
    <t>15栋-5-102</t>
  </si>
  <si>
    <t>15栋-5--102</t>
  </si>
  <si>
    <t>15栋-5--202</t>
  </si>
  <si>
    <t>16栋-2-502</t>
  </si>
  <si>
    <t>16栋-3-102</t>
  </si>
  <si>
    <t>16栋-3--102</t>
  </si>
  <si>
    <t>16栋-3--202</t>
  </si>
  <si>
    <t>17栋-2-102</t>
  </si>
  <si>
    <t>17栋-2--102</t>
  </si>
  <si>
    <t>17栋-2--202</t>
  </si>
  <si>
    <t>17栋-3-102</t>
  </si>
  <si>
    <t>17栋-3--102</t>
  </si>
  <si>
    <t>17栋-3--202</t>
  </si>
  <si>
    <t>18栋-1-101</t>
  </si>
  <si>
    <t>18栋-1--101</t>
  </si>
  <si>
    <t>18栋-1-102</t>
  </si>
  <si>
    <t>18栋-1--102</t>
  </si>
  <si>
    <t>18栋-1--201</t>
  </si>
  <si>
    <t>18栋-1--202</t>
  </si>
  <si>
    <t>18栋-2-102</t>
  </si>
  <si>
    <t>18栋-2--102</t>
  </si>
  <si>
    <t>18栋-2-103</t>
  </si>
  <si>
    <t>18栋-2--103</t>
  </si>
  <si>
    <t>18栋-2-104</t>
  </si>
  <si>
    <t>18栋-2--104</t>
  </si>
  <si>
    <t>18栋-2--202</t>
  </si>
  <si>
    <t>18栋-2--203</t>
  </si>
  <si>
    <t>18栋-2--204</t>
  </si>
  <si>
    <t>18栋-3-102</t>
  </si>
  <si>
    <t>18栋-3--102</t>
  </si>
  <si>
    <t>18栋-3-103</t>
  </si>
  <si>
    <t>18栋-3--103</t>
  </si>
  <si>
    <t>18栋-3--202</t>
  </si>
  <si>
    <t>18栋-3--203</t>
  </si>
  <si>
    <t>18栋-3-401</t>
  </si>
  <si>
    <t>18栋-3-501</t>
  </si>
  <si>
    <t>18栋-4-101</t>
  </si>
  <si>
    <t>18栋-4--101</t>
  </si>
  <si>
    <t>18栋-4-102</t>
  </si>
  <si>
    <t>18栋-4--102</t>
  </si>
  <si>
    <t>18栋-4-103</t>
  </si>
  <si>
    <t>18栋-4--103</t>
  </si>
  <si>
    <t>18栋-4--201</t>
  </si>
  <si>
    <t>18栋-4--202</t>
  </si>
  <si>
    <t>18栋-4--203</t>
  </si>
  <si>
    <t>18栋-4-401</t>
  </si>
  <si>
    <t>18栋-4-402</t>
  </si>
  <si>
    <t>18栋-5-102</t>
  </si>
  <si>
    <t>18栋-5--102</t>
  </si>
  <si>
    <t>18栋-5--202</t>
  </si>
  <si>
    <t>1栋-1-101</t>
  </si>
  <si>
    <t>1栋-1--101</t>
  </si>
  <si>
    <t>1栋-1-102</t>
  </si>
  <si>
    <t>1栋-1--102</t>
  </si>
  <si>
    <t>1栋-1-201</t>
  </si>
  <si>
    <t>1栋-1--201</t>
  </si>
  <si>
    <t>1栋-1-202</t>
  </si>
  <si>
    <t>1栋-1--202</t>
  </si>
  <si>
    <t>1栋-1-301</t>
  </si>
  <si>
    <t>1栋-1-302</t>
  </si>
  <si>
    <t>1栋-1-401</t>
  </si>
  <si>
    <t>1栋-1-402</t>
  </si>
  <si>
    <t>1栋-1-501</t>
  </si>
  <si>
    <t>1栋-1-502</t>
  </si>
  <si>
    <t>1栋-1-601</t>
  </si>
  <si>
    <t>1栋-1-602</t>
  </si>
  <si>
    <t>1栋-2-101</t>
  </si>
  <si>
    <t>1栋-2--101</t>
  </si>
  <si>
    <t>1栋-2-102</t>
  </si>
  <si>
    <t>1栋-2--102</t>
  </si>
  <si>
    <t>1栋-2-201</t>
  </si>
  <si>
    <t>1栋-2--201</t>
  </si>
  <si>
    <t>1栋-2-202</t>
  </si>
  <si>
    <t>1栋-2--202</t>
  </si>
  <si>
    <t>1栋-2-301</t>
  </si>
  <si>
    <t>1栋-2-302</t>
  </si>
  <si>
    <t>1栋-2-401</t>
  </si>
  <si>
    <t>1栋-2-402</t>
  </si>
  <si>
    <t>1栋-2-501</t>
  </si>
  <si>
    <t>1栋-2-502</t>
  </si>
  <si>
    <t>1栋-2-601</t>
  </si>
  <si>
    <t>1栋-2-602</t>
  </si>
  <si>
    <t>2栋-1-101</t>
  </si>
  <si>
    <t>2栋-1--101</t>
  </si>
  <si>
    <t>2栋-1-102</t>
  </si>
  <si>
    <t>2栋-1--102</t>
  </si>
  <si>
    <t>2栋-1-201</t>
  </si>
  <si>
    <t>2栋-1--201</t>
  </si>
  <si>
    <t>2栋-1-202</t>
  </si>
  <si>
    <t>2栋-1--202</t>
  </si>
  <si>
    <t>2栋-1-302</t>
  </si>
  <si>
    <t>2栋-1-601</t>
  </si>
  <si>
    <t>2栋-1-602</t>
  </si>
  <si>
    <t>2栋-2-101</t>
  </si>
  <si>
    <t>2栋-2--101</t>
  </si>
  <si>
    <t>2栋-2-102</t>
  </si>
  <si>
    <t>2栋-2--102</t>
  </si>
  <si>
    <t>2栋-2-201</t>
  </si>
  <si>
    <t>2栋-2--201</t>
  </si>
  <si>
    <t>2栋-2-202</t>
  </si>
  <si>
    <t>2栋-2--202</t>
  </si>
  <si>
    <t>2栋-2-601</t>
  </si>
  <si>
    <t>2栋-2-602</t>
  </si>
  <si>
    <t>2栋-3-101</t>
  </si>
  <si>
    <t>2栋-3--101</t>
  </si>
  <si>
    <t>2栋-3-102</t>
  </si>
  <si>
    <t>2栋-3--102</t>
  </si>
  <si>
    <t>2栋-3-201</t>
  </si>
  <si>
    <t>2栋-3--201</t>
  </si>
  <si>
    <t>2栋-3-202</t>
  </si>
  <si>
    <t>2栋-3--202</t>
  </si>
  <si>
    <t>2栋-3-601</t>
  </si>
  <si>
    <t>2栋-3-602</t>
  </si>
  <si>
    <t>2栋-4-101</t>
  </si>
  <si>
    <t>2栋-4--101</t>
  </si>
  <si>
    <t>2栋-4-102</t>
  </si>
  <si>
    <t>2栋-4--102</t>
  </si>
  <si>
    <t>2栋-4-201</t>
  </si>
  <si>
    <t>2栋-4--201</t>
  </si>
  <si>
    <t>2栋-4-202</t>
  </si>
  <si>
    <t>2栋-4--202</t>
  </si>
  <si>
    <t>2栋-4-601</t>
  </si>
  <si>
    <t>2栋-4-602</t>
  </si>
  <si>
    <t>2栋-5-101</t>
  </si>
  <si>
    <t>2栋-5--101</t>
  </si>
  <si>
    <t>2栋-5-102</t>
  </si>
  <si>
    <t>2栋-5--102</t>
  </si>
  <si>
    <t>2栋-5-201</t>
  </si>
  <si>
    <t>2栋-5--201</t>
  </si>
  <si>
    <t>2栋-5-202</t>
  </si>
  <si>
    <t>2栋-5--202</t>
  </si>
  <si>
    <t>2栋-5-601</t>
  </si>
  <si>
    <t>2栋-5-602</t>
  </si>
  <si>
    <t>2栋-6-101</t>
  </si>
  <si>
    <t>2栋-6--101</t>
  </si>
  <si>
    <t>2栋-6-102</t>
  </si>
  <si>
    <t>2栋-6--102</t>
  </si>
  <si>
    <t>2栋-6-201</t>
  </si>
  <si>
    <t>2栋-6--201</t>
  </si>
  <si>
    <t>2栋-6--202</t>
  </si>
  <si>
    <t>2栋-6-601</t>
  </si>
  <si>
    <t>3栋-1-101</t>
  </si>
  <si>
    <t>3栋-1--101</t>
  </si>
  <si>
    <t>3栋-1-102</t>
  </si>
  <si>
    <t>3栋-1--102</t>
  </si>
  <si>
    <t>3栋-1-201</t>
  </si>
  <si>
    <t>3栋-1--201</t>
  </si>
  <si>
    <t>3栋-1-202</t>
  </si>
  <si>
    <t>3栋-1--202</t>
  </si>
  <si>
    <t>3栋-1-601</t>
  </si>
  <si>
    <t>3栋-1-602</t>
  </si>
  <si>
    <t>3栋-2-101</t>
  </si>
  <si>
    <t>3栋-2--101</t>
  </si>
  <si>
    <t>3栋-2-102</t>
  </si>
  <si>
    <t>3栋-2--102</t>
  </si>
  <si>
    <t>3栋-2-201</t>
  </si>
  <si>
    <t>3栋-2--201</t>
  </si>
  <si>
    <t>3栋-2-202</t>
  </si>
  <si>
    <t>3栋-2--202</t>
  </si>
  <si>
    <t>3栋-2-601</t>
  </si>
  <si>
    <t>3栋-2-602</t>
  </si>
  <si>
    <t>3栋-3-101</t>
  </si>
  <si>
    <t>3栋-3--101</t>
  </si>
  <si>
    <t>3栋-3-102</t>
  </si>
  <si>
    <t>3栋-3--102</t>
  </si>
  <si>
    <t>3栋-3-201</t>
  </si>
  <si>
    <t>3栋-3--201</t>
  </si>
  <si>
    <t>3栋-3-202</t>
  </si>
  <si>
    <t>3栋-3--202</t>
  </si>
  <si>
    <t>3栋-3-601</t>
  </si>
  <si>
    <t>3栋-4-101</t>
  </si>
  <si>
    <t>3栋-4--101</t>
  </si>
  <si>
    <t>3栋-4-102</t>
  </si>
  <si>
    <t>3栋-4--102</t>
  </si>
  <si>
    <t>3栋-4--201</t>
  </si>
  <si>
    <t>3栋-4-202</t>
  </si>
  <si>
    <t>3栋-4--202</t>
  </si>
  <si>
    <t>3栋-4-601</t>
  </si>
  <si>
    <t>3栋-4-602</t>
  </si>
  <si>
    <t>3栋-5-101</t>
  </si>
  <si>
    <t>3栋-5--101</t>
  </si>
  <si>
    <t>3栋-5-102</t>
  </si>
  <si>
    <t>3栋-5--102</t>
  </si>
  <si>
    <t>3栋-5-201</t>
  </si>
  <si>
    <t>3栋-5--201</t>
  </si>
  <si>
    <t>3栋-5-202</t>
  </si>
  <si>
    <t>3栋-5--202</t>
  </si>
  <si>
    <t>4栋-1-101</t>
  </si>
  <si>
    <t>4栋-1--101</t>
  </si>
  <si>
    <t>4栋-1-102</t>
  </si>
  <si>
    <t>4栋-1--102</t>
  </si>
  <si>
    <t>4栋-1--201</t>
  </si>
  <si>
    <t>4栋-1--202</t>
  </si>
  <si>
    <t>4栋-2-101</t>
  </si>
  <si>
    <t>4栋-2--101</t>
  </si>
  <si>
    <t>4栋-2-102</t>
  </si>
  <si>
    <t>4栋-2--102</t>
  </si>
  <si>
    <t>4栋-2--201</t>
  </si>
  <si>
    <t>4栋-2--202</t>
  </si>
  <si>
    <t>4栋-3-101</t>
  </si>
  <si>
    <t>4栋-3--101</t>
  </si>
  <si>
    <t>4栋-3-102</t>
  </si>
  <si>
    <t>4栋-3--102</t>
  </si>
  <si>
    <t>4栋-3--201</t>
  </si>
  <si>
    <t>4栋-3--202</t>
  </si>
  <si>
    <t>4栋-4-101</t>
  </si>
  <si>
    <t>4栋-4--101</t>
  </si>
  <si>
    <t>4栋-4-102</t>
  </si>
  <si>
    <t>4栋-4--102</t>
  </si>
  <si>
    <t>4栋-4--201</t>
  </si>
  <si>
    <t>4栋-4-202</t>
  </si>
  <si>
    <t>4栋-4--202</t>
  </si>
  <si>
    <t>4栋-4-602</t>
  </si>
  <si>
    <t>4栋-5-101</t>
  </si>
  <si>
    <t>4栋-5--101</t>
  </si>
  <si>
    <t>4栋-5-102</t>
  </si>
  <si>
    <t>4栋-5--102</t>
  </si>
  <si>
    <t>4栋-5--201</t>
  </si>
  <si>
    <t>4栋-5--202</t>
  </si>
  <si>
    <t>4栋-6-101</t>
  </si>
  <si>
    <t>4栋-6--101</t>
  </si>
  <si>
    <t>4栋-6-102</t>
  </si>
  <si>
    <t>4栋-6--102</t>
  </si>
  <si>
    <t>4栋-6--201</t>
  </si>
  <si>
    <t>4栋-6--202</t>
  </si>
  <si>
    <t>5栋-1-101</t>
  </si>
  <si>
    <t>5栋-1--101</t>
  </si>
  <si>
    <t>5栋-1-102</t>
  </si>
  <si>
    <t>5栋-1--102</t>
  </si>
  <si>
    <t>5栋-1-103</t>
  </si>
  <si>
    <t>5栋-1--103</t>
  </si>
  <si>
    <t>5栋-1-104</t>
  </si>
  <si>
    <t>5栋-1--104</t>
  </si>
  <si>
    <t>5栋-1--201</t>
  </si>
  <si>
    <t>5栋-1--202</t>
  </si>
  <si>
    <t>5栋-1--203</t>
  </si>
  <si>
    <t>5栋-1--204</t>
  </si>
  <si>
    <t>5栋-2-101</t>
  </si>
  <si>
    <t>5栋-2--101</t>
  </si>
  <si>
    <t>5栋-2-102</t>
  </si>
  <si>
    <t>5栋-2--102</t>
  </si>
  <si>
    <t>5栋-2-103</t>
  </si>
  <si>
    <t>5栋-2--103</t>
  </si>
  <si>
    <t>5栋-2-104</t>
  </si>
  <si>
    <t>5栋-2--104</t>
  </si>
  <si>
    <t>5栋-2--201</t>
  </si>
  <si>
    <t>5栋-2--202</t>
  </si>
  <si>
    <t>5栋-2--203</t>
  </si>
  <si>
    <t>5栋-2--204</t>
  </si>
  <si>
    <t>5栋-3-101</t>
  </si>
  <si>
    <t>5栋-3--101</t>
  </si>
  <si>
    <t>5栋-3-102</t>
  </si>
  <si>
    <t>5栋-3--102</t>
  </si>
  <si>
    <t>5栋-3-103</t>
  </si>
  <si>
    <t>5栋-3--103</t>
  </si>
  <si>
    <t>5栋-3-104</t>
  </si>
  <si>
    <t>5栋-3--104</t>
  </si>
  <si>
    <t>5栋-3--201</t>
  </si>
  <si>
    <t>5栋-3--202</t>
  </si>
  <si>
    <t>5栋-3--203</t>
  </si>
  <si>
    <t>5栋-3--204</t>
  </si>
  <si>
    <t>5栋-4-101</t>
  </si>
  <si>
    <t>5栋-4--101</t>
  </si>
  <si>
    <t>5栋-4-102</t>
  </si>
  <si>
    <t>5栋-4--102</t>
  </si>
  <si>
    <t>5栋-4-103</t>
  </si>
  <si>
    <t>5栋-4--103</t>
  </si>
  <si>
    <t>5栋-4-104</t>
  </si>
  <si>
    <t>5栋-4--104</t>
  </si>
  <si>
    <t>5栋-4--201</t>
  </si>
  <si>
    <t>5栋-4--202</t>
  </si>
  <si>
    <t>5栋-4--203</t>
  </si>
  <si>
    <t>5栋-4--204</t>
  </si>
  <si>
    <t>5栋-5-101</t>
  </si>
  <si>
    <t>5栋-5--101</t>
  </si>
  <si>
    <t>5栋-5-102</t>
  </si>
  <si>
    <t>5栋-5--102</t>
  </si>
  <si>
    <t>5栋-5-103</t>
  </si>
  <si>
    <t>5栋-5--103</t>
  </si>
  <si>
    <t>5栋-5-104</t>
  </si>
  <si>
    <t>5栋-5--104</t>
  </si>
  <si>
    <t>5栋-5--202</t>
  </si>
  <si>
    <t>5栋-5--203</t>
  </si>
  <si>
    <t>5栋-5--204</t>
  </si>
  <si>
    <t>6栋-2-102</t>
  </si>
  <si>
    <t>6栋-2--102</t>
  </si>
  <si>
    <t>6栋-2--202</t>
  </si>
  <si>
    <t>6栋-3-103</t>
  </si>
  <si>
    <t>6栋-3--103</t>
  </si>
  <si>
    <t>6栋-3--203</t>
  </si>
  <si>
    <t>6栋-4-101</t>
  </si>
  <si>
    <t>6栋-4--101</t>
  </si>
  <si>
    <t>6栋-4-102</t>
  </si>
  <si>
    <t>6栋-4--102</t>
  </si>
  <si>
    <t>6栋-4-103</t>
  </si>
  <si>
    <t>6栋-4--103</t>
  </si>
  <si>
    <t>6栋-4-104</t>
  </si>
  <si>
    <t>6栋-4--104</t>
  </si>
  <si>
    <t>6栋-4--201</t>
  </si>
  <si>
    <t>6栋-4--202</t>
  </si>
  <si>
    <t>6栋-4--203</t>
  </si>
  <si>
    <t>6栋-4--204</t>
  </si>
  <si>
    <t>6栋-4-401</t>
  </si>
  <si>
    <t>6栋-5-101</t>
  </si>
  <si>
    <t>6栋-5--101</t>
  </si>
  <si>
    <t>6栋-5-102</t>
  </si>
  <si>
    <t>6栋-5--102</t>
  </si>
  <si>
    <t>6栋-5-103</t>
  </si>
  <si>
    <t>6栋-5--103</t>
  </si>
  <si>
    <t>6栋-5-104</t>
  </si>
  <si>
    <t>6栋-5--104</t>
  </si>
  <si>
    <t>6栋-5--201</t>
  </si>
  <si>
    <t>6栋-5--202</t>
  </si>
  <si>
    <t>6栋-5--203</t>
  </si>
  <si>
    <t>6栋-5--204</t>
  </si>
  <si>
    <t>6栋-6-101</t>
  </si>
  <si>
    <t>6栋-6--101</t>
  </si>
  <si>
    <t>6栋-6-102</t>
  </si>
  <si>
    <t>6栋-6--102</t>
  </si>
  <si>
    <t>6栋-6-104</t>
  </si>
  <si>
    <t>6栋-6--104</t>
  </si>
  <si>
    <t>6栋-6--201</t>
  </si>
  <si>
    <t>6栋-6--202</t>
  </si>
  <si>
    <t>6栋-6--204</t>
  </si>
  <si>
    <t>7栋-1-102</t>
  </si>
  <si>
    <t>7栋-1--102</t>
  </si>
  <si>
    <t>7栋-1-103</t>
  </si>
  <si>
    <t>7栋-1--103</t>
  </si>
  <si>
    <t>7栋-1--202</t>
  </si>
  <si>
    <t>7栋-1--203</t>
  </si>
  <si>
    <t>7栋-3-102</t>
  </si>
  <si>
    <t>7栋-3--102</t>
  </si>
  <si>
    <t>7栋-3-103</t>
  </si>
  <si>
    <t>7栋-3--103</t>
  </si>
  <si>
    <t>7栋-3-104</t>
  </si>
  <si>
    <t>7栋-3--104</t>
  </si>
  <si>
    <t>7栋-3--202</t>
  </si>
  <si>
    <t>7栋-3--203</t>
  </si>
  <si>
    <t>7栋-3--204</t>
  </si>
  <si>
    <t>8栋-1-101</t>
  </si>
  <si>
    <t>8栋-1--101</t>
  </si>
  <si>
    <t>8栋-1-102</t>
  </si>
  <si>
    <t>8栋-1--102</t>
  </si>
  <si>
    <t>8栋-1-103</t>
  </si>
  <si>
    <t>8栋-1--103</t>
  </si>
  <si>
    <t>8栋-1-104</t>
  </si>
  <si>
    <t>8栋-1--104</t>
  </si>
  <si>
    <t>8栋-1--201</t>
  </si>
  <si>
    <t>8栋-1--202</t>
  </si>
  <si>
    <t>8栋-1--203</t>
  </si>
  <si>
    <t>8栋-2-101</t>
  </si>
  <si>
    <t>8栋-2--101</t>
  </si>
  <si>
    <t>8栋-2-102</t>
  </si>
  <si>
    <t>8栋-2--102</t>
  </si>
  <si>
    <t>8栋-2-103</t>
  </si>
  <si>
    <t>8栋-2--103</t>
  </si>
  <si>
    <t>8栋-2-104</t>
  </si>
  <si>
    <t>8栋-2--104</t>
  </si>
  <si>
    <t>8栋-2--201</t>
  </si>
  <si>
    <t>8栋-2--202</t>
  </si>
  <si>
    <t>8栋-2--203</t>
  </si>
  <si>
    <t>8栋-2--204</t>
  </si>
  <si>
    <t>8栋-3-101</t>
  </si>
  <si>
    <t>8栋-3--101</t>
  </si>
  <si>
    <t>8栋-3-102</t>
  </si>
  <si>
    <t>8栋-3--102</t>
  </si>
  <si>
    <t>8栋-3-103</t>
  </si>
  <si>
    <t>8栋-3--103</t>
  </si>
  <si>
    <t>8栋-3-104</t>
  </si>
  <si>
    <t>8栋-3--104</t>
  </si>
  <si>
    <t>8栋-3--201</t>
  </si>
  <si>
    <t>8栋-3--202</t>
  </si>
  <si>
    <t>8栋-3--203</t>
  </si>
  <si>
    <t>8栋-3--204</t>
  </si>
  <si>
    <t>8栋-4-101</t>
  </si>
  <si>
    <t>8栋-4--101</t>
  </si>
  <si>
    <t>8栋-4-102</t>
  </si>
  <si>
    <t>8栋-4--102</t>
  </si>
  <si>
    <t>8栋-4-103</t>
  </si>
  <si>
    <t>8栋-4--103</t>
  </si>
  <si>
    <t>8栋-4-104</t>
  </si>
  <si>
    <t>8栋-4--104</t>
  </si>
  <si>
    <t>8栋-4--201</t>
  </si>
  <si>
    <t>8栋-4--202</t>
  </si>
  <si>
    <t>8栋-4--203</t>
  </si>
  <si>
    <t>8栋-4--204</t>
  </si>
  <si>
    <t>8栋-5-101</t>
  </si>
  <si>
    <t>8栋-5--101</t>
  </si>
  <si>
    <t>8栋-5-102</t>
  </si>
  <si>
    <t>8栋-5--102</t>
  </si>
  <si>
    <t>8栋-5-103</t>
  </si>
  <si>
    <t>8栋-5--103</t>
  </si>
  <si>
    <t>8栋-5-104</t>
  </si>
  <si>
    <t>8栋-5--104</t>
  </si>
  <si>
    <t>8栋-5--201</t>
  </si>
  <si>
    <t>8栋-5--202</t>
  </si>
  <si>
    <t>8栋-5--203</t>
  </si>
  <si>
    <t>8栋-5--204</t>
  </si>
  <si>
    <t>8栋-6-101</t>
  </si>
  <si>
    <t>8栋-6--101</t>
  </si>
  <si>
    <t>8栋-6-102</t>
  </si>
  <si>
    <t>8栋-6--102</t>
  </si>
  <si>
    <t>8栋-6-103</t>
  </si>
  <si>
    <t>8栋-6--103</t>
  </si>
  <si>
    <t>8栋-6-104</t>
  </si>
  <si>
    <t>8栋-6--104</t>
  </si>
  <si>
    <t>8栋-6--201</t>
  </si>
  <si>
    <t>8栋-6--202</t>
  </si>
  <si>
    <t>8栋-6--203</t>
  </si>
  <si>
    <t>8栋-6--204</t>
  </si>
  <si>
    <t>9栋-1-103</t>
  </si>
  <si>
    <t>9栋-1--103</t>
  </si>
  <si>
    <t>9栋-1--203</t>
  </si>
  <si>
    <t>9栋-2-102</t>
  </si>
  <si>
    <t>9栋-2--102</t>
  </si>
  <si>
    <t>9栋-2--202</t>
  </si>
  <si>
    <t>9栋-3-103</t>
  </si>
  <si>
    <t>9栋-3--103</t>
  </si>
  <si>
    <t>9栋-3--202</t>
  </si>
  <si>
    <t>56套</t>
  </si>
  <si>
    <t>16套</t>
  </si>
  <si>
    <t>203套</t>
  </si>
  <si>
    <t>341套</t>
  </si>
  <si>
    <t>住宅</t>
  </si>
  <si>
    <t>城镇住宅用地</t>
  </si>
  <si>
    <t>有</t>
  </si>
  <si>
    <t>1000米以外</t>
  </si>
  <si>
    <t>通路</t>
  </si>
  <si>
    <t>通电</t>
  </si>
  <si>
    <t>通讯</t>
  </si>
  <si>
    <t>通上水</t>
  </si>
  <si>
    <t>通下水</t>
  </si>
  <si>
    <t>通热</t>
  </si>
  <si>
    <t>燃气</t>
  </si>
  <si>
    <t>平整</t>
  </si>
  <si>
    <t>与级别开发程度不一致</t>
  </si>
  <si>
    <t>中心城区以外</t>
  </si>
  <si>
    <t>一般</t>
  </si>
  <si>
    <t>较好</t>
  </si>
  <si>
    <t>较差</t>
  </si>
  <si>
    <t>好</t>
  </si>
  <si>
    <t>时间</t>
  </si>
  <si>
    <t>楼栋号</t>
  </si>
  <si>
    <t>单元号</t>
  </si>
  <si>
    <t>总楼层</t>
  </si>
  <si>
    <t>楼层号</t>
  </si>
  <si>
    <t>房间号</t>
  </si>
  <si>
    <t>许可证号</t>
  </si>
  <si>
    <t>物业类型</t>
  </si>
  <si>
    <t>户型</t>
  </si>
  <si>
    <t>成交面积(㎡)</t>
  </si>
  <si>
    <t>成交金额(万元)</t>
  </si>
  <si>
    <t>成交单价(元/㎡)</t>
  </si>
  <si>
    <t>5号楼</t>
  </si>
  <si>
    <t>四单元302</t>
  </si>
  <si>
    <t>现：京(2022)房不动产权第0023212号</t>
  </si>
  <si>
    <t>普通住宅</t>
  </si>
  <si>
    <t>三房</t>
  </si>
  <si>
    <t>2号楼</t>
  </si>
  <si>
    <t>四单元301</t>
  </si>
  <si>
    <t>现：京(2022)房不动产权第0023203号</t>
  </si>
  <si>
    <t>39号楼</t>
  </si>
  <si>
    <t>二单元502</t>
  </si>
  <si>
    <t>现：京(2022)房不动产权第0022175号</t>
  </si>
  <si>
    <t>二单元302</t>
  </si>
  <si>
    <t>8号楼</t>
  </si>
  <si>
    <t>四单元501</t>
  </si>
  <si>
    <t>现：京(2022)房不动产权第0023227号</t>
  </si>
  <si>
    <t>一单元502</t>
  </si>
  <si>
    <t>3号楼</t>
  </si>
  <si>
    <t>四单元402</t>
  </si>
  <si>
    <t>现：京(2022)房不动产权第0023205号</t>
  </si>
  <si>
    <t>18号楼</t>
  </si>
  <si>
    <t>五单元501</t>
  </si>
  <si>
    <t>现：京(2022)房不动产权第0023223号</t>
  </si>
  <si>
    <t>五单元602</t>
  </si>
  <si>
    <t>二房</t>
  </si>
  <si>
    <t>三单元401</t>
  </si>
  <si>
    <t>31号楼</t>
  </si>
  <si>
    <t>二单元103</t>
  </si>
  <si>
    <t>现：京(2022)房不动产权第0022196号</t>
  </si>
  <si>
    <t>一房</t>
  </si>
  <si>
    <t>13号楼</t>
  </si>
  <si>
    <t>现：京(2022)房不动产权第0023206号</t>
  </si>
  <si>
    <t>二单元301</t>
  </si>
  <si>
    <t>1号楼</t>
  </si>
  <si>
    <t>五单元302</t>
  </si>
  <si>
    <t>现：京(2022)房不动产权第0023200号</t>
  </si>
  <si>
    <t>三单元502</t>
  </si>
  <si>
    <t>二单元402</t>
  </si>
  <si>
    <t>28号楼</t>
  </si>
  <si>
    <t>三单元103</t>
  </si>
  <si>
    <t>现：京(2022)房不动产权第0022193号</t>
  </si>
  <si>
    <t>一单元401</t>
  </si>
  <si>
    <t>40号楼</t>
  </si>
  <si>
    <t>二单元401</t>
  </si>
  <si>
    <t>现：京(2022)房不动产权第0022171号</t>
  </si>
  <si>
    <t>10号楼</t>
  </si>
  <si>
    <t>三单元302</t>
  </si>
  <si>
    <t>现：京(2022)房不动产权第0023232号</t>
  </si>
  <si>
    <t>35号楼</t>
  </si>
  <si>
    <t>四单元103</t>
  </si>
  <si>
    <t>现：京(2022)房不动产权第0022186号</t>
  </si>
  <si>
    <t>6号楼</t>
  </si>
  <si>
    <t>一单元102</t>
  </si>
  <si>
    <t>现：京(2022)房不动产权第0023220号</t>
  </si>
  <si>
    <t>9号楼</t>
  </si>
  <si>
    <t>现：京(2022)房不动产权第0023230号</t>
  </si>
  <si>
    <t>一单元501</t>
  </si>
  <si>
    <t>五单元401</t>
  </si>
  <si>
    <t>7号楼</t>
  </si>
  <si>
    <t>三单元602</t>
  </si>
  <si>
    <t>现：京(2022)房不动产权第0023224号</t>
  </si>
  <si>
    <t>项目名称</t>
  </si>
  <si>
    <t>板块</t>
  </si>
  <si>
    <t>成交套数(套)</t>
  </si>
  <si>
    <t>成交价格(元/㎡)</t>
  </si>
  <si>
    <t>批准上市套数(套)</t>
  </si>
  <si>
    <t>批准上市面积(㎡)</t>
  </si>
  <si>
    <t>可售套数(套)</t>
  </si>
  <si>
    <t>可售面积(㎡)</t>
  </si>
  <si>
    <t>当页汇总</t>
  </si>
  <si>
    <t>北京恒大御峰</t>
  </si>
  <si>
    <t>良乡</t>
  </si>
  <si>
    <t>中骏·云景台</t>
  </si>
  <si>
    <t>熙湖悦著</t>
  </si>
  <si>
    <t>青龙湖</t>
  </si>
  <si>
    <t>万科七橡墅</t>
  </si>
  <si>
    <t>周口店</t>
  </si>
  <si>
    <t>天恒·京西悦府</t>
  </si>
  <si>
    <t>闫村</t>
  </si>
  <si>
    <t>腾龙家园</t>
  </si>
  <si>
    <t>汇豪山水华府</t>
  </si>
  <si>
    <t>窦店</t>
  </si>
  <si>
    <t>天恒乐活城</t>
  </si>
  <si>
    <t>天恒·摩墅</t>
  </si>
  <si>
    <t>首开·熙悦山</t>
  </si>
  <si>
    <t>长阳</t>
  </si>
  <si>
    <t>北京半岛</t>
  </si>
  <si>
    <t>水墨林溪</t>
  </si>
  <si>
    <t>中粮万科长阳半岛</t>
  </si>
  <si>
    <t>东亚·朗悦居</t>
  </si>
  <si>
    <t>荷塘嘉苑</t>
  </si>
  <si>
    <t>大石窝、长沟</t>
  </si>
  <si>
    <t>北京城建·琨廷</t>
  </si>
  <si>
    <t>现：京(2022)房不动产权第0018287号</t>
  </si>
  <si>
    <t>其他</t>
  </si>
  <si>
    <t>二单元602</t>
  </si>
  <si>
    <t>现：京(2022)房不动产权第0018283号</t>
  </si>
  <si>
    <t>三单元402</t>
  </si>
  <si>
    <t>三单元101</t>
  </si>
  <si>
    <t>现：京(2022)房不动产权第0018285号</t>
  </si>
  <si>
    <t>四单元601</t>
  </si>
  <si>
    <t>现：京(2022)房不动产权第0018422号</t>
  </si>
  <si>
    <t>二单元601</t>
  </si>
  <si>
    <t>四单元602</t>
  </si>
  <si>
    <t>现：京(2022)房不动产权第0018420号</t>
  </si>
  <si>
    <t>现：京(2022)房不动产权第0018418号</t>
  </si>
  <si>
    <t>三单元601</t>
  </si>
  <si>
    <t>现：京(2022)房不动产权第0018421号</t>
  </si>
  <si>
    <t>一单元301</t>
  </si>
  <si>
    <t>三单元2</t>
  </si>
  <si>
    <t>现：京(2021)房不动产权第0032227号</t>
  </si>
  <si>
    <t>别墅</t>
  </si>
  <si>
    <t>联排</t>
  </si>
  <si>
    <t>现：京(2021)房不动产权第0032735号</t>
  </si>
  <si>
    <t>叠拼</t>
  </si>
  <si>
    <t>4号楼</t>
  </si>
  <si>
    <t>现：京(2021)房不动产权第0032232号</t>
  </si>
  <si>
    <t>一单元4</t>
  </si>
  <si>
    <t>二单元3</t>
  </si>
  <si>
    <t>一单元3</t>
  </si>
  <si>
    <t>现：京(2021)房不动产权第0032225号</t>
  </si>
  <si>
    <t>三单元3</t>
  </si>
  <si>
    <t>现：京(2021)房不动产权第0032553号</t>
  </si>
  <si>
    <t>现：京(2022)房不动产权第0019116号</t>
  </si>
  <si>
    <t>复式</t>
  </si>
  <si>
    <t>15号楼</t>
  </si>
  <si>
    <t>三单元1</t>
  </si>
  <si>
    <t>现：京(2021)房不动产权第0032737号</t>
  </si>
  <si>
    <t>46号楼</t>
  </si>
  <si>
    <t>现：京(2016)房山区不动产权第0021870号</t>
  </si>
  <si>
    <t>现：X京房权证房字第132510号</t>
  </si>
  <si>
    <t>11号楼</t>
  </si>
  <si>
    <t>现：京(2022)房不动产权第0023201号</t>
  </si>
  <si>
    <t>六单元301</t>
  </si>
  <si>
    <t>四单元401</t>
  </si>
  <si>
    <t>17号楼</t>
  </si>
  <si>
    <t>现：京(2022)房不动产权第0023221号</t>
  </si>
  <si>
    <t>19号楼</t>
  </si>
  <si>
    <t>现：京(2022)房不动产权第0023226号</t>
  </si>
  <si>
    <t>38号楼</t>
  </si>
  <si>
    <t>现：京(2022)房不动产权第0022178号</t>
  </si>
  <si>
    <t>四单元502</t>
  </si>
  <si>
    <t>22号楼</t>
  </si>
  <si>
    <t>五单元102</t>
  </si>
  <si>
    <t>现：京(2022)房不动产权第0022172号</t>
  </si>
  <si>
    <t>二单元101、201</t>
  </si>
  <si>
    <t>三单元301</t>
  </si>
  <si>
    <t>五单元103</t>
  </si>
  <si>
    <t>五单元101、201</t>
  </si>
  <si>
    <t>三单元501</t>
  </si>
  <si>
    <t>16号楼</t>
  </si>
  <si>
    <t>现：京(2022)房不动产权第0023216号</t>
  </si>
  <si>
    <t>六单元402</t>
  </si>
  <si>
    <t>六单元101、201</t>
  </si>
  <si>
    <t>现：京(2022)房不动产权第0023211号</t>
  </si>
  <si>
    <t>41号楼</t>
  </si>
  <si>
    <t>现：京(2022)房不动产权第0022286号</t>
  </si>
  <si>
    <t>二单元102</t>
  </si>
  <si>
    <t>五单元301</t>
  </si>
  <si>
    <t>五单元502</t>
  </si>
  <si>
    <t>二单元501</t>
  </si>
  <si>
    <t>34号楼</t>
  </si>
  <si>
    <t>现：京(2022)房不动产权第0022187号</t>
  </si>
  <si>
    <t>一单元103</t>
  </si>
  <si>
    <t>一单元101、201</t>
  </si>
  <si>
    <t>五单元402</t>
  </si>
  <si>
    <t>一单元402</t>
  </si>
  <si>
    <t>一单元302</t>
  </si>
  <si>
    <t>3#住宅楼</t>
  </si>
  <si>
    <t>二单元-202</t>
  </si>
  <si>
    <t>京房售证字(2021)9号</t>
  </si>
  <si>
    <t>二单元-501</t>
  </si>
  <si>
    <t>二单元-201</t>
  </si>
  <si>
    <t>二单元-301</t>
  </si>
  <si>
    <t>一单元-1102</t>
  </si>
  <si>
    <t>二单元-502</t>
  </si>
  <si>
    <t>一单元-901</t>
  </si>
  <si>
    <t>一单元-1101</t>
  </si>
  <si>
    <t>一单元-902</t>
  </si>
  <si>
    <t>二单元-102</t>
  </si>
  <si>
    <t>一单元-802</t>
  </si>
  <si>
    <t>二单元-101</t>
  </si>
  <si>
    <t>二单元-302</t>
  </si>
  <si>
    <t>二单元-402</t>
  </si>
  <si>
    <t>一单元-1002</t>
  </si>
  <si>
    <t>一单元-1201</t>
  </si>
  <si>
    <t>二单元-401</t>
  </si>
  <si>
    <t>一单元-1202</t>
  </si>
  <si>
    <t>一单元-1001</t>
  </si>
  <si>
    <t>15#住宅楼</t>
  </si>
  <si>
    <t>京房售证字(2021)139号</t>
  </si>
  <si>
    <t>2#住宅楼</t>
  </si>
  <si>
    <t>三单元-501</t>
  </si>
  <si>
    <t>三单元-702</t>
  </si>
  <si>
    <t>一单元-601</t>
  </si>
  <si>
    <t>一单元-101</t>
  </si>
  <si>
    <t>一单元-301</t>
  </si>
  <si>
    <t>一单元-602</t>
  </si>
  <si>
    <t>一单元-202</t>
  </si>
  <si>
    <t>一单元-701</t>
  </si>
  <si>
    <t>一单元-501</t>
  </si>
  <si>
    <t>一单元-102</t>
  </si>
  <si>
    <t>一单元-702</t>
  </si>
  <si>
    <t>一单元-502</t>
  </si>
  <si>
    <t>一单元-401</t>
  </si>
  <si>
    <t>一单元-201</t>
  </si>
  <si>
    <t>一单元-801</t>
  </si>
  <si>
    <t>一单元-302</t>
  </si>
  <si>
    <t>一单元-402</t>
  </si>
  <si>
    <t>17#住宅楼</t>
  </si>
  <si>
    <t>三单元-102</t>
  </si>
  <si>
    <t>12#住宅楼</t>
  </si>
  <si>
    <t>6#住宅楼</t>
  </si>
  <si>
    <t>二单元-701</t>
  </si>
  <si>
    <t>三单元-101</t>
  </si>
  <si>
    <t>13#住宅楼</t>
  </si>
  <si>
    <t>三单元-901</t>
  </si>
  <si>
    <t>二单元-1201</t>
  </si>
  <si>
    <t>19#住宅楼</t>
  </si>
  <si>
    <t>三单元-602</t>
  </si>
  <si>
    <t>16#住宅楼</t>
  </si>
  <si>
    <t>二单元-1102</t>
  </si>
  <si>
    <t>14#住宅楼</t>
  </si>
  <si>
    <t>二单元-1402</t>
  </si>
  <si>
    <t>三单元-301</t>
  </si>
  <si>
    <t>18#住宅楼</t>
  </si>
  <si>
    <t>二单元-902</t>
  </si>
  <si>
    <t>二单元-601</t>
  </si>
  <si>
    <t>二单元-702</t>
  </si>
  <si>
    <t>二单元-1001</t>
  </si>
  <si>
    <t>二单元-1002</t>
  </si>
  <si>
    <t>二单元-1101</t>
  </si>
  <si>
    <t>二单元-602</t>
  </si>
  <si>
    <t>三单元-1002</t>
  </si>
  <si>
    <t>二单元-1202</t>
  </si>
  <si>
    <t>4#住宅楼</t>
  </si>
  <si>
    <t>1单元-502</t>
  </si>
  <si>
    <t>京房售证字(2022)161号</t>
  </si>
  <si>
    <t>4单元-402</t>
  </si>
  <si>
    <t>京房售证字(2021)37号</t>
  </si>
  <si>
    <t>5#住宅楼</t>
  </si>
  <si>
    <t>1单元-902</t>
  </si>
  <si>
    <t>1单元-1101</t>
  </si>
  <si>
    <t>1单元-601</t>
  </si>
  <si>
    <t>3单元-802</t>
  </si>
  <si>
    <t>2单元-202</t>
  </si>
  <si>
    <t>1#住宅楼</t>
  </si>
  <si>
    <t>2单元-702</t>
  </si>
  <si>
    <t>1单元-201</t>
  </si>
  <si>
    <t>4单元-602</t>
  </si>
  <si>
    <t>1单元-801</t>
  </si>
  <si>
    <t>1单元-701</t>
  </si>
  <si>
    <t>4单元-502</t>
  </si>
  <si>
    <t>9#住宅楼</t>
  </si>
  <si>
    <t>四房</t>
  </si>
  <si>
    <t>3单元-102</t>
  </si>
  <si>
    <t>2单元-701</t>
  </si>
  <si>
    <t>3单元-101</t>
  </si>
  <si>
    <t>2单元-1101</t>
  </si>
  <si>
    <t>3单元-502</t>
  </si>
  <si>
    <t>1单元-501</t>
  </si>
  <si>
    <t>4单元-901</t>
  </si>
  <si>
    <t>2单元-502</t>
  </si>
  <si>
    <t>8#住宅楼</t>
  </si>
  <si>
    <t>京房售证字(2020)109号</t>
  </si>
  <si>
    <t>2单元-601</t>
  </si>
  <si>
    <t>2单元-102</t>
  </si>
  <si>
    <t>1单元-402</t>
  </si>
  <si>
    <t>7#住宅楼</t>
  </si>
  <si>
    <t>1单元-101</t>
  </si>
  <si>
    <t>2单元-401</t>
  </si>
  <si>
    <t>2单元-602</t>
  </si>
  <si>
    <t>4单元-802</t>
  </si>
  <si>
    <t>2单元-501</t>
  </si>
  <si>
    <t>4单元-302</t>
  </si>
  <si>
    <t>1单元-301</t>
  </si>
  <si>
    <t>2单元-201</t>
  </si>
  <si>
    <t>1单元-302</t>
  </si>
  <si>
    <t>4单元-301</t>
  </si>
  <si>
    <t>1单元-802</t>
  </si>
  <si>
    <t>2单元-802</t>
  </si>
  <si>
    <t>3单元-402</t>
  </si>
  <si>
    <t>1单元-602</t>
  </si>
  <si>
    <t>3单元-801</t>
  </si>
  <si>
    <t>4单元-702</t>
  </si>
  <si>
    <t>2单元-902</t>
  </si>
  <si>
    <t>2单元-801</t>
  </si>
  <si>
    <t>1单元-202</t>
  </si>
  <si>
    <t>京房售证字(2022)110号</t>
  </si>
  <si>
    <t>1单元-702</t>
  </si>
  <si>
    <t>2单元-302</t>
  </si>
  <si>
    <t>2单元-301</t>
  </si>
  <si>
    <t>1单元-102</t>
  </si>
  <si>
    <t>1单元-401</t>
  </si>
  <si>
    <t>3单元-602</t>
  </si>
  <si>
    <t>3单元-601</t>
  </si>
  <si>
    <t>3单元-401</t>
  </si>
  <si>
    <t>10#住宅楼</t>
  </si>
  <si>
    <t>4单元-601</t>
  </si>
  <si>
    <t>3单元-902</t>
  </si>
  <si>
    <t>3单元-501</t>
  </si>
  <si>
    <t>四单元1号</t>
  </si>
  <si>
    <t>现：京(2020)房不动产权第0007950号</t>
  </si>
  <si>
    <t>三单元2号</t>
  </si>
  <si>
    <t>12号楼</t>
  </si>
  <si>
    <t>一单元5号</t>
  </si>
  <si>
    <t>现：京(2020)房不动产权第0007953号</t>
  </si>
  <si>
    <t>一单元7号</t>
  </si>
  <si>
    <t>现：京(2019)房不动产权第0015674号</t>
  </si>
  <si>
    <t>五单元5号</t>
  </si>
  <si>
    <t>现：京(2020)房不动产权第0007945号</t>
  </si>
  <si>
    <t>4单元801</t>
  </si>
  <si>
    <t>现：京(2017)房不动产权第0031254号</t>
  </si>
  <si>
    <t>三单元202</t>
  </si>
  <si>
    <t>现：京(2021)房不动产权第0002400号</t>
  </si>
  <si>
    <t>现：京(2021)房不动产权第0002401号</t>
  </si>
  <si>
    <t>二单元101</t>
  </si>
  <si>
    <t>现：京(2021)房不动产权第0002425号</t>
  </si>
  <si>
    <t>一单元201</t>
  </si>
  <si>
    <t>现：京(2021)房不动产权第0016923号</t>
  </si>
  <si>
    <t>二单元1202</t>
  </si>
  <si>
    <t>现：京(2021)房不动产权第0016917号</t>
  </si>
  <si>
    <t>现：京(2021)房不动产权第0016924号</t>
  </si>
  <si>
    <t>三单元802</t>
  </si>
  <si>
    <t>现：京(2021)房不动产权第0016915号</t>
  </si>
  <si>
    <t>一单元101</t>
  </si>
  <si>
    <t>现：京(2021)房不动产权第0002424号</t>
  </si>
  <si>
    <t>二单元1102</t>
  </si>
  <si>
    <t>三单元4</t>
  </si>
  <si>
    <t>洋房</t>
    <phoneticPr fontId="134" type="noConversion"/>
  </si>
  <si>
    <t>中跃住宅</t>
    <phoneticPr fontId="134" type="noConversion"/>
  </si>
  <si>
    <t>下跃住宅</t>
    <phoneticPr fontId="134" type="noConversion"/>
  </si>
  <si>
    <t>地上</t>
  </si>
  <si>
    <t>中跃住宅</t>
    <phoneticPr fontId="16" type="noConversion"/>
  </si>
  <si>
    <t>下跃住宅</t>
    <phoneticPr fontId="16" type="noConversion"/>
  </si>
  <si>
    <t>跃层绑定仓储</t>
    <phoneticPr fontId="134" type="noConversion"/>
  </si>
  <si>
    <t>跃层绑定仓储</t>
    <phoneticPr fontId="16" type="noConversion"/>
  </si>
  <si>
    <t>独立仓储间</t>
    <phoneticPr fontId="134" type="noConversion"/>
  </si>
  <si>
    <t>独立仓储间</t>
    <phoneticPr fontId="16" type="noConversion"/>
  </si>
  <si>
    <t>车位</t>
    <phoneticPr fontId="134" type="noConversion"/>
  </si>
  <si>
    <t>车位</t>
    <phoneticPr fontId="16" type="noConversion"/>
  </si>
  <si>
    <t>地下</t>
  </si>
  <si>
    <t>是</t>
  </si>
  <si>
    <t>自定义容积率</t>
  </si>
  <si>
    <t>成新度</t>
  </si>
  <si>
    <t>未包含在土地购买价格中</t>
  </si>
  <si>
    <t>已包含在土地取得成本中</t>
  </si>
  <si>
    <t>全部缴纳</t>
  </si>
  <si>
    <t>居住项目</t>
  </si>
  <si>
    <t>2栋-4-302</t>
  </si>
  <si>
    <t>2栋-6-202</t>
  </si>
  <si>
    <t>41栋-2-302</t>
  </si>
  <si>
    <t>35栋-4-103</t>
  </si>
  <si>
    <t>18栋-2-402</t>
  </si>
  <si>
    <t>7栋-2-104</t>
  </si>
  <si>
    <t>24栋-2-602</t>
  </si>
  <si>
    <t>40-a栋-1-502</t>
  </si>
  <si>
    <t>40-a栋-2-502</t>
  </si>
  <si>
    <t>4栋-4-601</t>
  </si>
  <si>
    <t>4栋-5-601</t>
  </si>
  <si>
    <t>4栋-5-602</t>
  </si>
  <si>
    <t>40-a栋-1-301</t>
  </si>
  <si>
    <t>40-a栋-2-402</t>
  </si>
  <si>
    <t>10栋-2-501</t>
  </si>
  <si>
    <t>2栋-5-301</t>
  </si>
  <si>
    <t>40-a栋-2-401</t>
  </si>
  <si>
    <t>14栋-2-501</t>
  </si>
  <si>
    <t>40-a栋-1-302</t>
  </si>
  <si>
    <t>40-a栋-1-501</t>
  </si>
  <si>
    <t>40-a栋-2-302</t>
  </si>
  <si>
    <t>40-a栋-3-301</t>
  </si>
  <si>
    <t>18栋-3-502</t>
  </si>
  <si>
    <t>40-a栋-3-502</t>
  </si>
  <si>
    <t>13栋-2-502</t>
  </si>
  <si>
    <t>2栋-5-302</t>
  </si>
  <si>
    <t>18栋-2-502</t>
  </si>
  <si>
    <t>18栋-1-502</t>
  </si>
  <si>
    <t>2栋-4-402</t>
  </si>
  <si>
    <t>10栋-3-501</t>
  </si>
  <si>
    <t>18栋-5-401</t>
  </si>
  <si>
    <t>18栋-5-501</t>
  </si>
  <si>
    <t>2栋-6-301</t>
  </si>
  <si>
    <t>9栋-1-501</t>
  </si>
  <si>
    <t>7栋-1-104</t>
  </si>
  <si>
    <t>40-a栋-2-301</t>
  </si>
  <si>
    <t>17栋-3-103</t>
  </si>
  <si>
    <t>13栋-3-501</t>
  </si>
  <si>
    <t>19栋-2-103</t>
  </si>
  <si>
    <t>35栋-2-102</t>
  </si>
  <si>
    <t>40-a栋-3-401</t>
  </si>
  <si>
    <t>12栋-1-102</t>
  </si>
  <si>
    <t>16栋-1-103</t>
  </si>
  <si>
    <t>17栋-1-102</t>
  </si>
  <si>
    <t>18栋-2-401</t>
  </si>
  <si>
    <t>18栋-2-602</t>
  </si>
  <si>
    <t>41栋-2-301</t>
  </si>
  <si>
    <t>10栋-3-502</t>
  </si>
  <si>
    <t>18栋-4-501</t>
  </si>
  <si>
    <t>18栋-4-502</t>
  </si>
  <si>
    <t>18栋-5-502</t>
  </si>
  <si>
    <t>5栋-1-502</t>
  </si>
  <si>
    <t>21栋-2-402</t>
  </si>
  <si>
    <t>10栋-1-502</t>
  </si>
  <si>
    <t>10栋-2-502</t>
  </si>
  <si>
    <t>2栋-4-301</t>
  </si>
  <si>
    <t>19栋-5-102</t>
  </si>
  <si>
    <t>26栋-1-502</t>
  </si>
  <si>
    <t>38栋-2-103</t>
  </si>
  <si>
    <t>41栋-3-302</t>
  </si>
  <si>
    <t>10栋-1-501</t>
  </si>
  <si>
    <t>15栋-2-502</t>
  </si>
  <si>
    <t>15栋-3-502</t>
  </si>
  <si>
    <t>15栋-4-502</t>
  </si>
  <si>
    <t>17栋-1-602</t>
  </si>
  <si>
    <t>17栋-2-501</t>
  </si>
  <si>
    <t>17栋-3-501</t>
  </si>
  <si>
    <t>18栋-1-402</t>
  </si>
  <si>
    <t>18栋-2-302</t>
  </si>
  <si>
    <t>18栋-2-501</t>
  </si>
  <si>
    <t>2栋-3-402</t>
  </si>
  <si>
    <t>2栋-6-602</t>
  </si>
  <si>
    <t>31栋-2-103</t>
  </si>
  <si>
    <t>33栋-4-602</t>
  </si>
  <si>
    <t>16栋-1-501</t>
  </si>
  <si>
    <t>16栋-1-502</t>
  </si>
  <si>
    <t>18栋-1-501</t>
  </si>
  <si>
    <t>38栋-1-102</t>
  </si>
  <si>
    <t>39栋-2-401</t>
  </si>
  <si>
    <t>39栋-2-501</t>
  </si>
  <si>
    <t>39栋-2-502</t>
  </si>
  <si>
    <t>18栋-3-302</t>
  </si>
  <si>
    <t>18栋-3-402</t>
  </si>
  <si>
    <t>16栋-2-501</t>
  </si>
  <si>
    <t>2023-06-27</t>
  </si>
  <si>
    <t>9栋-1-502</t>
  </si>
  <si>
    <t>26栋-3-501</t>
  </si>
  <si>
    <t>2023-06-26</t>
  </si>
  <si>
    <t>39栋-3-401</t>
  </si>
  <si>
    <t>39栋-3-402</t>
  </si>
  <si>
    <t>15栋-2-501</t>
  </si>
  <si>
    <t>39栋-1-402</t>
  </si>
  <si>
    <t>2023-06-25</t>
  </si>
  <si>
    <t>18栋-1-401</t>
  </si>
  <si>
    <t>5栋-2-301</t>
  </si>
  <si>
    <t>38栋-2-502</t>
  </si>
  <si>
    <t>2023-06-24</t>
  </si>
  <si>
    <t>39栋-4-402</t>
  </si>
  <si>
    <t>2023-06-22</t>
  </si>
  <si>
    <t>5栋-5-402</t>
  </si>
  <si>
    <t>39栋-1-501</t>
  </si>
  <si>
    <t>2023-06-19</t>
  </si>
  <si>
    <t>13栋-2-601</t>
  </si>
  <si>
    <t>16栋-3-502</t>
  </si>
  <si>
    <t>39栋-4-401</t>
  </si>
  <si>
    <t>2023-06-18</t>
  </si>
  <si>
    <t>18栋-1-302</t>
  </si>
  <si>
    <t>26栋-3-502</t>
  </si>
  <si>
    <t>14栋-2-502</t>
  </si>
  <si>
    <t>5栋-4-302</t>
  </si>
  <si>
    <t>9栋-2-501</t>
  </si>
  <si>
    <t>7栋-4-104</t>
  </si>
  <si>
    <t>2023-06-15</t>
  </si>
  <si>
    <t>31栋-3-502</t>
  </si>
  <si>
    <t>39栋-1-401</t>
  </si>
  <si>
    <t>39栋-5-401</t>
  </si>
  <si>
    <t>14栋-3-502</t>
  </si>
  <si>
    <t>15栋-1-502</t>
  </si>
  <si>
    <t>18栋-2-301</t>
  </si>
  <si>
    <t>18栋-4-301</t>
  </si>
  <si>
    <t>5栋-5-602</t>
  </si>
  <si>
    <t>15栋-4-501</t>
  </si>
  <si>
    <t>2023-06-13</t>
  </si>
  <si>
    <t>23栋-2-502</t>
  </si>
  <si>
    <t>2023-06-09</t>
  </si>
  <si>
    <t>18栋-3-301</t>
  </si>
  <si>
    <t>5栋-5-301</t>
  </si>
  <si>
    <t>29栋-1-104</t>
  </si>
  <si>
    <t>7栋-1-101</t>
  </si>
  <si>
    <t>24栋-2-502</t>
  </si>
  <si>
    <t>29栋-3-103</t>
  </si>
  <si>
    <t>32栋-4-501</t>
  </si>
  <si>
    <t>32栋-5-502</t>
  </si>
  <si>
    <t>36栋-5-501</t>
  </si>
  <si>
    <t>37栋-2-102</t>
  </si>
  <si>
    <t>15栋-1-501</t>
  </si>
  <si>
    <t>16栋-3-501</t>
  </si>
  <si>
    <t>17栋-1-301</t>
  </si>
  <si>
    <t>18栋-1-301</t>
  </si>
  <si>
    <t>2栋-3-401</t>
  </si>
  <si>
    <t>2栋-6-302</t>
  </si>
  <si>
    <t>5栋-1-301</t>
  </si>
  <si>
    <t>5栋-2-502</t>
  </si>
  <si>
    <t>5栋-2-601</t>
  </si>
  <si>
    <t>9栋-2-502</t>
  </si>
  <si>
    <t>23栋-2-103</t>
  </si>
  <si>
    <t>18栋-4-302</t>
  </si>
  <si>
    <t>18栋-5-302</t>
  </si>
  <si>
    <t>5栋-4-401</t>
  </si>
  <si>
    <t>5栋-4-402</t>
  </si>
  <si>
    <t>7栋-1-501</t>
  </si>
  <si>
    <t>16栋-3-301</t>
  </si>
  <si>
    <t>2023-05-29</t>
  </si>
  <si>
    <t>17栋-3-602</t>
  </si>
  <si>
    <t>5栋-2-401</t>
  </si>
  <si>
    <t>5栋-2-501</t>
  </si>
  <si>
    <t>5栋-4-301</t>
  </si>
  <si>
    <t>5栋-4-501</t>
  </si>
  <si>
    <t>18栋-5-301</t>
  </si>
  <si>
    <t>2023-05-27</t>
  </si>
  <si>
    <t>8栋-1-502</t>
  </si>
  <si>
    <t>34栋-2-502</t>
  </si>
  <si>
    <t>2023-05-20</t>
  </si>
  <si>
    <t>8栋-3-502</t>
  </si>
  <si>
    <t>5栋-3-501</t>
  </si>
  <si>
    <t>2023-05-18</t>
  </si>
  <si>
    <t>36栋-4-102</t>
  </si>
  <si>
    <t>2栋-5-402</t>
  </si>
  <si>
    <t>5栋-1-401</t>
  </si>
  <si>
    <t>5栋-1-601</t>
  </si>
  <si>
    <t>6栋-6-501</t>
  </si>
  <si>
    <t>22栋-2-602</t>
  </si>
  <si>
    <t>2023-05-14</t>
  </si>
  <si>
    <t>5栋-1-402</t>
  </si>
  <si>
    <t>5栋-5-401</t>
  </si>
  <si>
    <t>28栋-3-301</t>
  </si>
  <si>
    <t>2023-05-13</t>
  </si>
  <si>
    <t>2栋-1-502</t>
  </si>
  <si>
    <t>5栋-2-402</t>
  </si>
  <si>
    <t>5栋-2-602</t>
  </si>
  <si>
    <t>5栋-1-501</t>
  </si>
  <si>
    <t>2023-05-11</t>
  </si>
  <si>
    <t>5栋-3-502</t>
  </si>
  <si>
    <t>6栋-3-502</t>
  </si>
  <si>
    <t>2栋-4-501</t>
  </si>
  <si>
    <t>2023-05-10</t>
  </si>
  <si>
    <t>5栋-1-302</t>
  </si>
  <si>
    <t>2023-05-08</t>
  </si>
  <si>
    <t>5栋-3-401</t>
  </si>
  <si>
    <t>5栋-3-601</t>
  </si>
  <si>
    <t>5栋-4-502</t>
  </si>
  <si>
    <t>5栋-5-501</t>
  </si>
  <si>
    <t>5栋-5-502</t>
  </si>
  <si>
    <t>5栋-5-601</t>
  </si>
  <si>
    <t>2栋-6-401</t>
  </si>
  <si>
    <t>2023-05-03</t>
  </si>
  <si>
    <t>22栋-4-601</t>
  </si>
  <si>
    <t>2023-04-30</t>
  </si>
  <si>
    <t>14栋-1-501</t>
  </si>
  <si>
    <t>14栋-1-502</t>
  </si>
  <si>
    <t>18栋-2-601</t>
  </si>
  <si>
    <t>2栋-1-501</t>
  </si>
  <si>
    <t>2栋-2-402</t>
  </si>
  <si>
    <t>5栋-1-602</t>
  </si>
  <si>
    <t>5栋-3-302</t>
  </si>
  <si>
    <t>5栋-3-402</t>
  </si>
  <si>
    <t>5栋-3-602</t>
  </si>
  <si>
    <t>5栋-4-601</t>
  </si>
  <si>
    <t>6栋-5-501</t>
  </si>
  <si>
    <t>6栋-5-502</t>
  </si>
  <si>
    <t>6栋-6-502</t>
  </si>
  <si>
    <t>8栋-4-601</t>
  </si>
  <si>
    <t>3栋-4-201</t>
  </si>
  <si>
    <t>2023-04-29</t>
  </si>
  <si>
    <t>22栋-2-501</t>
  </si>
  <si>
    <t>26栋-2-601</t>
  </si>
  <si>
    <t>26栋-2-602</t>
  </si>
  <si>
    <t>2栋-1-401</t>
  </si>
  <si>
    <t>2栋-2-301</t>
  </si>
  <si>
    <t>6栋-2-501</t>
  </si>
  <si>
    <t>40-a栋-3-101</t>
  </si>
  <si>
    <t>6栋-4-502</t>
  </si>
  <si>
    <t>7栋-4-101</t>
  </si>
  <si>
    <t>5栋-2-302</t>
  </si>
  <si>
    <t>7栋-2-102</t>
  </si>
  <si>
    <t>22栋-2-601</t>
  </si>
  <si>
    <t>26栋-1-301</t>
  </si>
  <si>
    <t>13栋-1-102</t>
  </si>
  <si>
    <t>2栋-6-402</t>
  </si>
  <si>
    <t>2栋-6-502</t>
  </si>
  <si>
    <t>5栋-3-301</t>
  </si>
  <si>
    <t>5栋-5-302</t>
  </si>
  <si>
    <t>6栋-2-103</t>
  </si>
  <si>
    <t>6栋-3-102</t>
  </si>
  <si>
    <t>26栋-1-601</t>
  </si>
  <si>
    <t>2023-04-20</t>
  </si>
  <si>
    <t>26栋-1-602</t>
  </si>
  <si>
    <t>26栋-3-601</t>
  </si>
  <si>
    <t>2栋-1-301</t>
  </si>
  <si>
    <t>2栋-1-402</t>
  </si>
  <si>
    <t>2栋-2-401</t>
  </si>
  <si>
    <t>2栋-2-501</t>
  </si>
  <si>
    <t>2栋-2-502</t>
  </si>
  <si>
    <t>2栋-3-301</t>
  </si>
  <si>
    <t>2栋-3-502</t>
  </si>
  <si>
    <t>2栋-4-502</t>
  </si>
  <si>
    <t>2栋-5-401</t>
  </si>
  <si>
    <t>2栋-5-501</t>
  </si>
  <si>
    <t>2栋-5-502</t>
  </si>
  <si>
    <t>4栋-5-302</t>
  </si>
  <si>
    <t>4栋-6-302</t>
  </si>
  <si>
    <t>6栋-1-502</t>
  </si>
  <si>
    <t>6栋-2-502</t>
  </si>
  <si>
    <t>6栋-3-501</t>
  </si>
  <si>
    <t>6栋-4-501</t>
  </si>
  <si>
    <t>8栋-4-602</t>
  </si>
  <si>
    <t>2栋-3-501</t>
  </si>
  <si>
    <t>2023-04-16</t>
  </si>
  <si>
    <t>2栋-4-401</t>
  </si>
  <si>
    <t>2栋-6-501</t>
  </si>
  <si>
    <t>14栋-3-301</t>
  </si>
  <si>
    <t>2023-04-14</t>
  </si>
  <si>
    <t>2栋-3-302</t>
  </si>
  <si>
    <t>5栋-4-602</t>
  </si>
  <si>
    <t>2栋-2-302</t>
  </si>
  <si>
    <t>2023-04-10</t>
  </si>
  <si>
    <t>38栋-3-401</t>
  </si>
  <si>
    <t>2023-04-09</t>
  </si>
  <si>
    <t>10栋-1-601</t>
  </si>
  <si>
    <t>2023-04-07</t>
  </si>
  <si>
    <t>3栋-1-501</t>
  </si>
  <si>
    <t>2023-04-04</t>
  </si>
  <si>
    <t>3栋-5-401</t>
  </si>
  <si>
    <t>2023-04-01</t>
  </si>
  <si>
    <t>6栋-6-103</t>
  </si>
  <si>
    <t>7栋-5-103</t>
  </si>
  <si>
    <t>8栋-2-501</t>
  </si>
  <si>
    <t>4栋-4-201</t>
  </si>
  <si>
    <t>4栋-5-201</t>
  </si>
  <si>
    <t>4栋-6-201</t>
  </si>
  <si>
    <t>7栋-2-101</t>
  </si>
  <si>
    <t>26栋-2-501</t>
  </si>
  <si>
    <t>26栋-2-502</t>
  </si>
  <si>
    <t>14栋-2-102</t>
  </si>
  <si>
    <t>4栋-5-202</t>
  </si>
  <si>
    <t>4栋-6-202</t>
  </si>
  <si>
    <t>4栋-6-601</t>
  </si>
  <si>
    <t>4栋-6-602</t>
  </si>
  <si>
    <t>3栋-1-402</t>
  </si>
  <si>
    <t>2023-03-29</t>
  </si>
  <si>
    <t>3栋-5-602</t>
  </si>
  <si>
    <t>4栋-6-301</t>
  </si>
  <si>
    <t>8栋-3-501</t>
  </si>
  <si>
    <t>8栋-3-601</t>
  </si>
  <si>
    <t>8栋-5-501</t>
  </si>
  <si>
    <t>9栋-3-502</t>
  </si>
  <si>
    <t>4栋-5-301</t>
  </si>
  <si>
    <t>2023-03-28</t>
  </si>
  <si>
    <t>36栋-5-103</t>
  </si>
  <si>
    <t>3栋-1-302</t>
  </si>
  <si>
    <t>3栋-5-601</t>
  </si>
  <si>
    <t>7栋-4-102</t>
  </si>
  <si>
    <t>3栋-2-501</t>
  </si>
  <si>
    <t>2023-03-26</t>
  </si>
  <si>
    <t>3栋-4-302</t>
  </si>
  <si>
    <t>4栋-6-401</t>
  </si>
  <si>
    <t>9栋-3-501</t>
  </si>
  <si>
    <t>22栋-4-502</t>
  </si>
  <si>
    <t>2023-03-25</t>
  </si>
  <si>
    <t>3栋-1-401</t>
  </si>
  <si>
    <t>3栋-3-302</t>
  </si>
  <si>
    <t>4栋-4-402</t>
  </si>
  <si>
    <t>26栋-3-302</t>
  </si>
  <si>
    <t>2023-03-22</t>
  </si>
  <si>
    <t>3栋-3-301</t>
  </si>
  <si>
    <t>22栋-1-602</t>
  </si>
  <si>
    <t>2023-03-21</t>
  </si>
  <si>
    <t>3栋-2-301</t>
  </si>
  <si>
    <t>3栋-4-402</t>
  </si>
  <si>
    <t>8栋-3-602</t>
  </si>
  <si>
    <t>8栋-6-502</t>
  </si>
  <si>
    <t>3栋-2-402</t>
  </si>
  <si>
    <t>2023-03-20</t>
  </si>
  <si>
    <t>3栋-3-402</t>
  </si>
  <si>
    <t>26栋-2-401</t>
  </si>
  <si>
    <t>2023-03-19</t>
  </si>
  <si>
    <t>26栋-3-301</t>
  </si>
  <si>
    <t>3栋-2-401</t>
  </si>
  <si>
    <t>3栋-4-301</t>
  </si>
  <si>
    <t>7栋-2-502</t>
  </si>
  <si>
    <t>8栋-5-502</t>
  </si>
  <si>
    <t>3栋-1-301</t>
  </si>
  <si>
    <t>2023-03-18</t>
  </si>
  <si>
    <t>7栋-3-601</t>
  </si>
  <si>
    <t>2023-03-15</t>
  </si>
  <si>
    <t>8栋-2-502</t>
  </si>
  <si>
    <t>26栋-2-301</t>
  </si>
  <si>
    <t>2023-03-14</t>
  </si>
  <si>
    <t>26栋-2-302</t>
  </si>
  <si>
    <t>11栋-2-602</t>
  </si>
  <si>
    <t>3栋-4-401</t>
  </si>
  <si>
    <t>26栋-3-602</t>
  </si>
  <si>
    <t>2023-03-13</t>
  </si>
  <si>
    <t>3栋-2-502</t>
  </si>
  <si>
    <t>7栋-2-103</t>
  </si>
  <si>
    <t>22栋-3-602</t>
  </si>
  <si>
    <t>22栋-4-301</t>
  </si>
  <si>
    <t>26栋-1-401</t>
  </si>
  <si>
    <t>26栋-1-402</t>
  </si>
  <si>
    <t>26栋-3-401</t>
  </si>
  <si>
    <t>12栋-2-602</t>
  </si>
  <si>
    <t>3栋-2-302</t>
  </si>
  <si>
    <t>3栋-3-401</t>
  </si>
  <si>
    <t>8栋-2-601</t>
  </si>
  <si>
    <t>3栋-5-302</t>
  </si>
  <si>
    <t>4栋-5-401</t>
  </si>
  <si>
    <t>6栋-1-103</t>
  </si>
  <si>
    <t>8栋-2-602</t>
  </si>
  <si>
    <t>3栋-3-602</t>
  </si>
  <si>
    <t>2023-03-10</t>
  </si>
  <si>
    <t>6栋-5-401</t>
  </si>
  <si>
    <t>3栋-1-502</t>
  </si>
  <si>
    <t>2023-03-09</t>
  </si>
  <si>
    <t>22栋-3-601</t>
  </si>
  <si>
    <t>2023-03-08</t>
  </si>
  <si>
    <t>26栋-3-402</t>
  </si>
  <si>
    <t>3栋-3-501</t>
  </si>
  <si>
    <t>3栋-3-502</t>
  </si>
  <si>
    <t>3栋-5-402</t>
  </si>
  <si>
    <t>3栋-5-501</t>
  </si>
  <si>
    <t>7栋-1-502</t>
  </si>
  <si>
    <t>3栋-5-502</t>
  </si>
  <si>
    <t>2023-03-07</t>
  </si>
  <si>
    <t>22栋-1-601</t>
  </si>
  <si>
    <t>2023-03-06</t>
  </si>
  <si>
    <t>3栋-4-501</t>
  </si>
  <si>
    <t>26栋-2-402</t>
  </si>
  <si>
    <t>2023-03-05</t>
  </si>
  <si>
    <t>3栋-4-502</t>
  </si>
  <si>
    <t>3栋-5-301</t>
  </si>
  <si>
    <t>8栋-1-501</t>
  </si>
  <si>
    <t>8栋-4-501</t>
  </si>
  <si>
    <t>8栋-4-502</t>
  </si>
  <si>
    <t>8栋-6-602</t>
  </si>
  <si>
    <t>26栋-1-302</t>
  </si>
  <si>
    <t>2023-03-04</t>
  </si>
  <si>
    <t>4栋-5-402</t>
  </si>
  <si>
    <t>7栋-2-501</t>
  </si>
  <si>
    <t>22栋-4-602</t>
  </si>
  <si>
    <t>2023-02-28</t>
  </si>
  <si>
    <t>4栋-4-501</t>
  </si>
  <si>
    <t>4栋-4-502</t>
  </si>
  <si>
    <t>4栋-5-502</t>
  </si>
  <si>
    <t>4栋-6-402</t>
  </si>
  <si>
    <t>8栋-1-601</t>
  </si>
  <si>
    <t>7栋-3-501</t>
  </si>
  <si>
    <t>2023-02-27</t>
  </si>
  <si>
    <t>4栋-5-501</t>
  </si>
  <si>
    <t>2023-02-26</t>
  </si>
  <si>
    <t>6栋-5-602</t>
  </si>
  <si>
    <t>2023-02-25</t>
  </si>
  <si>
    <t>7栋-3-502</t>
  </si>
  <si>
    <t>40-a栋-1-104</t>
  </si>
  <si>
    <t>11栋-1-602</t>
  </si>
  <si>
    <t>14栋-1-302</t>
  </si>
  <si>
    <t>7栋-1-601</t>
  </si>
  <si>
    <t>7栋-5-502</t>
  </si>
  <si>
    <t>8栋-2-401</t>
  </si>
  <si>
    <t>22栋-3-302</t>
  </si>
  <si>
    <t>7栋-4-103</t>
  </si>
  <si>
    <t>22栋-1-301</t>
  </si>
  <si>
    <t>2023-02-22</t>
  </si>
  <si>
    <t>8栋-1-301</t>
  </si>
  <si>
    <t>8栋-1-302</t>
  </si>
  <si>
    <t>8栋-2-302</t>
  </si>
  <si>
    <t>8栋-4-302</t>
  </si>
  <si>
    <t>8栋-4-401</t>
  </si>
  <si>
    <t>22栋-2-301</t>
  </si>
  <si>
    <t>2023-02-21</t>
  </si>
  <si>
    <t>22栋-2-302</t>
  </si>
  <si>
    <t>22栋-2-401</t>
  </si>
  <si>
    <t>22栋-2-402</t>
  </si>
  <si>
    <t>22栋-3-401</t>
  </si>
  <si>
    <t>22栋-4-501</t>
  </si>
  <si>
    <t>12栋-1-602</t>
  </si>
  <si>
    <t>14栋-2-301</t>
  </si>
  <si>
    <t>6栋-6-301</t>
  </si>
  <si>
    <t>7栋-4-502</t>
  </si>
  <si>
    <t>8栋-1-402</t>
  </si>
  <si>
    <t>8栋-3-401</t>
  </si>
  <si>
    <t>8栋-5-302</t>
  </si>
  <si>
    <t>8栋-5-401</t>
  </si>
  <si>
    <t>8栋-6-302</t>
  </si>
  <si>
    <t>22栋-1-302</t>
  </si>
  <si>
    <t>2023-02-20</t>
  </si>
  <si>
    <t>22栋-1-401</t>
  </si>
  <si>
    <t>22栋-1-402</t>
  </si>
  <si>
    <t>22栋-3-301</t>
  </si>
  <si>
    <t>22栋-3-402</t>
  </si>
  <si>
    <t>22栋-4-402</t>
  </si>
  <si>
    <t>11栋-3-601</t>
  </si>
  <si>
    <t>12栋-2-601</t>
  </si>
  <si>
    <t>13栋-2-402</t>
  </si>
  <si>
    <t>14栋-1-401</t>
  </si>
  <si>
    <t>14栋-1-402</t>
  </si>
  <si>
    <t>14栋-2-302</t>
  </si>
  <si>
    <t>14栋-2-402</t>
  </si>
  <si>
    <t>18栋-5-402</t>
  </si>
  <si>
    <t>7栋-4-501</t>
  </si>
  <si>
    <t>8栋-1-401</t>
  </si>
  <si>
    <t>8栋-1-602</t>
  </si>
  <si>
    <t>8栋-2-301</t>
  </si>
  <si>
    <t>8栋-2-402</t>
  </si>
  <si>
    <t>8栋-3-301</t>
  </si>
  <si>
    <t>8栋-3-302</t>
  </si>
  <si>
    <t>8栋-3-402</t>
  </si>
  <si>
    <t>8栋-4-301</t>
  </si>
  <si>
    <t>8栋-4-402</t>
  </si>
  <si>
    <t>8栋-5-301</t>
  </si>
  <si>
    <t>8栋-5-402</t>
  </si>
  <si>
    <t>8栋-5-601</t>
  </si>
  <si>
    <t>8栋-5-602</t>
  </si>
  <si>
    <t>8栋-6-301</t>
  </si>
  <si>
    <t>8栋-6-401</t>
  </si>
  <si>
    <t>8栋-6-402</t>
  </si>
  <si>
    <t>8栋-6-501</t>
  </si>
  <si>
    <t>8栋-6-601</t>
  </si>
  <si>
    <t>22栋-4-302</t>
  </si>
  <si>
    <t>2023-02-18</t>
  </si>
  <si>
    <t>22栋-4-401</t>
  </si>
  <si>
    <t>7栋-5-501</t>
  </si>
  <si>
    <t>2023-02-15</t>
  </si>
  <si>
    <t>7栋-5-101</t>
  </si>
  <si>
    <t>7栋-3-101</t>
  </si>
  <si>
    <t>7栋-2-402</t>
  </si>
  <si>
    <t>7栋-5-102</t>
  </si>
  <si>
    <t>7栋-2-602</t>
  </si>
  <si>
    <t>2023-01-29</t>
  </si>
  <si>
    <t>13栋-2-302</t>
  </si>
  <si>
    <t>2023-01-28</t>
  </si>
  <si>
    <t>6栋-1-501</t>
  </si>
  <si>
    <t>7栋-3-602</t>
  </si>
  <si>
    <t>2023-01-20</t>
  </si>
  <si>
    <t>6栋-1-102</t>
  </si>
  <si>
    <t>6栋-6-302</t>
  </si>
  <si>
    <t>2023-01-18</t>
  </si>
  <si>
    <t>7栋-2-301</t>
  </si>
  <si>
    <t>7栋-1-302</t>
  </si>
  <si>
    <t>2023-01-17</t>
  </si>
  <si>
    <t>7栋-2-401</t>
  </si>
  <si>
    <t>7栋-1-301</t>
  </si>
  <si>
    <t>2023-01-16</t>
  </si>
  <si>
    <t>7栋-1-401</t>
  </si>
  <si>
    <t>7栋-2-302</t>
  </si>
  <si>
    <t>7栋-5-104</t>
  </si>
  <si>
    <t>10栋-1-302</t>
  </si>
  <si>
    <t>10栋-1-402</t>
  </si>
  <si>
    <t>10栋-2-302</t>
  </si>
  <si>
    <t>10栋-2-401</t>
  </si>
  <si>
    <t>10栋-2-402</t>
  </si>
  <si>
    <t>10栋-3-302</t>
  </si>
  <si>
    <t>10栋-3-401</t>
  </si>
  <si>
    <t>10栋-3-402</t>
  </si>
  <si>
    <t>6栋-4-302</t>
  </si>
  <si>
    <t>6栋-5-301</t>
  </si>
  <si>
    <t>6栋-5-302</t>
  </si>
  <si>
    <t>6栋-6-401</t>
  </si>
  <si>
    <t>6栋-6-402</t>
  </si>
  <si>
    <t>7栋-1-402</t>
  </si>
  <si>
    <t>7栋-1-602</t>
  </si>
  <si>
    <t>7栋-2-601</t>
  </si>
  <si>
    <t>7栋-3-301</t>
  </si>
  <si>
    <t>7栋-3-302</t>
  </si>
  <si>
    <t>7栋-3-401</t>
  </si>
  <si>
    <t>7栋-3-402</t>
  </si>
  <si>
    <t>7栋-4-301</t>
  </si>
  <si>
    <t>7栋-4-302</t>
  </si>
  <si>
    <t>7栋-4-401</t>
  </si>
  <si>
    <t>7栋-4-402</t>
  </si>
  <si>
    <t>7栋-4-601</t>
  </si>
  <si>
    <t>7栋-4-602</t>
  </si>
  <si>
    <t>7栋-5-301</t>
  </si>
  <si>
    <t>7栋-5-302</t>
  </si>
  <si>
    <t>7栋-5-401</t>
  </si>
  <si>
    <t>7栋-5-402</t>
  </si>
  <si>
    <t>7栋-5-601</t>
  </si>
  <si>
    <t>7栋-5-602</t>
  </si>
  <si>
    <t>9栋-1-302</t>
  </si>
  <si>
    <t>6栋-2-101</t>
  </si>
  <si>
    <t>18栋-1-602</t>
  </si>
  <si>
    <t>6栋-3-302</t>
  </si>
  <si>
    <t>6栋-5-402</t>
  </si>
  <si>
    <t>9栋-2-103</t>
  </si>
  <si>
    <t>6栋-2-104</t>
  </si>
  <si>
    <t>18栋-1-104</t>
  </si>
  <si>
    <t>4栋-6-501</t>
  </si>
  <si>
    <t>4栋-6-502</t>
  </si>
  <si>
    <t>11栋-2-601</t>
  </si>
  <si>
    <t>2022-12-28</t>
  </si>
  <si>
    <t>18栋-3-601</t>
  </si>
  <si>
    <t>15栋-1-601</t>
  </si>
  <si>
    <t>2022-12-27</t>
  </si>
  <si>
    <t>17栋-2-502</t>
  </si>
  <si>
    <t>2022-12-26</t>
  </si>
  <si>
    <t>6栋-1-101</t>
  </si>
  <si>
    <t>6栋-3-402</t>
  </si>
  <si>
    <t>2022-12-24</t>
  </si>
  <si>
    <t>6栋-3-301</t>
  </si>
  <si>
    <t>2022-12-22</t>
  </si>
  <si>
    <t>9栋-2-401</t>
  </si>
  <si>
    <t>6栋-4-402</t>
  </si>
  <si>
    <t>2022-12-16</t>
  </si>
  <si>
    <t>18栋-3-602</t>
  </si>
  <si>
    <t>2022-12-11</t>
  </si>
  <si>
    <t>4栋-1-201</t>
  </si>
  <si>
    <t>2022-11-30</t>
  </si>
  <si>
    <t>4栋-2-201</t>
  </si>
  <si>
    <t>4栋-3-201</t>
  </si>
  <si>
    <t>4栋-1-202</t>
  </si>
  <si>
    <t>4栋-1-301</t>
  </si>
  <si>
    <t>4栋-1-302</t>
  </si>
  <si>
    <t>4栋-1-401</t>
  </si>
  <si>
    <t>4栋-1-402</t>
  </si>
  <si>
    <t>4栋-1-501</t>
  </si>
  <si>
    <t>4栋-1-502</t>
  </si>
  <si>
    <t>4栋-1-601</t>
  </si>
  <si>
    <t>4栋-1-602</t>
  </si>
  <si>
    <t>4栋-2-202</t>
  </si>
  <si>
    <t>4栋-2-301</t>
  </si>
  <si>
    <t>4栋-2-302</t>
  </si>
  <si>
    <t>4栋-2-401</t>
  </si>
  <si>
    <t>4栋-2-402</t>
  </si>
  <si>
    <t>4栋-2-501</t>
  </si>
  <si>
    <t>4栋-2-502</t>
  </si>
  <si>
    <t>4栋-2-601</t>
  </si>
  <si>
    <t>4栋-2-602</t>
  </si>
  <si>
    <t>4栋-3-202</t>
  </si>
  <si>
    <t>4栋-3-301</t>
  </si>
  <si>
    <t>4栋-3-302</t>
  </si>
  <si>
    <t>4栋-3-401</t>
  </si>
  <si>
    <t>4栋-3-402</t>
  </si>
  <si>
    <t>4栋-3-501</t>
  </si>
  <si>
    <t>4栋-3-502</t>
  </si>
  <si>
    <t>4栋-3-601</t>
  </si>
  <si>
    <t>4栋-3-602</t>
  </si>
  <si>
    <t>4栋-4-301</t>
  </si>
  <si>
    <t>4栋-4-302</t>
  </si>
  <si>
    <t>4栋-4-401</t>
  </si>
  <si>
    <t>9栋-1-402</t>
  </si>
  <si>
    <t>36栋-1-102</t>
  </si>
  <si>
    <t>17栋-1-502</t>
  </si>
  <si>
    <t>27栋-1-402</t>
  </si>
  <si>
    <t>2022-11-28</t>
  </si>
  <si>
    <t>6栋-1-601</t>
  </si>
  <si>
    <t>6栋-2-301</t>
  </si>
  <si>
    <t>6栋-2-302</t>
  </si>
  <si>
    <t>6栋-2-602</t>
  </si>
  <si>
    <t>6栋-3-401</t>
  </si>
  <si>
    <t>6栋-4-301</t>
  </si>
  <si>
    <t>6栋-6-602</t>
  </si>
  <si>
    <t>9栋-2-301</t>
  </si>
  <si>
    <t>9栋-3-301</t>
  </si>
  <si>
    <t>6栋-1-104</t>
  </si>
  <si>
    <t>2022-11-19</t>
  </si>
  <si>
    <t>6栋-1-402</t>
  </si>
  <si>
    <t>6栋-3-601</t>
  </si>
  <si>
    <t>6栋-4-601</t>
  </si>
  <si>
    <t>6栋-4-602</t>
  </si>
  <si>
    <t>6栋-6-601</t>
  </si>
  <si>
    <t>9栋-2-302</t>
  </si>
  <si>
    <t>14栋-2-101</t>
  </si>
  <si>
    <t>6栋-2-401</t>
  </si>
  <si>
    <t>6栋-1-301</t>
  </si>
  <si>
    <t>2022-10-31</t>
  </si>
  <si>
    <t>6栋-2-402</t>
  </si>
  <si>
    <t>17栋-1-501</t>
  </si>
  <si>
    <t>2022-10-30</t>
  </si>
  <si>
    <t>17栋-3-502</t>
  </si>
  <si>
    <t>6栋-1-401</t>
  </si>
  <si>
    <t>2022-10-29</t>
  </si>
  <si>
    <t>6栋-3-602</t>
  </si>
  <si>
    <t>9栋-2-402</t>
  </si>
  <si>
    <t>6栋-1-302</t>
  </si>
  <si>
    <t>2022-10-28</t>
  </si>
  <si>
    <t>6栋-2-601</t>
  </si>
  <si>
    <t>2022-10-25</t>
  </si>
  <si>
    <t>10栋-1-301</t>
  </si>
  <si>
    <t>2022-10-24</t>
  </si>
  <si>
    <t>9栋-3-402</t>
  </si>
  <si>
    <t>6栋-1-602</t>
  </si>
  <si>
    <t>2022-10-23</t>
  </si>
  <si>
    <t>9栋-1-401</t>
  </si>
  <si>
    <t>6栋-5-601</t>
  </si>
  <si>
    <t>2022-10-15</t>
  </si>
  <si>
    <t>10栋-1-401</t>
  </si>
  <si>
    <t>2022-10-13</t>
  </si>
  <si>
    <t>10栋-2-301</t>
  </si>
  <si>
    <t>6栋-3-101</t>
  </si>
  <si>
    <t>6栋-3-104</t>
  </si>
  <si>
    <t>10栋-3-301</t>
  </si>
  <si>
    <t>14栋-1-602</t>
  </si>
  <si>
    <t>9栋-1-301</t>
  </si>
  <si>
    <t>9栋-3-302</t>
  </si>
  <si>
    <t>14栋-2-601</t>
  </si>
  <si>
    <t>2022-10-03</t>
  </si>
  <si>
    <t>18栋-3-101</t>
  </si>
  <si>
    <t>13栋-3-502</t>
  </si>
  <si>
    <t>14栋-3-501</t>
  </si>
  <si>
    <t>9栋-3-401</t>
  </si>
  <si>
    <t>11栋-3-602</t>
  </si>
  <si>
    <t>2022-09-18</t>
  </si>
  <si>
    <t>39栋-2-402</t>
  </si>
  <si>
    <t>2022-09-14</t>
  </si>
  <si>
    <t>36栋-4-103</t>
  </si>
  <si>
    <t>32栋-1-601</t>
  </si>
  <si>
    <t>2022-08-31</t>
  </si>
  <si>
    <t>40-a栋-2-104</t>
  </si>
  <si>
    <t>14栋-2-401</t>
  </si>
  <si>
    <t>17栋-2-103</t>
  </si>
  <si>
    <t>40-a栋-3-104</t>
  </si>
  <si>
    <t>10栋-2-601</t>
  </si>
  <si>
    <t>2022-08-27</t>
  </si>
  <si>
    <t>40-a栋-2-101</t>
  </si>
  <si>
    <t>16栋-2-103</t>
  </si>
  <si>
    <t>32栋-5-302</t>
  </si>
  <si>
    <t>2022-08-20</t>
  </si>
  <si>
    <t>39栋-1-301</t>
  </si>
  <si>
    <t>13栋-2-301</t>
  </si>
  <si>
    <t>18栋-4-601</t>
  </si>
  <si>
    <t>14栋-3-401</t>
  </si>
  <si>
    <t>2022-07-31</t>
  </si>
  <si>
    <t>19栋-5-602</t>
  </si>
  <si>
    <t>2022-07-30</t>
  </si>
  <si>
    <t>12栋-3-602</t>
  </si>
  <si>
    <t>12栋-3-102</t>
  </si>
  <si>
    <t>18栋-1-601</t>
  </si>
  <si>
    <t>2022-07-27</t>
  </si>
  <si>
    <t>32栋-2-602</t>
  </si>
  <si>
    <t>2022-07-20</t>
  </si>
  <si>
    <t>18栋-4-602</t>
  </si>
  <si>
    <t>2022-07-17</t>
  </si>
  <si>
    <t>13栋-2-401</t>
  </si>
  <si>
    <t>2022-07-14</t>
  </si>
  <si>
    <t>12栋-1-601</t>
  </si>
  <si>
    <t>2022-07-09</t>
  </si>
  <si>
    <t>14栋-3-302</t>
  </si>
  <si>
    <t>2022-07-08</t>
  </si>
  <si>
    <t>9栋-3-101</t>
  </si>
  <si>
    <t>36栋-5-102</t>
  </si>
  <si>
    <t>14栋-1-301</t>
  </si>
  <si>
    <t>14栋-2-103</t>
  </si>
  <si>
    <t>18栋-1-103</t>
  </si>
  <si>
    <t>19栋-5-103</t>
  </si>
  <si>
    <t>18栋-5-602</t>
  </si>
  <si>
    <t>18栋-3-104</t>
  </si>
  <si>
    <t>12栋-1-103</t>
  </si>
  <si>
    <t>36栋-3-103</t>
  </si>
  <si>
    <t>18栋-5-601</t>
  </si>
  <si>
    <t>2022-06-26</t>
  </si>
  <si>
    <t>11栋-1-601</t>
  </si>
  <si>
    <t>13栋-2-103</t>
  </si>
  <si>
    <t>13栋-3-301</t>
  </si>
  <si>
    <t>2022-05-24</t>
  </si>
  <si>
    <t>36栋-3-102</t>
  </si>
  <si>
    <t>13栋-1-301</t>
  </si>
  <si>
    <t>13栋-3-102</t>
  </si>
  <si>
    <t>13栋-3-302</t>
  </si>
  <si>
    <t>13栋-3-401</t>
  </si>
  <si>
    <t>13栋-3-402</t>
  </si>
  <si>
    <t>15栋-4-602</t>
  </si>
  <si>
    <t>2022-04-28</t>
  </si>
  <si>
    <t>11栋-1-302</t>
  </si>
  <si>
    <t>2022-04-27</t>
  </si>
  <si>
    <t>28栋-3-302</t>
  </si>
  <si>
    <t>2022-04-26</t>
  </si>
  <si>
    <t>16栋-1-102</t>
  </si>
  <si>
    <t>12栋-1-402</t>
  </si>
  <si>
    <t>2022-04-25</t>
  </si>
  <si>
    <t>13栋-1-601</t>
  </si>
  <si>
    <t>2022-04-21</t>
  </si>
  <si>
    <t>30栋-1-402</t>
  </si>
  <si>
    <t>2022-04-20</t>
  </si>
  <si>
    <t>13栋-1-602</t>
  </si>
  <si>
    <t>18栋-2-101</t>
  </si>
  <si>
    <t>13栋-1-302</t>
  </si>
  <si>
    <t>2022-04-16</t>
  </si>
  <si>
    <t>12栋-2-103</t>
  </si>
  <si>
    <t>15栋-2-103</t>
  </si>
  <si>
    <t>17栋-1-103</t>
  </si>
  <si>
    <t>11栋-2-103</t>
  </si>
  <si>
    <t>12栋-3-301</t>
  </si>
  <si>
    <t>2022-03-30</t>
  </si>
  <si>
    <t>15栋-6-401</t>
  </si>
  <si>
    <t>2022-03-29</t>
  </si>
  <si>
    <t>18栋-5-101</t>
  </si>
  <si>
    <t>39栋-4-104</t>
  </si>
  <si>
    <t>17栋-3-601</t>
  </si>
  <si>
    <t>2022-03-26</t>
  </si>
  <si>
    <t>18栋-4-104</t>
  </si>
  <si>
    <t>15栋-4-302</t>
  </si>
  <si>
    <t>2022-03-23</t>
  </si>
  <si>
    <t>11栋-1-402</t>
  </si>
  <si>
    <t>2022-03-15</t>
  </si>
  <si>
    <t>10栋-3-103</t>
  </si>
  <si>
    <t>13栋-3-602</t>
  </si>
  <si>
    <t>11栋-1-401</t>
  </si>
  <si>
    <t>2022-02-22</t>
  </si>
  <si>
    <t>36栋-2-101</t>
  </si>
  <si>
    <t>15栋-3-402</t>
  </si>
  <si>
    <t>36栋-2-102</t>
  </si>
  <si>
    <t>15栋-4-301</t>
  </si>
  <si>
    <t>12栋-2-302</t>
  </si>
  <si>
    <t>2022-02-18</t>
  </si>
  <si>
    <t>15栋-2-401</t>
  </si>
  <si>
    <t>15栋-6-103</t>
  </si>
  <si>
    <t>36栋-1-101</t>
  </si>
  <si>
    <t>36栋-1-103</t>
  </si>
  <si>
    <t>13栋-3-101</t>
  </si>
  <si>
    <t>11栋-1-103</t>
  </si>
  <si>
    <t>14栋-1-104</t>
  </si>
  <si>
    <t>41栋-3-104</t>
  </si>
  <si>
    <t>15栋-3-401</t>
  </si>
  <si>
    <t>2022-01-16</t>
  </si>
  <si>
    <t>13栋-2-104</t>
  </si>
  <si>
    <t>12栋-1-302</t>
  </si>
  <si>
    <t>12栋-2-102</t>
  </si>
  <si>
    <t>12栋-3-401</t>
  </si>
  <si>
    <t>13栋-3-103</t>
  </si>
  <si>
    <t>20栋-3-103</t>
  </si>
  <si>
    <t>13栋-3-104</t>
  </si>
  <si>
    <t>18栋-5-104</t>
  </si>
  <si>
    <t>11栋-2-402</t>
  </si>
  <si>
    <t>13栋-1-501</t>
  </si>
  <si>
    <t>13栋-1-502</t>
  </si>
  <si>
    <t>15栋-5-103</t>
  </si>
  <si>
    <t>15栋-5-401</t>
  </si>
  <si>
    <t>17栋-1-402</t>
  </si>
  <si>
    <t>39栋-5-104</t>
  </si>
  <si>
    <t>21栋-1-102</t>
  </si>
  <si>
    <t>10栋-2-104</t>
  </si>
  <si>
    <t>13栋-1-401</t>
  </si>
  <si>
    <t>13栋-1-402</t>
  </si>
  <si>
    <t>13栋-2-602</t>
  </si>
  <si>
    <t>15栋-5-502</t>
  </si>
  <si>
    <t>15栋-4-401</t>
  </si>
  <si>
    <t>15栋-4-402</t>
  </si>
  <si>
    <t>18栋-5-103</t>
  </si>
  <si>
    <t>17栋-2-402</t>
  </si>
  <si>
    <t>2021-12-26</t>
  </si>
  <si>
    <t>12栋-2-401</t>
  </si>
  <si>
    <t>2021-12-25</t>
  </si>
  <si>
    <t>12栋-3-302</t>
  </si>
  <si>
    <t>2021-12-24</t>
  </si>
  <si>
    <t>12栋-3-402</t>
  </si>
  <si>
    <t>39栋-3-104</t>
  </si>
  <si>
    <t>11栋-2-301</t>
  </si>
  <si>
    <t>2021-12-18</t>
  </si>
  <si>
    <t>12栋-2-301</t>
  </si>
  <si>
    <t>2021-12-17</t>
  </si>
  <si>
    <t>11栋-2-302</t>
  </si>
  <si>
    <t>2021-12-16</t>
  </si>
  <si>
    <t>10栋-1-102</t>
  </si>
  <si>
    <t>9栋-1-102</t>
  </si>
  <si>
    <t>10栋-3-101</t>
  </si>
  <si>
    <t>13栋-2-101</t>
  </si>
  <si>
    <t>15栋-2-402</t>
  </si>
  <si>
    <t>11栋-2-502</t>
  </si>
  <si>
    <t>2021-12-12</t>
  </si>
  <si>
    <t>12栋-3-501</t>
  </si>
  <si>
    <t>13栋-3-601</t>
  </si>
  <si>
    <t>21栋-2-103</t>
  </si>
  <si>
    <t>11栋-2-102</t>
  </si>
  <si>
    <t>11栋-3-401</t>
  </si>
  <si>
    <t>12栋-1-502</t>
  </si>
  <si>
    <t>15栋-6-102</t>
  </si>
  <si>
    <t>9栋-3-102</t>
  </si>
  <si>
    <t>10栋-1-101</t>
  </si>
  <si>
    <t>15栋-1-301</t>
  </si>
  <si>
    <t>10栋-2-101</t>
  </si>
  <si>
    <t>13栋-1-101</t>
  </si>
  <si>
    <t>11栋-3-501</t>
  </si>
  <si>
    <t>15栋-1-302</t>
  </si>
  <si>
    <t>16栋-2-102</t>
  </si>
  <si>
    <t>15栋-2-104</t>
  </si>
  <si>
    <t>10栋-1-602</t>
  </si>
  <si>
    <t>10栋-3-602</t>
  </si>
  <si>
    <t>2021-11-24</t>
  </si>
  <si>
    <t>11栋-2-104</t>
  </si>
  <si>
    <t>10栋-3-104</t>
  </si>
  <si>
    <t>13栋-1-104</t>
  </si>
  <si>
    <t>10栋-1-104</t>
  </si>
  <si>
    <t>15栋-4-104</t>
  </si>
  <si>
    <t>9栋-3-104</t>
  </si>
  <si>
    <t>9栋-2-104</t>
  </si>
  <si>
    <t>11栋-1-502</t>
  </si>
  <si>
    <t>2021-11-13</t>
  </si>
  <si>
    <t>15栋-6-301</t>
  </si>
  <si>
    <t>9栋-1-101</t>
  </si>
  <si>
    <t>17栋-3-402</t>
  </si>
  <si>
    <t>15栋-1-102</t>
  </si>
  <si>
    <t>9栋-2-101</t>
  </si>
  <si>
    <t>17栋-2-104</t>
  </si>
  <si>
    <t>11栋-3-502</t>
  </si>
  <si>
    <t>12栋-2-402</t>
  </si>
  <si>
    <t>15栋-6-302</t>
  </si>
  <si>
    <t>9栋-3-601</t>
  </si>
  <si>
    <t>9栋-3-602</t>
  </si>
  <si>
    <t>21栋-3-103</t>
  </si>
  <si>
    <t>15栋-5-104</t>
  </si>
  <si>
    <t>12栋-3-502</t>
  </si>
  <si>
    <t>10栋-2-602</t>
  </si>
  <si>
    <t>14栋-3-103</t>
  </si>
  <si>
    <t>9栋-1-104</t>
  </si>
  <si>
    <t>11栋-3-103</t>
  </si>
  <si>
    <t>11栋-2-401</t>
  </si>
  <si>
    <t>2021-10-27</t>
  </si>
  <si>
    <t>11栋-3-301</t>
  </si>
  <si>
    <t>15栋-6-101</t>
  </si>
  <si>
    <t>17栋-1-104</t>
  </si>
  <si>
    <t>21栋-3-102</t>
  </si>
  <si>
    <t>12栋-2-104</t>
  </si>
  <si>
    <t>11栋-3-402</t>
  </si>
  <si>
    <t>12栋-1-501</t>
  </si>
  <si>
    <t>12栋-2-502</t>
  </si>
  <si>
    <t>11栋-1-301</t>
  </si>
  <si>
    <t>2021-10-20</t>
  </si>
  <si>
    <t>9栋-1-602</t>
  </si>
  <si>
    <t>2021-10-19</t>
  </si>
  <si>
    <t>12栋-3-101</t>
  </si>
  <si>
    <t>10栋-3-601</t>
  </si>
  <si>
    <t>14栋-3-402</t>
  </si>
  <si>
    <t>2021-10-13</t>
  </si>
  <si>
    <t>9栋-1-601</t>
  </si>
  <si>
    <t>2021-10-10</t>
  </si>
  <si>
    <t>15栋-6-402</t>
  </si>
  <si>
    <t>2021-10-09</t>
  </si>
  <si>
    <t>9栋-2-601</t>
  </si>
  <si>
    <t>15栋-5-301</t>
  </si>
  <si>
    <t>2021-10-08</t>
  </si>
  <si>
    <t>14栋-2-602</t>
  </si>
  <si>
    <t>2021-10-07</t>
  </si>
  <si>
    <t>14栋-3-601</t>
  </si>
  <si>
    <t>15栋-1-401</t>
  </si>
  <si>
    <t>11栋-3-101</t>
  </si>
  <si>
    <t>12栋-2-101</t>
  </si>
  <si>
    <t>15栋-3-104</t>
  </si>
  <si>
    <t>15栋-5-101</t>
  </si>
  <si>
    <t>15栋-2-102</t>
  </si>
  <si>
    <t>15栋-5-302</t>
  </si>
  <si>
    <t>15栋-6-502</t>
  </si>
  <si>
    <t>16栋-3-103</t>
  </si>
  <si>
    <t>9栋-2-602</t>
  </si>
  <si>
    <t>11栋-1-101</t>
  </si>
  <si>
    <t>11栋-2-101</t>
  </si>
  <si>
    <t>12栋-2-501</t>
  </si>
  <si>
    <t>11栋-1-104</t>
  </si>
  <si>
    <t>11栋-1-501</t>
  </si>
  <si>
    <t>11栋-2-501</t>
  </si>
  <si>
    <t>12栋-1-401</t>
  </si>
  <si>
    <t>15栋-5-501</t>
  </si>
  <si>
    <t>12栋-1-301</t>
  </si>
  <si>
    <t>2021-09-24</t>
  </si>
  <si>
    <t>17栋-3-301</t>
  </si>
  <si>
    <t>2021-09-19</t>
  </si>
  <si>
    <t>11栋-3-104</t>
  </si>
  <si>
    <t>12栋-1-101</t>
  </si>
  <si>
    <t>12栋-1-104</t>
  </si>
  <si>
    <t>17栋-2-301</t>
  </si>
  <si>
    <t>39栋-3-101</t>
  </si>
  <si>
    <t>15栋-1-104</t>
  </si>
  <si>
    <t>17栋-2-101</t>
  </si>
  <si>
    <t>11栋-3-302</t>
  </si>
  <si>
    <t>15栋-5-402</t>
  </si>
  <si>
    <t>16栋-1-602</t>
  </si>
  <si>
    <t>17栋-1-401</t>
  </si>
  <si>
    <t>17栋-2-302</t>
  </si>
  <si>
    <t>17栋-2-401</t>
  </si>
  <si>
    <t>17栋-2-601</t>
  </si>
  <si>
    <t>17栋-2-602</t>
  </si>
  <si>
    <t>17栋-3-302</t>
  </si>
  <si>
    <t>17栋-3-401</t>
  </si>
  <si>
    <t>17栋-3-101</t>
  </si>
  <si>
    <t>15栋-2-601</t>
  </si>
  <si>
    <t>41栋-1-101</t>
  </si>
  <si>
    <t>15栋-2-302</t>
  </si>
  <si>
    <t>2021-08-25</t>
  </si>
  <si>
    <t>15栋-3-301</t>
  </si>
  <si>
    <t>16栋-2-402</t>
  </si>
  <si>
    <t>2021-08-22</t>
  </si>
  <si>
    <t>35栋-4-302</t>
  </si>
  <si>
    <t>15栋-1-103</t>
  </si>
  <si>
    <t>15栋-1-602</t>
  </si>
  <si>
    <t>2021-08-14</t>
  </si>
  <si>
    <t>30栋-3-501</t>
  </si>
  <si>
    <t>2021-07-31</t>
  </si>
  <si>
    <t>20栋-1-102</t>
  </si>
  <si>
    <t>23栋-1-103</t>
  </si>
  <si>
    <t>15栋-2-602</t>
  </si>
  <si>
    <t>16栋-1-402</t>
  </si>
  <si>
    <t>2021-07-25</t>
  </si>
  <si>
    <t>23栋-1-601</t>
  </si>
  <si>
    <t>2021-07-22</t>
  </si>
  <si>
    <t>20栋-3-102</t>
  </si>
  <si>
    <t>12栋-3-104</t>
  </si>
  <si>
    <t>14栋-2-104</t>
  </si>
  <si>
    <t>14栋-3-101</t>
  </si>
  <si>
    <t>11栋-1-102</t>
  </si>
  <si>
    <t>12栋-3-103</t>
  </si>
  <si>
    <t>16栋-1-301</t>
  </si>
  <si>
    <t>16栋-1-302</t>
  </si>
  <si>
    <t>17栋-1-601</t>
  </si>
  <si>
    <t>19栋-4-103</t>
  </si>
  <si>
    <t>15栋-6-104</t>
  </si>
  <si>
    <t>14栋-3-602</t>
  </si>
  <si>
    <t>16栋-1-601</t>
  </si>
  <si>
    <t>17栋-1-302</t>
  </si>
  <si>
    <t>16栋-1-104</t>
  </si>
  <si>
    <t>38栋-1-103</t>
  </si>
  <si>
    <t>15栋-3-302</t>
  </si>
  <si>
    <t>16栋-2-301</t>
  </si>
  <si>
    <t>16栋-2-302</t>
  </si>
  <si>
    <t>2021-06-27</t>
  </si>
  <si>
    <t>19栋-3-301</t>
  </si>
  <si>
    <t>2021-06-26</t>
  </si>
  <si>
    <t>16栋-1-401</t>
  </si>
  <si>
    <t>16栋-3-401</t>
  </si>
  <si>
    <t>24栋-2-302</t>
  </si>
  <si>
    <t>16栋-3-101</t>
  </si>
  <si>
    <t>37栋-3-601</t>
  </si>
  <si>
    <t>40-a栋-2-601</t>
  </si>
  <si>
    <t>17栋-1-101</t>
  </si>
  <si>
    <t>17栋-3-104</t>
  </si>
  <si>
    <t>15栋-2-101</t>
  </si>
  <si>
    <t>19栋-4-102</t>
  </si>
  <si>
    <t>16栋-2-601</t>
  </si>
  <si>
    <t>16栋-3-302</t>
  </si>
  <si>
    <t>16栋-2-104</t>
  </si>
  <si>
    <t>36栋-4-402</t>
  </si>
  <si>
    <t>38栋-2-102</t>
  </si>
  <si>
    <t>41栋-2-101</t>
  </si>
  <si>
    <t>14栋-1-102</t>
  </si>
  <si>
    <t>16栋-2-401</t>
  </si>
  <si>
    <t>34栋-3-104</t>
  </si>
  <si>
    <t>34栋-1-602</t>
  </si>
  <si>
    <t>41栋-3-101</t>
  </si>
  <si>
    <t>16栋-2-101</t>
  </si>
  <si>
    <t>16栋-3-104</t>
  </si>
  <si>
    <t>15栋-4-601</t>
  </si>
  <si>
    <t>15栋-6-602</t>
  </si>
  <si>
    <t>16栋-2-602</t>
  </si>
  <si>
    <t>15栋-5-602</t>
  </si>
  <si>
    <t>2021-05-30</t>
  </si>
  <si>
    <t>16栋-1-101</t>
  </si>
  <si>
    <t>15栋-3-602</t>
  </si>
  <si>
    <t>30栋-2-502</t>
  </si>
  <si>
    <t>2021-05-28</t>
  </si>
  <si>
    <t>20栋-2-102</t>
  </si>
  <si>
    <t>27栋-3-103</t>
  </si>
  <si>
    <t>27栋-2-101</t>
  </si>
  <si>
    <t>14栋-3-104</t>
  </si>
  <si>
    <t>15栋-1-101</t>
  </si>
  <si>
    <t>15栋-1-402</t>
  </si>
  <si>
    <t>16栋-3-402</t>
  </si>
  <si>
    <t>15栋-6-601</t>
  </si>
  <si>
    <t>2021-05-21</t>
  </si>
  <si>
    <t>30栋-3-301</t>
  </si>
  <si>
    <t>2021-05-20</t>
  </si>
  <si>
    <t>36栋-3-402</t>
  </si>
  <si>
    <t>2021-05-19</t>
  </si>
  <si>
    <t>15栋-3-501</t>
  </si>
  <si>
    <t>2021-05-17</t>
  </si>
  <si>
    <t>34栋-3-501</t>
  </si>
  <si>
    <t>39栋-2-104</t>
  </si>
  <si>
    <t>15栋-4-101</t>
  </si>
  <si>
    <t>28栋-3-502</t>
  </si>
  <si>
    <t>2021-05-12</t>
  </si>
  <si>
    <t>15栋-3-101</t>
  </si>
  <si>
    <t>19栋-3-302</t>
  </si>
  <si>
    <t>20栋-1-104</t>
  </si>
  <si>
    <t>41栋-1-104</t>
  </si>
  <si>
    <t>16栋-3-602</t>
  </si>
  <si>
    <t>35栋-3-501</t>
  </si>
  <si>
    <t>2021-04-29</t>
  </si>
  <si>
    <t>14栋-1-601</t>
  </si>
  <si>
    <t>2021-04-28</t>
  </si>
  <si>
    <t>16栋-3-601</t>
  </si>
  <si>
    <t>15栋-2-301</t>
  </si>
  <si>
    <t>2021-04-25</t>
  </si>
  <si>
    <t>15栋-3-601</t>
  </si>
  <si>
    <t>2021-04-23</t>
  </si>
  <si>
    <t>15栋-5-601</t>
  </si>
  <si>
    <t>2021-04-20</t>
  </si>
  <si>
    <t>15栋-6-501</t>
  </si>
  <si>
    <t>37栋-2-104</t>
  </si>
  <si>
    <t>33栋-4-102</t>
  </si>
  <si>
    <t>39栋-4-302</t>
  </si>
  <si>
    <t>21栋-2-104</t>
  </si>
  <si>
    <t>21栋-3-101</t>
  </si>
  <si>
    <t>39栋-1-104</t>
  </si>
  <si>
    <t>41栋-3-103</t>
  </si>
  <si>
    <t>36栋-5-502</t>
  </si>
  <si>
    <t>2021-03-13</t>
  </si>
  <si>
    <t>19栋-3-102</t>
  </si>
  <si>
    <t>31栋-3-401</t>
  </si>
  <si>
    <t>31栋-3-602</t>
  </si>
  <si>
    <t>27栋-4-101</t>
  </si>
  <si>
    <t>30栋-2-101</t>
  </si>
  <si>
    <t>39栋-1-502</t>
  </si>
  <si>
    <t>39栋-4-301</t>
  </si>
  <si>
    <t>2021-02-27</t>
  </si>
  <si>
    <t>30栋-2-104</t>
  </si>
  <si>
    <t>39栋-3-302</t>
  </si>
  <si>
    <t>37栋-2-101</t>
  </si>
  <si>
    <t>32栋-4-301</t>
  </si>
  <si>
    <t>35栋-4-402</t>
  </si>
  <si>
    <t>21栋-1-104</t>
  </si>
  <si>
    <t>21栋-3-104</t>
  </si>
  <si>
    <t>38栋-3-103</t>
  </si>
  <si>
    <t>24栋-1-103</t>
  </si>
  <si>
    <t>2021-01-27</t>
  </si>
  <si>
    <t>20栋-1-501</t>
  </si>
  <si>
    <t>2021-01-16</t>
  </si>
  <si>
    <t>31栋-2-302</t>
  </si>
  <si>
    <t>2020-12-31</t>
  </si>
  <si>
    <t>29栋-3-101</t>
  </si>
  <si>
    <t>24栋-3-102</t>
  </si>
  <si>
    <t>40-a栋-1-101</t>
  </si>
  <si>
    <t>39栋-5-301</t>
  </si>
  <si>
    <t>40-a栋-1-102</t>
  </si>
  <si>
    <t>40-a栋-1-103</t>
  </si>
  <si>
    <t>21栋-2-502</t>
  </si>
  <si>
    <t>2020-12-29</t>
  </si>
  <si>
    <t>21栋-3-301</t>
  </si>
  <si>
    <t>39栋-5-302</t>
  </si>
  <si>
    <t>2020-12-28</t>
  </si>
  <si>
    <t>27栋-3-104</t>
  </si>
  <si>
    <t>2020-12-27</t>
  </si>
  <si>
    <t>30栋-1-501</t>
  </si>
  <si>
    <t>30栋-2-402</t>
  </si>
  <si>
    <t>30栋-1-101</t>
  </si>
  <si>
    <t>30栋-1-104</t>
  </si>
  <si>
    <t>37栋-1-104</t>
  </si>
  <si>
    <t>37栋-3-104</t>
  </si>
  <si>
    <t>39栋-3-301</t>
  </si>
  <si>
    <t>20栋-3-502</t>
  </si>
  <si>
    <t>2020-12-21</t>
  </si>
  <si>
    <t>30栋-1-401</t>
  </si>
  <si>
    <t>2020-12-20</t>
  </si>
  <si>
    <t>25栋-2-102</t>
  </si>
  <si>
    <t>37栋-3-502</t>
  </si>
  <si>
    <t>21栋-3-502</t>
  </si>
  <si>
    <t>2020-12-15</t>
  </si>
  <si>
    <t>30栋-1-301</t>
  </si>
  <si>
    <t>21栋-1-101</t>
  </si>
  <si>
    <t>21栋-2-101</t>
  </si>
  <si>
    <t>39栋-3-501</t>
  </si>
  <si>
    <t>39栋-3-502</t>
  </si>
  <si>
    <t>39栋-4-501</t>
  </si>
  <si>
    <t>39栋-4-502</t>
  </si>
  <si>
    <t>39栋-5-402</t>
  </si>
  <si>
    <t>39栋-5-501</t>
  </si>
  <si>
    <t>21栋-2-501</t>
  </si>
  <si>
    <t>2020-12-13</t>
  </si>
  <si>
    <t>29栋-2-402</t>
  </si>
  <si>
    <t>39栋-2-302</t>
  </si>
  <si>
    <t>2020-12-12</t>
  </si>
  <si>
    <t>30栋-2-401</t>
  </si>
  <si>
    <t>37栋-3-101</t>
  </si>
  <si>
    <t>37栋-3-401</t>
  </si>
  <si>
    <t>2020-12-10</t>
  </si>
  <si>
    <t>37栋-2-602</t>
  </si>
  <si>
    <t>2020-12-09</t>
  </si>
  <si>
    <t>37栋-3-302</t>
  </si>
  <si>
    <t>2020-12-08</t>
  </si>
  <si>
    <t>37栋-2-601</t>
  </si>
  <si>
    <t>2020-12-07</t>
  </si>
  <si>
    <t>37栋-3-602</t>
  </si>
  <si>
    <t>2020-12-03</t>
  </si>
  <si>
    <t>41栋-1-601</t>
  </si>
  <si>
    <t>2020-12-02</t>
  </si>
  <si>
    <t>37栋-1-102</t>
  </si>
  <si>
    <t>37栋-1-103</t>
  </si>
  <si>
    <t>37栋-1-301</t>
  </si>
  <si>
    <t>37栋-1-402</t>
  </si>
  <si>
    <t>37栋-1-501</t>
  </si>
  <si>
    <t>37栋-1-502</t>
  </si>
  <si>
    <t>37栋-1-602</t>
  </si>
  <si>
    <t>37栋-2-301</t>
  </si>
  <si>
    <t>37栋-2-302</t>
  </si>
  <si>
    <t>37栋-2-401</t>
  </si>
  <si>
    <t>37栋-2-502</t>
  </si>
  <si>
    <t>39栋-1-302</t>
  </si>
  <si>
    <t>39栋-2-301</t>
  </si>
  <si>
    <t>20栋-1-101</t>
  </si>
  <si>
    <t>20栋-2-104</t>
  </si>
  <si>
    <t>20栋-3-101</t>
  </si>
  <si>
    <t>37栋-1-101</t>
  </si>
  <si>
    <t>20栋-3-501</t>
  </si>
  <si>
    <t>2020-11-29</t>
  </si>
  <si>
    <t>37栋-2-501</t>
  </si>
  <si>
    <t>21栋-2-301</t>
  </si>
  <si>
    <t>25栋-1-104</t>
  </si>
  <si>
    <t>20栋-2-101</t>
  </si>
  <si>
    <t>37栋-1-302</t>
  </si>
  <si>
    <t>2020-11-26</t>
  </si>
  <si>
    <t>37栋-3-402</t>
  </si>
  <si>
    <t>2020-11-25</t>
  </si>
  <si>
    <t>37栋-1-401</t>
  </si>
  <si>
    <t>20栋-3-104</t>
  </si>
  <si>
    <t>37栋-3-501</t>
  </si>
  <si>
    <t>2020-11-22</t>
  </si>
  <si>
    <t>21栋-3-402</t>
  </si>
  <si>
    <t>2020-11-21</t>
  </si>
  <si>
    <t>37栋-1-601</t>
  </si>
  <si>
    <t>37栋-2-402</t>
  </si>
  <si>
    <t>2020-11-20</t>
  </si>
  <si>
    <t>37栋-3-301</t>
  </si>
  <si>
    <t>2020-11-14</t>
  </si>
  <si>
    <t>20栋-1-502</t>
  </si>
  <si>
    <t>2020-11-11</t>
  </si>
  <si>
    <t>20栋-1-401</t>
  </si>
  <si>
    <t>20栋-3-402</t>
  </si>
  <si>
    <t>21栋-1-402</t>
  </si>
  <si>
    <t>21栋-1-501</t>
  </si>
  <si>
    <t>21栋-1-502</t>
  </si>
  <si>
    <t>21栋-2-401</t>
  </si>
  <si>
    <t>19栋-3-104</t>
  </si>
  <si>
    <t>28栋-1-104</t>
  </si>
  <si>
    <t>28栋-3-101</t>
  </si>
  <si>
    <t>29栋-2-104</t>
  </si>
  <si>
    <t>30栋-3-101</t>
  </si>
  <si>
    <t>30栋-3-104</t>
  </si>
  <si>
    <t>20栋-2-502</t>
  </si>
  <si>
    <t>28栋-2-101</t>
  </si>
  <si>
    <t>21栋-3-302</t>
  </si>
  <si>
    <t>24栋-2-102</t>
  </si>
  <si>
    <t>21栋-3-501</t>
  </si>
  <si>
    <t>2020-10-28</t>
  </si>
  <si>
    <t>36栋-3-101</t>
  </si>
  <si>
    <t>19栋-1-103</t>
  </si>
  <si>
    <t>21栋-2-302</t>
  </si>
  <si>
    <t>25栋-3-104</t>
  </si>
  <si>
    <t>2020-10-22</t>
  </si>
  <si>
    <t>27栋-1-101</t>
  </si>
  <si>
    <t>21栋-3-401</t>
  </si>
  <si>
    <t>2020-10-19</t>
  </si>
  <si>
    <t>25栋-3-401</t>
  </si>
  <si>
    <t>2020-10-11</t>
  </si>
  <si>
    <t>21栋-1-301</t>
  </si>
  <si>
    <t>2020-10-10</t>
  </si>
  <si>
    <t>29栋-2-401</t>
  </si>
  <si>
    <t>2020-10-07</t>
  </si>
  <si>
    <t>29栋-3-401</t>
  </si>
  <si>
    <t>2020-09-29</t>
  </si>
  <si>
    <t>38栋-1-402</t>
  </si>
  <si>
    <t>20栋-1-402</t>
  </si>
  <si>
    <t>20栋-2-302</t>
  </si>
  <si>
    <t>20栋-2-401</t>
  </si>
  <si>
    <t>21栋-1-302</t>
  </si>
  <si>
    <t>29栋-3-302</t>
  </si>
  <si>
    <t>25栋-2-104</t>
  </si>
  <si>
    <t>20栋-2-501</t>
  </si>
  <si>
    <t>21栋-1-401</t>
  </si>
  <si>
    <t>25栋-2-101</t>
  </si>
  <si>
    <t>20栋-1-302</t>
  </si>
  <si>
    <t>2020-09-17</t>
  </si>
  <si>
    <t>20栋-2-402</t>
  </si>
  <si>
    <t>2020-09-16</t>
  </si>
  <si>
    <t>20栋-1-301</t>
  </si>
  <si>
    <t>2020-09-11</t>
  </si>
  <si>
    <t>33栋-4-103</t>
  </si>
  <si>
    <t>24栋-1-402</t>
  </si>
  <si>
    <t>25栋-3-102</t>
  </si>
  <si>
    <t>27栋-2-402</t>
  </si>
  <si>
    <t>28栋-1-302</t>
  </si>
  <si>
    <t>29栋-1-302</t>
  </si>
  <si>
    <t>29栋-1-402</t>
  </si>
  <si>
    <t>29栋-2-302</t>
  </si>
  <si>
    <t>29栋-3-301</t>
  </si>
  <si>
    <t>31栋-3-102</t>
  </si>
  <si>
    <t>32栋-3-501</t>
  </si>
  <si>
    <t>28栋-2-104</t>
  </si>
  <si>
    <t>29栋-2-101</t>
  </si>
  <si>
    <t>29栋-2-301</t>
  </si>
  <si>
    <t>28栋-1-101</t>
  </si>
  <si>
    <t>32栋-6-401</t>
  </si>
  <si>
    <t>2020-08-29</t>
  </si>
  <si>
    <t>24栋-2-301</t>
  </si>
  <si>
    <t>2020-08-28</t>
  </si>
  <si>
    <t>28栋-3-401</t>
  </si>
  <si>
    <t>35栋-4-102</t>
  </si>
  <si>
    <t>24栋-1-302</t>
  </si>
  <si>
    <t>2020-08-26</t>
  </si>
  <si>
    <t>24栋-2-402</t>
  </si>
  <si>
    <t>29栋-3-104</t>
  </si>
  <si>
    <t>20栋-3-401</t>
  </si>
  <si>
    <t>2020-08-20</t>
  </si>
  <si>
    <t>24栋-3-302</t>
  </si>
  <si>
    <t>24栋-3-401</t>
  </si>
  <si>
    <t>2020-08-17</t>
  </si>
  <si>
    <t>24栋-1-104</t>
  </si>
  <si>
    <t>23栋-2-501</t>
  </si>
  <si>
    <t>2020-08-15</t>
  </si>
  <si>
    <t>31栋-1-302</t>
  </si>
  <si>
    <t>24栋-3-301</t>
  </si>
  <si>
    <t>2020-08-14</t>
  </si>
  <si>
    <t>41栋-1-602</t>
  </si>
  <si>
    <t>31栋-2-401</t>
  </si>
  <si>
    <t>2020-08-13</t>
  </si>
  <si>
    <t>24栋-2-104</t>
  </si>
  <si>
    <t>27栋-3-501</t>
  </si>
  <si>
    <t>40-a栋-1-602</t>
  </si>
  <si>
    <t>25栋-1-101</t>
  </si>
  <si>
    <t>24栋-2-101</t>
  </si>
  <si>
    <t>19栋-2-104</t>
  </si>
  <si>
    <t>2020-08-05</t>
  </si>
  <si>
    <t>31栋-2-301</t>
  </si>
  <si>
    <t>19栋-5-104</t>
  </si>
  <si>
    <t>23栋-4-101</t>
  </si>
  <si>
    <t>19栋-1-102</t>
  </si>
  <si>
    <t>19栋-2-102</t>
  </si>
  <si>
    <t>19栋-3-103</t>
  </si>
  <si>
    <t>23栋-1-302</t>
  </si>
  <si>
    <t>23栋-1-402</t>
  </si>
  <si>
    <t>27栋-1-302</t>
  </si>
  <si>
    <t>27栋-2-302</t>
  </si>
  <si>
    <t>27栋-2-501</t>
  </si>
  <si>
    <t>27栋-3-302</t>
  </si>
  <si>
    <t>27栋-3-401</t>
  </si>
  <si>
    <t>27栋-4-301</t>
  </si>
  <si>
    <t>31栋-3-301</t>
  </si>
  <si>
    <t>31栋-3-302</t>
  </si>
  <si>
    <t>41栋-2-601</t>
  </si>
  <si>
    <t>19栋-1-104</t>
  </si>
  <si>
    <t>19栋-4-104</t>
  </si>
  <si>
    <t>19栋-5-101</t>
  </si>
  <si>
    <t>20栋-2-301</t>
  </si>
  <si>
    <t>23栋-2-302</t>
  </si>
  <si>
    <t>23栋-3-302</t>
  </si>
  <si>
    <t>27栋-2-401</t>
  </si>
  <si>
    <t>27栋-2-502</t>
  </si>
  <si>
    <t>27栋-4-302</t>
  </si>
  <si>
    <t>19栋-1-101</t>
  </si>
  <si>
    <t>19栋-3-101</t>
  </si>
  <si>
    <t>19栋-4-101</t>
  </si>
  <si>
    <t>23栋-1-101</t>
  </si>
  <si>
    <t>23栋-4-401</t>
  </si>
  <si>
    <t>23栋-1-104</t>
  </si>
  <si>
    <t>27栋-2-301</t>
  </si>
  <si>
    <t>2020-07-28</t>
  </si>
  <si>
    <t>23栋-1-102</t>
  </si>
  <si>
    <t>27栋-1-301</t>
  </si>
  <si>
    <t>2020-07-26</t>
  </si>
  <si>
    <t>41栋-3-601</t>
  </si>
  <si>
    <t>2020-07-24</t>
  </si>
  <si>
    <t>19栋-2-101</t>
  </si>
  <si>
    <t>31栋-3-101</t>
  </si>
  <si>
    <t>31栋-2-402</t>
  </si>
  <si>
    <t>2020-07-17</t>
  </si>
  <si>
    <t>41栋-3-602</t>
  </si>
  <si>
    <t>2020-07-16</t>
  </si>
  <si>
    <t>41栋-2-602</t>
  </si>
  <si>
    <t>2020-07-14</t>
  </si>
  <si>
    <t>40-a栋-1-601</t>
  </si>
  <si>
    <t>2020-07-02</t>
  </si>
  <si>
    <t>23栋-1-301</t>
  </si>
  <si>
    <t>23栋-1-401</t>
  </si>
  <si>
    <t>23栋-2-401</t>
  </si>
  <si>
    <t>23栋-3-402</t>
  </si>
  <si>
    <t>23栋-4-103</t>
  </si>
  <si>
    <t>24栋-1-102</t>
  </si>
  <si>
    <t>27栋-1-401</t>
  </si>
  <si>
    <t>28栋-1-102</t>
  </si>
  <si>
    <t>32栋-4-103</t>
  </si>
  <si>
    <t>34栋-3-102</t>
  </si>
  <si>
    <t>39栋-4-601</t>
  </si>
  <si>
    <t>39栋-4-602</t>
  </si>
  <si>
    <t>39栋-5-601</t>
  </si>
  <si>
    <t>40-a栋-3-601</t>
  </si>
  <si>
    <t>24栋-1-101</t>
  </si>
  <si>
    <t>24栋-3-104</t>
  </si>
  <si>
    <t>25栋-3-101</t>
  </si>
  <si>
    <t>28栋-3-104</t>
  </si>
  <si>
    <t>31栋-2-104</t>
  </si>
  <si>
    <t>19栋-2-402</t>
  </si>
  <si>
    <t>23栋-2-301</t>
  </si>
  <si>
    <t>23栋-3-301</t>
  </si>
  <si>
    <t>23栋-3-401</t>
  </si>
  <si>
    <t>24栋-2-103</t>
  </si>
  <si>
    <t>27栋-3-301</t>
  </si>
  <si>
    <t>35栋-1-301</t>
  </si>
  <si>
    <t>38栋-1-502</t>
  </si>
  <si>
    <t>40-a栋-2-602</t>
  </si>
  <si>
    <t>40-a栋-3-602</t>
  </si>
  <si>
    <t>23栋-2-101</t>
  </si>
  <si>
    <t>31栋-1-104</t>
  </si>
  <si>
    <t>23栋-4-402</t>
  </si>
  <si>
    <t>39栋-5-602</t>
  </si>
  <si>
    <t>23栋-4-104</t>
  </si>
  <si>
    <t>27栋-3-101</t>
  </si>
  <si>
    <t>27栋-4-103</t>
  </si>
  <si>
    <t>23栋-4-301</t>
  </si>
  <si>
    <t>2020-06-26</t>
  </si>
  <si>
    <t>27栋-3-402</t>
  </si>
  <si>
    <t>27栋-1-102</t>
  </si>
  <si>
    <t>34栋-3-103</t>
  </si>
  <si>
    <t>27栋-1-104</t>
  </si>
  <si>
    <t>23栋-2-402</t>
  </si>
  <si>
    <t>2020-06-24</t>
  </si>
  <si>
    <t>19栋-5-302</t>
  </si>
  <si>
    <t>2020-06-23</t>
  </si>
  <si>
    <t>20栋-3-301</t>
  </si>
  <si>
    <t>39栋-3-601</t>
  </si>
  <si>
    <t>20栋-3-302</t>
  </si>
  <si>
    <t>31栋-2-102</t>
  </si>
  <si>
    <t>23栋-4-302</t>
  </si>
  <si>
    <t>31栋-3-103</t>
  </si>
  <si>
    <t>32栋-5-103</t>
  </si>
  <si>
    <t>39栋-2-601</t>
  </si>
  <si>
    <t>39栋-5-502</t>
  </si>
  <si>
    <t>39栋-2-602</t>
  </si>
  <si>
    <t>2020-06-19</t>
  </si>
  <si>
    <t>19栋-1-302</t>
  </si>
  <si>
    <t>23栋-3-101</t>
  </si>
  <si>
    <t>19栋-2-302</t>
  </si>
  <si>
    <t>2020-06-17</t>
  </si>
  <si>
    <t>39栋-1-601</t>
  </si>
  <si>
    <t>2020-06-15</t>
  </si>
  <si>
    <t>39栋-1-602</t>
  </si>
  <si>
    <t>2020-06-11</t>
  </si>
  <si>
    <t>33栋-2-502</t>
  </si>
  <si>
    <t>2020-06-10</t>
  </si>
  <si>
    <t>39栋-3-602</t>
  </si>
  <si>
    <t>19栋-4-402</t>
  </si>
  <si>
    <t>2020-06-09</t>
  </si>
  <si>
    <t>19栋-5-402</t>
  </si>
  <si>
    <t>33栋-1-502</t>
  </si>
  <si>
    <t>2020-06-02</t>
  </si>
  <si>
    <t>20栋-3-601</t>
  </si>
  <si>
    <t>20栋-3-602</t>
  </si>
  <si>
    <t>21栋-3-602</t>
  </si>
  <si>
    <t>25栋-1-103</t>
  </si>
  <si>
    <t>27栋-1-502</t>
  </si>
  <si>
    <t>27栋-3-502</t>
  </si>
  <si>
    <t>28栋-2-302</t>
  </si>
  <si>
    <t>30栋-3-602</t>
  </si>
  <si>
    <t>31栋-1-103</t>
  </si>
  <si>
    <t>32栋-6-102</t>
  </si>
  <si>
    <t>24栋-3-101</t>
  </si>
  <si>
    <t>27栋-4-104</t>
  </si>
  <si>
    <t>29栋-1-101</t>
  </si>
  <si>
    <t>31栋-1-101</t>
  </si>
  <si>
    <t>31栋-3-104</t>
  </si>
  <si>
    <t>19栋-3-401</t>
  </si>
  <si>
    <t>19栋-3-402</t>
  </si>
  <si>
    <t>19栋-4-401</t>
  </si>
  <si>
    <t>19栋-5-502</t>
  </si>
  <si>
    <t>20栋-2-602</t>
  </si>
  <si>
    <t>34栋-2-102</t>
  </si>
  <si>
    <t>27栋-2-104</t>
  </si>
  <si>
    <t>31栋-2-101</t>
  </si>
  <si>
    <t>19栋-1-301</t>
  </si>
  <si>
    <t>21栋-1-602</t>
  </si>
  <si>
    <t>21栋-3-601</t>
  </si>
  <si>
    <t>32栋-5-102</t>
  </si>
  <si>
    <t>33栋-2-301</t>
  </si>
  <si>
    <t>33栋-2-501</t>
  </si>
  <si>
    <t>19栋-3-502</t>
  </si>
  <si>
    <t>2020-05-28</t>
  </si>
  <si>
    <t>19栋-1-401</t>
  </si>
  <si>
    <t>2020-05-27</t>
  </si>
  <si>
    <t>21栋-2-601</t>
  </si>
  <si>
    <t>2020-05-26</t>
  </si>
  <si>
    <t>21栋-2-602</t>
  </si>
  <si>
    <t>20栋-2-601</t>
  </si>
  <si>
    <t>2020-05-24</t>
  </si>
  <si>
    <t>36栋-1-502</t>
  </si>
  <si>
    <t>19栋-2-401</t>
  </si>
  <si>
    <t>2020-05-21</t>
  </si>
  <si>
    <t>20栋-1-601</t>
  </si>
  <si>
    <t>20栋-1-602</t>
  </si>
  <si>
    <t>33栋-2-402</t>
  </si>
  <si>
    <t>2020-05-20</t>
  </si>
  <si>
    <t>19栋-1-502</t>
  </si>
  <si>
    <t>2020-05-19</t>
  </si>
  <si>
    <t>19栋-3-501</t>
  </si>
  <si>
    <t>19栋-4-501</t>
  </si>
  <si>
    <t>21栋-1-601</t>
  </si>
  <si>
    <t>33栋-4-501</t>
  </si>
  <si>
    <t>19栋-1-402</t>
  </si>
  <si>
    <t>2020-05-17</t>
  </si>
  <si>
    <t>19栋-1-602</t>
  </si>
  <si>
    <t>2020-05-15</t>
  </si>
  <si>
    <t>19栋-2-502</t>
  </si>
  <si>
    <t>19栋-2-501</t>
  </si>
  <si>
    <t>2020-05-12</t>
  </si>
  <si>
    <t>19栋-2-301</t>
  </si>
  <si>
    <t>2020-05-10</t>
  </si>
  <si>
    <t>19栋-2-601</t>
  </si>
  <si>
    <t>38栋-2-402</t>
  </si>
  <si>
    <t>19栋-2-602</t>
  </si>
  <si>
    <t>2020-05-08</t>
  </si>
  <si>
    <t>19栋-4-301</t>
  </si>
  <si>
    <t>19栋-4-302</t>
  </si>
  <si>
    <t>19栋-4-502</t>
  </si>
  <si>
    <t>19栋-4-602</t>
  </si>
  <si>
    <t>19栋-5-301</t>
  </si>
  <si>
    <t>19栋-1-501</t>
  </si>
  <si>
    <t>2020-05-07</t>
  </si>
  <si>
    <t>19栋-1-601</t>
  </si>
  <si>
    <t>19栋-3-601</t>
  </si>
  <si>
    <t>19栋-4-601</t>
  </si>
  <si>
    <t>33栋-1-302</t>
  </si>
  <si>
    <t>33栋-1-402</t>
  </si>
  <si>
    <t>19栋-5-401</t>
  </si>
  <si>
    <t>2020-05-06</t>
  </si>
  <si>
    <t>19栋-5-601</t>
  </si>
  <si>
    <t>30栋-1-602</t>
  </si>
  <si>
    <t>19栋-5-501</t>
  </si>
  <si>
    <t>2020-05-05</t>
  </si>
  <si>
    <t>25栋-2-601</t>
  </si>
  <si>
    <t>2020-05-04</t>
  </si>
  <si>
    <t>19栋-3-602</t>
  </si>
  <si>
    <t>2020-05-03</t>
  </si>
  <si>
    <t>32栋-3-103</t>
  </si>
  <si>
    <t>25栋-1-602</t>
  </si>
  <si>
    <t>25栋-3-602</t>
  </si>
  <si>
    <t>33栋-2-302</t>
  </si>
  <si>
    <t>38栋-1-602</t>
  </si>
  <si>
    <t>33栋-1-104</t>
  </si>
  <si>
    <t>33栋-2-104</t>
  </si>
  <si>
    <t>34栋-2-101</t>
  </si>
  <si>
    <t>29栋-3-601</t>
  </si>
  <si>
    <t>34栋-1-101</t>
  </si>
  <si>
    <t>33栋-1-301</t>
  </si>
  <si>
    <t>2020-04-28</t>
  </si>
  <si>
    <t>33栋-3-302</t>
  </si>
  <si>
    <t>24栋-1-602</t>
  </si>
  <si>
    <t>2020-04-27</t>
  </si>
  <si>
    <t>24栋-2-601</t>
  </si>
  <si>
    <t>24栋-3-601</t>
  </si>
  <si>
    <t>27栋-1-601</t>
  </si>
  <si>
    <t>29栋-3-602</t>
  </si>
  <si>
    <t>33栋-2-401</t>
  </si>
  <si>
    <t>28栋-3-102</t>
  </si>
  <si>
    <t>33栋-1-601</t>
  </si>
  <si>
    <t>33栋-4-101</t>
  </si>
  <si>
    <t>34栋-1-104</t>
  </si>
  <si>
    <t>34栋-3-101</t>
  </si>
  <si>
    <t>24栋-1-601</t>
  </si>
  <si>
    <t>25栋-1-301</t>
  </si>
  <si>
    <t>25栋-1-302</t>
  </si>
  <si>
    <t>33栋-2-101</t>
  </si>
  <si>
    <t>33栋-3-104</t>
  </si>
  <si>
    <t>34栋-2-104</t>
  </si>
  <si>
    <t>28栋-2-601</t>
  </si>
  <si>
    <t>28栋-2-602</t>
  </si>
  <si>
    <t>32栋-1-103</t>
  </si>
  <si>
    <t>32栋-3-102</t>
  </si>
  <si>
    <t>33栋-2-602</t>
  </si>
  <si>
    <t>33栋-3-101</t>
  </si>
  <si>
    <t>27栋-4-401</t>
  </si>
  <si>
    <t>2020-04-21</t>
  </si>
  <si>
    <t>33栋-1-501</t>
  </si>
  <si>
    <t>33栋-3-301</t>
  </si>
  <si>
    <t>33栋-3-502</t>
  </si>
  <si>
    <t>2020-04-17</t>
  </si>
  <si>
    <t>38栋-1-401</t>
  </si>
  <si>
    <t>2020-04-13</t>
  </si>
  <si>
    <t>32栋-4-102</t>
  </si>
  <si>
    <t>33栋-3-402</t>
  </si>
  <si>
    <t>33栋-3-601</t>
  </si>
  <si>
    <t>32栋-6-402</t>
  </si>
  <si>
    <t>2020-04-11</t>
  </si>
  <si>
    <t>33栋-3-501</t>
  </si>
  <si>
    <t>2020-04-10</t>
  </si>
  <si>
    <t>33栋-4-301</t>
  </si>
  <si>
    <t>33栋-1-401</t>
  </si>
  <si>
    <t>2020-04-09</t>
  </si>
  <si>
    <t>28栋-3-601</t>
  </si>
  <si>
    <t>2020-04-07</t>
  </si>
  <si>
    <t>30栋-2-302</t>
  </si>
  <si>
    <t>2020-04-06</t>
  </si>
  <si>
    <t>27栋-3-601</t>
  </si>
  <si>
    <t>2020-04-05</t>
  </si>
  <si>
    <t>27栋-1-602</t>
  </si>
  <si>
    <t>2020-04-03</t>
  </si>
  <si>
    <t>31栋-3-402</t>
  </si>
  <si>
    <t>32栋-6-103</t>
  </si>
  <si>
    <t>33栋-4-402</t>
  </si>
  <si>
    <t>33栋-4-104</t>
  </si>
  <si>
    <t>27栋-2-601</t>
  </si>
  <si>
    <t>27栋-4-501</t>
  </si>
  <si>
    <t>33栋-1-602</t>
  </si>
  <si>
    <t>33栋-4-401</t>
  </si>
  <si>
    <t>38栋-1-104</t>
  </si>
  <si>
    <t>38栋-1-101</t>
  </si>
  <si>
    <t>33栋-3-401</t>
  </si>
  <si>
    <t>2020-03-27</t>
  </si>
  <si>
    <t>33栋-4-601</t>
  </si>
  <si>
    <t>32栋-6-101</t>
  </si>
  <si>
    <t>33栋-2-601</t>
  </si>
  <si>
    <t>2020-03-24</t>
  </si>
  <si>
    <t>30栋-3-103</t>
  </si>
  <si>
    <t>33栋-4-502</t>
  </si>
  <si>
    <t>34栋-2-601</t>
  </si>
  <si>
    <t>27栋-2-602</t>
  </si>
  <si>
    <t>2020-03-21</t>
  </si>
  <si>
    <t>38栋-3-501</t>
  </si>
  <si>
    <t>2020-03-20</t>
  </si>
  <si>
    <t>33栋-4-302</t>
  </si>
  <si>
    <t>2020-03-19</t>
  </si>
  <si>
    <t>34栋-2-602</t>
  </si>
  <si>
    <t>2020-03-18</t>
  </si>
  <si>
    <t>31栋-3-501</t>
  </si>
  <si>
    <t>2020-03-17</t>
  </si>
  <si>
    <t>33栋-3-602</t>
  </si>
  <si>
    <t>2020-03-14</t>
  </si>
  <si>
    <t>35栋-1-103</t>
  </si>
  <si>
    <t>35栋-3-102</t>
  </si>
  <si>
    <t>35栋-3-103</t>
  </si>
  <si>
    <t>32栋-4-402</t>
  </si>
  <si>
    <t>2020-02-26</t>
  </si>
  <si>
    <t>29栋-1-601</t>
  </si>
  <si>
    <t>2020-01-17</t>
  </si>
  <si>
    <t>32栋-6-302</t>
  </si>
  <si>
    <t>38栋-2-602</t>
  </si>
  <si>
    <t>38栋-2-301</t>
  </si>
  <si>
    <t>38栋-2-302</t>
  </si>
  <si>
    <t>23栋-1-602</t>
  </si>
  <si>
    <t>2020-01-12</t>
  </si>
  <si>
    <t>32栋-2-502</t>
  </si>
  <si>
    <t>23栋-3-601</t>
  </si>
  <si>
    <t>2020-01-11</t>
  </si>
  <si>
    <t>32栋-4-502</t>
  </si>
  <si>
    <t>2020-01-09</t>
  </si>
  <si>
    <t>32栋-5-301</t>
  </si>
  <si>
    <t>2020-01-08</t>
  </si>
  <si>
    <t>32栋-2-102</t>
  </si>
  <si>
    <t>32栋-4-601</t>
  </si>
  <si>
    <t>32栋-5-402</t>
  </si>
  <si>
    <t>38栋-3-301</t>
  </si>
  <si>
    <t>35栋-3-104</t>
  </si>
  <si>
    <t>38栋-2-104</t>
  </si>
  <si>
    <t>38栋-2-501</t>
  </si>
  <si>
    <t>38栋-3-601</t>
  </si>
  <si>
    <t>38栋-3-104</t>
  </si>
  <si>
    <t>30栋-2-301</t>
  </si>
  <si>
    <t>32栋-2-501</t>
  </si>
  <si>
    <t>32栋-5-601</t>
  </si>
  <si>
    <t>32栋-6-501</t>
  </si>
  <si>
    <t>32栋-5-101</t>
  </si>
  <si>
    <t>38栋-2-101</t>
  </si>
  <si>
    <t>38栋-3-101</t>
  </si>
  <si>
    <t>32栋-4-101</t>
  </si>
  <si>
    <t>27栋-4-502</t>
  </si>
  <si>
    <t>32栋-3-301</t>
  </si>
  <si>
    <t>32栋-5-401</t>
  </si>
  <si>
    <t>35栋-1-102</t>
  </si>
  <si>
    <t>38栋-1-601</t>
  </si>
  <si>
    <t>38栋-3-402</t>
  </si>
  <si>
    <t>2019-12-26</t>
  </si>
  <si>
    <t>32栋-4-401</t>
  </si>
  <si>
    <t>2019-12-25</t>
  </si>
  <si>
    <t>32栋-1-301</t>
  </si>
  <si>
    <t>32栋-6-602</t>
  </si>
  <si>
    <t>38栋-1-302</t>
  </si>
  <si>
    <t>32栋-5-104</t>
  </si>
  <si>
    <t>38栋-1-501</t>
  </si>
  <si>
    <t>2019-12-23</t>
  </si>
  <si>
    <t>38栋-3-602</t>
  </si>
  <si>
    <t>23栋-2-602</t>
  </si>
  <si>
    <t>2019-12-22</t>
  </si>
  <si>
    <t>23栋-4-601</t>
  </si>
  <si>
    <t>32栋-3-302</t>
  </si>
  <si>
    <t>2019-12-21</t>
  </si>
  <si>
    <t>32栋-4-302</t>
  </si>
  <si>
    <t>32栋-6-301</t>
  </si>
  <si>
    <t>32栋-3-502</t>
  </si>
  <si>
    <t>2019-12-18</t>
  </si>
  <si>
    <t>23栋-3-602</t>
  </si>
  <si>
    <t>2019-12-17</t>
  </si>
  <si>
    <t>23栋-4-502</t>
  </si>
  <si>
    <t>27栋-3-602</t>
  </si>
  <si>
    <t>32栋-2-401</t>
  </si>
  <si>
    <t>32栋-5-501</t>
  </si>
  <si>
    <t>38栋-2-601</t>
  </si>
  <si>
    <t>38栋-2-401</t>
  </si>
  <si>
    <t>2019-12-16</t>
  </si>
  <si>
    <t>38栋-3-502</t>
  </si>
  <si>
    <t>32栋-4-104</t>
  </si>
  <si>
    <t>32栋-6-104</t>
  </si>
  <si>
    <t>32栋-2-302</t>
  </si>
  <si>
    <t>38栋-1-301</t>
  </si>
  <si>
    <t>32栋-3-104</t>
  </si>
  <si>
    <t>38栋-3-302</t>
  </si>
  <si>
    <t>2019-12-12</t>
  </si>
  <si>
    <t>30栋-2-601</t>
  </si>
  <si>
    <t>35栋-4-101</t>
  </si>
  <si>
    <t>23栋-4-501</t>
  </si>
  <si>
    <t>32栋-1-302</t>
  </si>
  <si>
    <t>32栋-5-602</t>
  </si>
  <si>
    <t>32栋-3-101</t>
  </si>
  <si>
    <t>36栋-3-104</t>
  </si>
  <si>
    <t>36栋-4-104</t>
  </si>
  <si>
    <t>32栋-2-104</t>
  </si>
  <si>
    <t>32栋-3-402</t>
  </si>
  <si>
    <t>2019-12-03</t>
  </si>
  <si>
    <t>32栋-6-601</t>
  </si>
  <si>
    <t>32栋-1-402</t>
  </si>
  <si>
    <t>2019-11-30</t>
  </si>
  <si>
    <t>32栋-3-601</t>
  </si>
  <si>
    <t>32栋-4-602</t>
  </si>
  <si>
    <t>32栋-6-502</t>
  </si>
  <si>
    <t>32栋-3-602</t>
  </si>
  <si>
    <t>35栋-4-104</t>
  </si>
  <si>
    <t>36栋-5-101</t>
  </si>
  <si>
    <t>2019-11-28</t>
  </si>
  <si>
    <t>27栋-4-601</t>
  </si>
  <si>
    <t>2019-11-27</t>
  </si>
  <si>
    <t>32栋-1-401</t>
  </si>
  <si>
    <t>32栋-1-502</t>
  </si>
  <si>
    <t>32栋-2-301</t>
  </si>
  <si>
    <t>32栋-2-402</t>
  </si>
  <si>
    <t>32栋-3-401</t>
  </si>
  <si>
    <t>35栋-1-302</t>
  </si>
  <si>
    <t>32栋-1-104</t>
  </si>
  <si>
    <t>36栋-5-104</t>
  </si>
  <si>
    <t>35栋-1-501</t>
  </si>
  <si>
    <t>35栋-3-101</t>
  </si>
  <si>
    <t>30栋-3-502</t>
  </si>
  <si>
    <t>32栋-1-101</t>
  </si>
  <si>
    <t>36栋-1-104</t>
  </si>
  <si>
    <t>35栋-2-104</t>
  </si>
  <si>
    <t>27栋-4-602</t>
  </si>
  <si>
    <t>2019-11-21</t>
  </si>
  <si>
    <t>32栋-1-602</t>
  </si>
  <si>
    <t>2019-11-20</t>
  </si>
  <si>
    <t>36栋-4-301</t>
  </si>
  <si>
    <t>2019-11-19</t>
  </si>
  <si>
    <t>30栋-1-601</t>
  </si>
  <si>
    <t>30栋-3-302</t>
  </si>
  <si>
    <t>34栋-1-601</t>
  </si>
  <si>
    <t>36栋-2-402</t>
  </si>
  <si>
    <t>36栋-2-104</t>
  </si>
  <si>
    <t>35栋-2-101</t>
  </si>
  <si>
    <t>36栋-4-302</t>
  </si>
  <si>
    <t>35栋-1-101</t>
  </si>
  <si>
    <t>35栋-1-104</t>
  </si>
  <si>
    <t>36栋-5-301</t>
  </si>
  <si>
    <t>32栋-2-101</t>
  </si>
  <si>
    <t>35栋-2-302</t>
  </si>
  <si>
    <t>36栋-4-101</t>
  </si>
  <si>
    <t>35栋-1-401</t>
  </si>
  <si>
    <t>2019-11-09</t>
  </si>
  <si>
    <t>35栋-4-301</t>
  </si>
  <si>
    <t>36栋-1-302</t>
  </si>
  <si>
    <t>2019-11-07</t>
  </si>
  <si>
    <t>36栋-5-302</t>
  </si>
  <si>
    <t>2019-11-05</t>
  </si>
  <si>
    <t>36栋-2-501</t>
  </si>
  <si>
    <t>2019-11-01</t>
  </si>
  <si>
    <t>36栋-2-301</t>
  </si>
  <si>
    <t>2019-10-30</t>
  </si>
  <si>
    <t>36栋-5-401</t>
  </si>
  <si>
    <t>36栋-5-402</t>
  </si>
  <si>
    <t>32栋-2-601</t>
  </si>
  <si>
    <t>2019-10-29</t>
  </si>
  <si>
    <t>36栋-4-401</t>
  </si>
  <si>
    <t>36栋-3-301</t>
  </si>
  <si>
    <t>2019-10-27</t>
  </si>
  <si>
    <t>36栋-3-401</t>
  </si>
  <si>
    <t>36栋-2-401</t>
  </si>
  <si>
    <t>2019-10-25</t>
  </si>
  <si>
    <t>36栋-1-402</t>
  </si>
  <si>
    <t>2019-10-24</t>
  </si>
  <si>
    <t>36栋-1-301</t>
  </si>
  <si>
    <t>2019-10-23</t>
  </si>
  <si>
    <t>36栋-1-601</t>
  </si>
  <si>
    <t>2019-10-21</t>
  </si>
  <si>
    <t>36栋-3-302</t>
  </si>
  <si>
    <t>30栋-3-402</t>
  </si>
  <si>
    <t>2019-10-19</t>
  </si>
  <si>
    <t>35栋-2-601</t>
  </si>
  <si>
    <t>2019-10-16</t>
  </si>
  <si>
    <t>30栋-1-302</t>
  </si>
  <si>
    <t>2019-10-14</t>
  </si>
  <si>
    <t>36栋-1-401</t>
  </si>
  <si>
    <t>36栋-1-602</t>
  </si>
  <si>
    <t>2019-10-13</t>
  </si>
  <si>
    <t>36栋-5-601</t>
  </si>
  <si>
    <t>2019-10-11</t>
  </si>
  <si>
    <t>36栋-2-601</t>
  </si>
  <si>
    <t>2019-10-09</t>
  </si>
  <si>
    <t>36栋-3-502</t>
  </si>
  <si>
    <t>2019-10-07</t>
  </si>
  <si>
    <t>36栋-4-501</t>
  </si>
  <si>
    <t>36栋-4-502</t>
  </si>
  <si>
    <t>36栋-3-501</t>
  </si>
  <si>
    <t>2019-10-06</t>
  </si>
  <si>
    <t>35栋-4-602</t>
  </si>
  <si>
    <t>2019-10-03</t>
  </si>
  <si>
    <t>35栋-2-103</t>
  </si>
  <si>
    <t>35栋-3-601</t>
  </si>
  <si>
    <t>2019-09-30</t>
  </si>
  <si>
    <t>36栋-1-501</t>
  </si>
  <si>
    <t>36栋-2-302</t>
  </si>
  <si>
    <t>35栋-1-601</t>
  </si>
  <si>
    <t>2019-09-29</t>
  </si>
  <si>
    <t>35栋-2-301</t>
  </si>
  <si>
    <t>35栋-2-401</t>
  </si>
  <si>
    <t>35栋-3-301</t>
  </si>
  <si>
    <t>36栋-2-602</t>
  </si>
  <si>
    <t>30栋-3-601</t>
  </si>
  <si>
    <t>2019-09-28</t>
  </si>
  <si>
    <t>36栋-3-602</t>
  </si>
  <si>
    <t>2019-09-27</t>
  </si>
  <si>
    <t>36栋-4-602</t>
  </si>
  <si>
    <t>30栋-2-602</t>
  </si>
  <si>
    <t>2019-09-26</t>
  </si>
  <si>
    <t>35栋-1-402</t>
  </si>
  <si>
    <t>36栋-2-502</t>
  </si>
  <si>
    <t>35栋-1-502</t>
  </si>
  <si>
    <t>2019-09-25</t>
  </si>
  <si>
    <t>35栋-3-302</t>
  </si>
  <si>
    <t>35栋-3-401</t>
  </si>
  <si>
    <t>35栋-4-501</t>
  </si>
  <si>
    <t>35栋-4-601</t>
  </si>
  <si>
    <t>2019-09-24</t>
  </si>
  <si>
    <t>36栋-5-602</t>
  </si>
  <si>
    <t>30栋-1-502</t>
  </si>
  <si>
    <t>2019-09-23</t>
  </si>
  <si>
    <t>35栋-2-502</t>
  </si>
  <si>
    <t>35栋-2-602</t>
  </si>
  <si>
    <t>35栋-3-402</t>
  </si>
  <si>
    <t>35栋-2-402</t>
  </si>
  <si>
    <t>2019-09-22</t>
  </si>
  <si>
    <t>35栋-3-502</t>
  </si>
  <si>
    <t>35栋-4-401</t>
  </si>
  <si>
    <t>36栋-3-601</t>
  </si>
  <si>
    <t>36栋-4-601</t>
  </si>
  <si>
    <t>35栋-3-602</t>
  </si>
  <si>
    <t>2019-09-21</t>
  </si>
  <si>
    <t>35栋-1-602</t>
  </si>
  <si>
    <t>2019-09-20</t>
  </si>
  <si>
    <t>35栋-2-501</t>
  </si>
  <si>
    <t>24栋-1-301</t>
  </si>
  <si>
    <t>2019-08-31</t>
  </si>
  <si>
    <t>31栋-2-501</t>
  </si>
  <si>
    <t>27栋-4-402</t>
  </si>
  <si>
    <t>2019-08-28</t>
  </si>
  <si>
    <t>24栋-2-401</t>
  </si>
  <si>
    <t>2019-08-26</t>
  </si>
  <si>
    <t>31栋-3-601</t>
  </si>
  <si>
    <t>23栋-3-502</t>
  </si>
  <si>
    <t>2019-08-25</t>
  </si>
  <si>
    <t>25栋-3-301</t>
  </si>
  <si>
    <t>29栋-2-602</t>
  </si>
  <si>
    <t>34栋-3-601</t>
  </si>
  <si>
    <t>31栋-1-402</t>
  </si>
  <si>
    <t>2019-08-24</t>
  </si>
  <si>
    <t>31栋-1-102</t>
  </si>
  <si>
    <t>25栋-2-402</t>
  </si>
  <si>
    <t>2019-08-14</t>
  </si>
  <si>
    <t>25栋-1-501</t>
  </si>
  <si>
    <t>2019-07-31</t>
  </si>
  <si>
    <t>34栋-1-502</t>
  </si>
  <si>
    <t>34栋-3-301</t>
  </si>
  <si>
    <t>24栋-1-401</t>
  </si>
  <si>
    <t>2019-07-29</t>
  </si>
  <si>
    <t>28栋-1-402</t>
  </si>
  <si>
    <t>34栋-2-402</t>
  </si>
  <si>
    <t>25栋-1-402</t>
  </si>
  <si>
    <t>2019-07-27</t>
  </si>
  <si>
    <t>28栋-1-602</t>
  </si>
  <si>
    <t>2019-07-26</t>
  </si>
  <si>
    <t>29栋-2-601</t>
  </si>
  <si>
    <t>34栋-1-302</t>
  </si>
  <si>
    <t>34栋-2-301</t>
  </si>
  <si>
    <t>24栋-1-502</t>
  </si>
  <si>
    <t>24栋-3-103</t>
  </si>
  <si>
    <t>34栋-3-302</t>
  </si>
  <si>
    <t>25栋-2-401</t>
  </si>
  <si>
    <t>2019-07-22</t>
  </si>
  <si>
    <t>28栋-1-601</t>
  </si>
  <si>
    <t>34栋-3-502</t>
  </si>
  <si>
    <t>28栋-2-402</t>
  </si>
  <si>
    <t>2019-07-21</t>
  </si>
  <si>
    <t>34栋-3-402</t>
  </si>
  <si>
    <t>2019-07-18</t>
  </si>
  <si>
    <t>34栋-3-602</t>
  </si>
  <si>
    <t>34栋-2-103</t>
  </si>
  <si>
    <t>28栋-2-401</t>
  </si>
  <si>
    <t>2019-07-15</t>
  </si>
  <si>
    <t>29栋-3-402</t>
  </si>
  <si>
    <t>2019-07-13</t>
  </si>
  <si>
    <t>29栋-3-502</t>
  </si>
  <si>
    <t>2019-07-12</t>
  </si>
  <si>
    <t>34栋-2-302</t>
  </si>
  <si>
    <t>25栋-2-302</t>
  </si>
  <si>
    <t>2019-07-10</t>
  </si>
  <si>
    <t>25栋-3-302</t>
  </si>
  <si>
    <t>29栋-1-301</t>
  </si>
  <si>
    <t>31栋-1-601</t>
  </si>
  <si>
    <t>29栋-1-602</t>
  </si>
  <si>
    <t>2019-07-06</t>
  </si>
  <si>
    <t>31栋-1-602</t>
  </si>
  <si>
    <t>31栋-1-301</t>
  </si>
  <si>
    <t>2019-07-04</t>
  </si>
  <si>
    <t>31栋-1-502</t>
  </si>
  <si>
    <t>2019-07-03</t>
  </si>
  <si>
    <t>28栋-2-501</t>
  </si>
  <si>
    <t>2019-07-02</t>
  </si>
  <si>
    <t>23栋-1-502</t>
  </si>
  <si>
    <t>24栋-3-602</t>
  </si>
  <si>
    <t>25栋-1-102</t>
  </si>
  <si>
    <t>25栋-2-602</t>
  </si>
  <si>
    <t>28栋-3-602</t>
  </si>
  <si>
    <t>29栋-1-401</t>
  </si>
  <si>
    <t>29栋-1-502</t>
  </si>
  <si>
    <t>32栋-1-102</t>
  </si>
  <si>
    <t>24栋-1-501</t>
  </si>
  <si>
    <t>2019-06-29</t>
  </si>
  <si>
    <t>24栋-2-501</t>
  </si>
  <si>
    <t>25栋-1-502</t>
  </si>
  <si>
    <t>28栋-1-501</t>
  </si>
  <si>
    <t>29栋-2-502</t>
  </si>
  <si>
    <t>34栋-3-401</t>
  </si>
  <si>
    <t>24栋-3-501</t>
  </si>
  <si>
    <t>25栋-3-103</t>
  </si>
  <si>
    <t>34栋-1-402</t>
  </si>
  <si>
    <t>25栋-3-402</t>
  </si>
  <si>
    <t>27栋-1-501</t>
  </si>
  <si>
    <t>28栋-3-103</t>
  </si>
  <si>
    <t>31栋-1-401</t>
  </si>
  <si>
    <t>25栋-1-401</t>
  </si>
  <si>
    <t>28栋-1-502</t>
  </si>
  <si>
    <t>28栋-3-402</t>
  </si>
  <si>
    <t>29栋-1-102</t>
  </si>
  <si>
    <t>29栋-2-501</t>
  </si>
  <si>
    <t>31栋-2-502</t>
  </si>
  <si>
    <t>31栋-2-601</t>
  </si>
  <si>
    <t>31栋-2-602</t>
  </si>
  <si>
    <t>34栋-1-501</t>
  </si>
  <si>
    <t>34栋-2-401</t>
  </si>
  <si>
    <t>34栋-2-501</t>
  </si>
  <si>
    <t>23栋-1-501</t>
  </si>
  <si>
    <t>2019-06-25</t>
  </si>
  <si>
    <t>24栋-3-502</t>
  </si>
  <si>
    <t>25栋-1-601</t>
  </si>
  <si>
    <t>28栋-1-401</t>
  </si>
  <si>
    <t>28栋-2-301</t>
  </si>
  <si>
    <t>28栋-2-502</t>
  </si>
  <si>
    <t>34栋-1-401</t>
  </si>
  <si>
    <t>25栋-2-502</t>
  </si>
  <si>
    <t>25栋-3-502</t>
  </si>
  <si>
    <t>29栋-3-501</t>
  </si>
  <si>
    <t>34栋-1-102</t>
  </si>
  <si>
    <t>34栋-1-301</t>
  </si>
  <si>
    <t>23栋-4-602</t>
  </si>
  <si>
    <t>2019-06-23</t>
  </si>
  <si>
    <t>24栋-3-402</t>
  </si>
  <si>
    <t>25栋-2-301</t>
  </si>
  <si>
    <t>25栋-3-501</t>
  </si>
  <si>
    <t>25栋-3-601</t>
  </si>
  <si>
    <t>29栋-1-501</t>
  </si>
  <si>
    <t>31栋-1-501</t>
  </si>
  <si>
    <t>25栋-2-501</t>
  </si>
  <si>
    <t>2019-06-22</t>
  </si>
  <si>
    <t>28栋-1-301</t>
  </si>
  <si>
    <t>28栋-3-501</t>
  </si>
  <si>
    <t>利息：取LPR加浮动点数</t>
  </si>
  <si>
    <t>小高层</t>
  </si>
  <si>
    <t>钢混</t>
    <phoneticPr fontId="3" type="noConversion"/>
  </si>
  <si>
    <t>混合</t>
    <phoneticPr fontId="24" type="noConversion"/>
  </si>
  <si>
    <t>较好</t>
    <phoneticPr fontId="3" type="noConversion"/>
  </si>
  <si>
    <t>精装修</t>
    <phoneticPr fontId="3" type="noConversion"/>
  </si>
  <si>
    <t>专业</t>
    <phoneticPr fontId="3" type="noConversion"/>
  </si>
  <si>
    <t>七通</t>
    <phoneticPr fontId="3" type="noConversion"/>
  </si>
  <si>
    <t>平层</t>
    <phoneticPr fontId="3" type="noConversion"/>
  </si>
  <si>
    <t>精装修</t>
  </si>
  <si>
    <t>普通装修</t>
  </si>
  <si>
    <t>毛坯</t>
  </si>
  <si>
    <t>熙湖悦著</t>
    <phoneticPr fontId="3" type="noConversion"/>
  </si>
  <si>
    <t>正常</t>
  </si>
  <si>
    <t>住宅</t>
    <phoneticPr fontId="24" type="noConversion"/>
  </si>
  <si>
    <t>七通</t>
  </si>
  <si>
    <t>金地·大湖风华</t>
    <phoneticPr fontId="134" type="noConversion"/>
  </si>
  <si>
    <t>https://newhouse.fang.com/loupan/1010127253/housedetail.htm</t>
  </si>
  <si>
    <t>https://newhouse.fang.com/loupan/1010123387/housedetail.htm</t>
  </si>
  <si>
    <t>https://newhouse.fang.com/loupan/1010126979/housedetail.htm</t>
  </si>
  <si>
    <t>https://newhouse.fang.com/loupan/1010122371/housedetail.htm</t>
  </si>
  <si>
    <t>金地大湖风华</t>
    <phoneticPr fontId="134" type="noConversion"/>
  </si>
  <si>
    <t>天恒·京西悦府</t>
    <phoneticPr fontId="134" type="noConversion"/>
  </si>
  <si>
    <t>天恒·摩墅</t>
    <phoneticPr fontId="134" type="noConversion"/>
  </si>
  <si>
    <t>比例</t>
    <phoneticPr fontId="134" type="noConversion"/>
  </si>
  <si>
    <t>熙湖悦著</t>
    <phoneticPr fontId="134" type="noConversion"/>
  </si>
  <si>
    <t>东亚朗悦居</t>
    <phoneticPr fontId="134" type="noConversion"/>
  </si>
  <si>
    <t>北京半岛</t>
    <phoneticPr fontId="134" type="noConversion"/>
  </si>
  <si>
    <t>中国铁建·山语澜廷</t>
    <phoneticPr fontId="134" type="noConversion"/>
  </si>
  <si>
    <t>中骏云景台</t>
    <phoneticPr fontId="134" type="noConversion"/>
  </si>
  <si>
    <t>北京恒大御峰</t>
    <phoneticPr fontId="134" type="noConversion"/>
  </si>
  <si>
    <t>洋房</t>
    <phoneticPr fontId="134" type="noConversion"/>
  </si>
  <si>
    <t>叠拼</t>
    <phoneticPr fontId="134" type="noConversion"/>
  </si>
  <si>
    <t>复式</t>
    <phoneticPr fontId="134" type="noConversion"/>
  </si>
  <si>
    <t>联排</t>
    <phoneticPr fontId="134" type="noConversion"/>
  </si>
  <si>
    <t>叠拼</t>
    <phoneticPr fontId="134" type="noConversion"/>
  </si>
  <si>
    <t>联排</t>
    <phoneticPr fontId="134" type="noConversion"/>
  </si>
  <si>
    <t>复式</t>
    <phoneticPr fontId="134" type="noConversion"/>
  </si>
  <si>
    <t>楼号</t>
    <phoneticPr fontId="134" type="noConversion"/>
  </si>
  <si>
    <t>跃层</t>
    <phoneticPr fontId="134" type="noConversion"/>
  </si>
  <si>
    <t>均价</t>
    <phoneticPr fontId="134" type="noConversion"/>
  </si>
  <si>
    <t>估价对象建委成交数据</t>
    <phoneticPr fontId="134" type="noConversion"/>
  </si>
  <si>
    <t>中指成交数据</t>
    <phoneticPr fontId="134" type="noConversion"/>
  </si>
  <si>
    <t>收益法</t>
  </si>
  <si>
    <t>押一</t>
  </si>
  <si>
    <t>钢混</t>
  </si>
  <si>
    <t>非生产用房</t>
  </si>
  <si>
    <t>比较法</t>
  </si>
  <si>
    <t>否</t>
  </si>
  <si>
    <t>比较法-洋房</t>
  </si>
  <si>
    <t>比较法-洋房</t>
    <phoneticPr fontId="16" type="noConversion"/>
  </si>
  <si>
    <t>成本法-洋房</t>
  </si>
  <si>
    <t>成本法-洋房</t>
    <phoneticPr fontId="16" type="noConversion"/>
  </si>
  <si>
    <t>建委成交案例比例</t>
    <phoneticPr fontId="134" type="noConversion"/>
  </si>
  <si>
    <t>项目本身销售价格比例</t>
    <phoneticPr fontId="134" type="noConversion"/>
  </si>
  <si>
    <t>建委成交案例比例修正</t>
    <phoneticPr fontId="134" type="noConversion"/>
  </si>
  <si>
    <t>项目本身销售价格比例修正</t>
    <phoneticPr fontId="134" type="noConversion"/>
  </si>
  <si>
    <t>评估单价</t>
    <phoneticPr fontId="134" type="noConversion"/>
  </si>
  <si>
    <t>评估总值</t>
    <phoneticPr fontId="134" type="noConversion"/>
  </si>
  <si>
    <t>收益法-车位</t>
  </si>
  <si>
    <t>收益法-车位</t>
    <phoneticPr fontId="16" type="noConversion"/>
  </si>
  <si>
    <t>成本法-车位</t>
  </si>
  <si>
    <t>成本法-车位</t>
    <phoneticPr fontId="16" type="noConversion"/>
  </si>
  <si>
    <t>住宅均价</t>
    <phoneticPr fontId="134" type="noConversion"/>
  </si>
  <si>
    <t>专业</t>
  </si>
  <si>
    <t>面积</t>
    <phoneticPr fontId="134" type="noConversion"/>
  </si>
  <si>
    <t>套数</t>
    <phoneticPr fontId="134" type="noConversion"/>
  </si>
  <si>
    <t>中国铁建·山语澜廷</t>
    <phoneticPr fontId="134" type="noConversion"/>
  </si>
  <si>
    <t>跃层绑定仓储</t>
    <phoneticPr fontId="134" type="noConversion"/>
  </si>
  <si>
    <t>项目</t>
    <phoneticPr fontId="134" type="noConversion"/>
  </si>
  <si>
    <t>类型</t>
    <phoneticPr fontId="134" type="noConversion"/>
  </si>
  <si>
    <t>价格范围</t>
    <phoneticPr fontId="134" type="noConversion"/>
  </si>
  <si>
    <r>
      <t>2</t>
    </r>
    <r>
      <rPr>
        <sz val="11"/>
        <color theme="1"/>
        <rFont val="宋体"/>
        <family val="3"/>
        <charset val="134"/>
        <scheme val="minor"/>
      </rPr>
      <t>7000-28000</t>
    </r>
    <phoneticPr fontId="134" type="noConversion"/>
  </si>
  <si>
    <t>独栋别墅</t>
    <phoneticPr fontId="134" type="noConversion"/>
  </si>
  <si>
    <r>
      <t>V</t>
    </r>
    <r>
      <rPr>
        <sz val="11"/>
        <color theme="1"/>
        <rFont val="宋体"/>
        <family val="3"/>
        <charset val="134"/>
        <scheme val="minor"/>
      </rPr>
      <t>7北湖壹号</t>
    </r>
    <phoneticPr fontId="134" type="noConversion"/>
  </si>
  <si>
    <t>二手房</t>
    <phoneticPr fontId="134" type="noConversion"/>
  </si>
  <si>
    <t>天恒摩墅</t>
    <phoneticPr fontId="134" type="noConversion"/>
  </si>
  <si>
    <t>上叠</t>
    <phoneticPr fontId="134" type="noConversion"/>
  </si>
  <si>
    <t>一单元1</t>
  </si>
  <si>
    <t>现：京(2021)房不动产权第0032549号</t>
  </si>
  <si>
    <t>二单元2</t>
  </si>
  <si>
    <t>现：京(2021)房不动产权第0032547号</t>
  </si>
  <si>
    <t>现：京(2021)房不动产权第0032733号</t>
  </si>
  <si>
    <t>二单元4</t>
  </si>
  <si>
    <t>四单元3</t>
  </si>
  <si>
    <t>四单元1</t>
  </si>
  <si>
    <t>四单元2</t>
  </si>
  <si>
    <t>一单元2</t>
  </si>
  <si>
    <t>现：京(2021)房不动产权第0032734号</t>
  </si>
  <si>
    <t>二单元1</t>
  </si>
  <si>
    <t>14号楼</t>
  </si>
  <si>
    <t>现：京(2021)房不动产权第0032736号</t>
  </si>
  <si>
    <t>现：京(2021)房不动产权第0025434号</t>
  </si>
  <si>
    <t>现：京(2021)房不动产权第0032233号</t>
  </si>
  <si>
    <t>四单元4</t>
  </si>
  <si>
    <t>中国铁建·山语澜廷中指</t>
    <phoneticPr fontId="134" type="noConversion"/>
  </si>
  <si>
    <t>平层</t>
  </si>
  <si>
    <t>总货值</t>
    <phoneticPr fontId="134" type="noConversion"/>
  </si>
  <si>
    <t>增幅</t>
    <phoneticPr fontId="134" type="noConversion"/>
  </si>
  <si>
    <t>2020-04-08</t>
  </si>
  <si>
    <t>2019-08-13</t>
  </si>
  <si>
    <t>2020-04-14</t>
  </si>
  <si>
    <t>累计已售货值（数据更新到6.30）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</si>
</sst>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000000"/>
      <name val="宋体"/>
      <family val="3"/>
      <charset val="134"/>
    </font>
    <font>
      <sz val="10"/>
      <color rgb="FF000000"/>
      <name val="微软雅黑"/>
      <family val="2"/>
      <charset val="134"/>
    </font>
    <font>
      <sz val="11"/>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0" borderId="1" xfId="0" applyFont="1" applyBorder="1" applyAlignment="1">
      <alignment horizontal="center" vertical="center" wrapText="1" readingOrder="1"/>
    </xf>
    <xf numFmtId="185" fontId="163" fillId="0" borderId="1" xfId="0" applyNumberFormat="1" applyFont="1" applyBorder="1" applyAlignment="1">
      <alignment horizontal="center" vertical="center" wrapText="1" readingOrder="1"/>
    </xf>
    <xf numFmtId="0" fontId="163" fillId="0" borderId="1" xfId="0" applyFont="1" applyBorder="1" applyAlignment="1">
      <alignment horizontal="center" vertical="center" wrapText="1" readingOrder="1"/>
    </xf>
    <xf numFmtId="177" fontId="163" fillId="0" borderId="1" xfId="0" applyNumberFormat="1" applyFont="1" applyBorder="1" applyAlignment="1">
      <alignment horizontal="center" vertical="center" wrapText="1" readingOrder="1"/>
    </xf>
    <xf numFmtId="185" fontId="269" fillId="0" borderId="1" xfId="0" applyNumberFormat="1" applyFont="1" applyBorder="1" applyAlignment="1">
      <alignment horizontal="center" vertical="center" wrapText="1" readingOrder="1"/>
    </xf>
    <xf numFmtId="1" fontId="269" fillId="0" borderId="1" xfId="0" applyNumberFormat="1" applyFont="1" applyBorder="1" applyAlignment="1">
      <alignment horizontal="center" vertical="center" wrapText="1" readingOrder="1"/>
    </xf>
    <xf numFmtId="0" fontId="19" fillId="0" borderId="1" xfId="0" applyFont="1" applyBorder="1" applyAlignment="1">
      <alignment horizontal="center"/>
    </xf>
    <xf numFmtId="4" fontId="19" fillId="0" borderId="1" xfId="0" applyNumberFormat="1" applyFont="1" applyBorder="1" applyAlignment="1">
      <alignment horizontal="center" vertical="center"/>
    </xf>
    <xf numFmtId="0" fontId="0" fillId="0" borderId="1" xfId="0" applyBorder="1" applyAlignment="1">
      <alignment horizontal="center" vertical="center"/>
    </xf>
    <xf numFmtId="0" fontId="270" fillId="0" borderId="1" xfId="0" applyFont="1" applyBorder="1" applyAlignment="1">
      <alignment horizontal="center"/>
    </xf>
    <xf numFmtId="0" fontId="0" fillId="0" borderId="0" xfId="0" applyAlignment="1">
      <alignment horizontal="center" vertical="center"/>
    </xf>
    <xf numFmtId="14" fontId="0" fillId="0" borderId="0" xfId="0" applyNumberFormat="1" applyAlignment="1"/>
    <xf numFmtId="0" fontId="0" fillId="5" borderId="0" xfId="0" applyFill="1" applyAlignment="1"/>
    <xf numFmtId="0" fontId="163" fillId="0" borderId="1" xfId="0" applyFont="1" applyBorder="1" applyAlignment="1" applyProtection="1">
      <alignment horizontal="left" vertical="center" wrapText="1" readingOrder="1"/>
      <protection locked="0"/>
    </xf>
    <xf numFmtId="177"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79" fontId="47" fillId="17" borderId="1" xfId="0" applyNumberFormat="1" applyFont="1" applyFill="1" applyBorder="1" applyAlignment="1" applyProtection="1">
      <alignment horizontal="center" vertical="center" wrapText="1"/>
    </xf>
    <xf numFmtId="177" fontId="53" fillId="17" borderId="1" xfId="1" applyNumberFormat="1" applyFont="1" applyFill="1" applyBorder="1" applyAlignment="1" applyProtection="1">
      <alignment horizontal="center"/>
    </xf>
    <xf numFmtId="177" fontId="59" fillId="17" borderId="1" xfId="1" applyNumberFormat="1" applyFont="1" applyFill="1" applyBorder="1" applyAlignment="1" applyProtection="1">
      <alignment horizontal="center"/>
    </xf>
    <xf numFmtId="181" fontId="47" fillId="17" borderId="10" xfId="0" applyNumberFormat="1" applyFont="1" applyFill="1" applyBorder="1" applyAlignment="1" applyProtection="1">
      <alignment horizontal="center" vertical="center"/>
      <protection locked="0"/>
    </xf>
    <xf numFmtId="0" fontId="51" fillId="0" borderId="1"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5" borderId="0" xfId="0" applyFont="1" applyFill="1" applyAlignment="1"/>
    <xf numFmtId="14" fontId="0" fillId="22" borderId="0" xfId="0" applyNumberFormat="1" applyFill="1" applyAlignment="1"/>
    <xf numFmtId="0" fontId="0" fillId="22" borderId="0" xfId="0" applyFill="1" applyAlignment="1"/>
    <xf numFmtId="0" fontId="95" fillId="0" borderId="0" xfId="0" applyFont="1">
      <alignment vertical="center"/>
    </xf>
    <xf numFmtId="0" fontId="0" fillId="22" borderId="1" xfId="0" applyFill="1" applyBorder="1">
      <alignment vertical="center"/>
    </xf>
    <xf numFmtId="0" fontId="95" fillId="0" borderId="1" xfId="0" applyFont="1" applyBorder="1" applyAlignment="1">
      <alignment horizontal="center" vertical="center"/>
    </xf>
    <xf numFmtId="2" fontId="0" fillId="0" borderId="1" xfId="0" applyNumberFormat="1" applyBorder="1" applyAlignment="1">
      <alignment horizontal="center" vertical="center"/>
    </xf>
    <xf numFmtId="0" fontId="108" fillId="22" borderId="1" xfId="0" applyFont="1" applyFill="1" applyBorder="1" applyAlignment="1">
      <alignment horizontal="center" vertical="center"/>
    </xf>
    <xf numFmtId="0" fontId="0" fillId="0" borderId="1" xfId="0" applyBorder="1">
      <alignment vertical="center"/>
    </xf>
    <xf numFmtId="179" fontId="0" fillId="0" borderId="0" xfId="0" applyNumberFormat="1">
      <alignment vertical="center"/>
    </xf>
    <xf numFmtId="1" fontId="0" fillId="0" borderId="1" xfId="0" applyNumberFormat="1" applyBorder="1" applyAlignment="1">
      <alignment horizontal="center" vertical="center"/>
    </xf>
    <xf numFmtId="0" fontId="271" fillId="22" borderId="1" xfId="0" applyFont="1" applyFill="1" applyBorder="1" applyAlignment="1">
      <alignment horizontal="center" vertical="center"/>
    </xf>
    <xf numFmtId="2" fontId="271" fillId="22" borderId="1" xfId="0" applyNumberFormat="1" applyFont="1" applyFill="1" applyBorder="1" applyAlignment="1">
      <alignment horizontal="center" vertical="center"/>
    </xf>
    <xf numFmtId="185" fontId="0" fillId="0" borderId="1" xfId="0" applyNumberFormat="1" applyBorder="1" applyAlignment="1">
      <alignment horizontal="center" vertical="center"/>
    </xf>
    <xf numFmtId="1" fontId="0" fillId="22" borderId="1" xfId="0" applyNumberFormat="1" applyFill="1" applyBorder="1" applyAlignment="1">
      <alignment horizontal="center" vertical="center"/>
    </xf>
    <xf numFmtId="0" fontId="0" fillId="22" borderId="1" xfId="0" applyFill="1" applyBorder="1" applyAlignment="1">
      <alignment horizontal="center" vertical="center"/>
    </xf>
    <xf numFmtId="2" fontId="0" fillId="22" borderId="1" xfId="0" applyNumberFormat="1" applyFill="1" applyBorder="1" applyAlignment="1">
      <alignment horizontal="center" vertical="center"/>
    </xf>
    <xf numFmtId="177" fontId="44" fillId="0" borderId="23" xfId="0" applyNumberFormat="1" applyFont="1" applyBorder="1" applyAlignment="1" applyProtection="1">
      <alignment horizontal="center" vertical="center"/>
      <protection locked="0"/>
    </xf>
    <xf numFmtId="177" fontId="0" fillId="22" borderId="0" xfId="0" applyNumberFormat="1" applyFill="1">
      <alignment vertical="center"/>
    </xf>
    <xf numFmtId="179" fontId="44" fillId="6" borderId="23" xfId="0" applyNumberFormat="1" applyFont="1" applyFill="1" applyBorder="1" applyAlignment="1" applyProtection="1">
      <alignment horizontal="center" vertical="center"/>
    </xf>
    <xf numFmtId="0" fontId="108" fillId="22" borderId="1" xfId="0" applyFont="1" applyFill="1" applyBorder="1">
      <alignment vertical="center"/>
    </xf>
    <xf numFmtId="0" fontId="0" fillId="0" borderId="1" xfId="0" applyBorder="1" applyAlignment="1">
      <alignment horizontal="center" vertical="center"/>
    </xf>
    <xf numFmtId="0" fontId="136" fillId="7" borderId="1" xfId="0" applyFont="1" applyFill="1" applyBorder="1" applyAlignment="1">
      <alignment horizontal="center" vertical="center" wrapText="1" readingOrder="1"/>
    </xf>
    <xf numFmtId="177" fontId="129" fillId="14" borderId="1" xfId="0" applyNumberFormat="1" applyFont="1" applyFill="1" applyBorder="1" applyAlignment="1">
      <alignment horizontal="center" vertical="center" wrapText="1" readingOrder="1"/>
    </xf>
    <xf numFmtId="1" fontId="138" fillId="14" borderId="1" xfId="0" applyNumberFormat="1" applyFont="1" applyFill="1" applyBorder="1" applyAlignment="1">
      <alignment horizontal="center" vertical="center" wrapText="1" readingOrder="1"/>
    </xf>
    <xf numFmtId="0" fontId="95" fillId="0" borderId="1" xfId="0" applyFont="1" applyFill="1" applyBorder="1" applyAlignment="1">
      <alignment horizontal="center" vertical="center"/>
    </xf>
    <xf numFmtId="0" fontId="0" fillId="0" borderId="1" xfId="0" applyFill="1" applyBorder="1" applyAlignment="1">
      <alignment horizontal="center" vertical="center"/>
    </xf>
    <xf numFmtId="1" fontId="0" fillId="0" borderId="0" xfId="0" applyNumberFormat="1">
      <alignment vertical="center"/>
    </xf>
    <xf numFmtId="1" fontId="70" fillId="3" borderId="20" xfId="0" applyNumberFormat="1" applyFont="1" applyFill="1" applyBorder="1" applyAlignment="1" applyProtection="1">
      <alignment vertical="center" wrapText="1"/>
      <protection locked="0"/>
    </xf>
    <xf numFmtId="1" fontId="70" fillId="3" borderId="51" xfId="0" applyNumberFormat="1" applyFont="1" applyFill="1" applyBorder="1" applyAlignment="1" applyProtection="1">
      <alignment vertical="center" wrapText="1"/>
      <protection locked="0"/>
    </xf>
    <xf numFmtId="0" fontId="0" fillId="0" borderId="1" xfId="0" applyBorder="1" applyAlignment="1">
      <alignment horizontal="center" vertical="center"/>
    </xf>
    <xf numFmtId="0" fontId="0" fillId="5" borderId="1" xfId="0" applyFill="1" applyBorder="1" applyAlignment="1">
      <alignment horizontal="center" vertical="center"/>
    </xf>
    <xf numFmtId="0" fontId="136" fillId="7" borderId="0" xfId="0" applyFont="1" applyFill="1" applyBorder="1" applyAlignment="1">
      <alignment horizontal="center" vertical="center" wrapText="1" readingOrder="1"/>
    </xf>
    <xf numFmtId="0" fontId="138" fillId="14" borderId="0" xfId="0" applyFont="1" applyFill="1" applyBorder="1" applyAlignment="1">
      <alignment horizontal="center" vertical="center" wrapText="1" readingOrder="1"/>
    </xf>
    <xf numFmtId="177" fontId="129" fillId="14" borderId="0" xfId="0" applyNumberFormat="1" applyFont="1" applyFill="1" applyBorder="1" applyAlignment="1">
      <alignment horizontal="center" vertical="center" wrapText="1" readingOrder="1"/>
    </xf>
    <xf numFmtId="1" fontId="138" fillId="14" borderId="0" xfId="0" applyNumberFormat="1" applyFont="1" applyFill="1" applyBorder="1" applyAlignment="1">
      <alignment horizontal="center" vertical="center" wrapText="1" readingOrder="1"/>
    </xf>
    <xf numFmtId="10" fontId="163" fillId="0" borderId="1" xfId="0" applyNumberFormat="1" applyFont="1" applyBorder="1" applyAlignment="1">
      <alignment horizontal="center" vertical="center" wrapText="1" readingOrder="1"/>
    </xf>
    <xf numFmtId="2" fontId="0" fillId="0" borderId="0" xfId="0" applyNumberFormat="1" applyAlignment="1">
      <alignment horizontal="center" vertical="center"/>
    </xf>
    <xf numFmtId="177" fontId="163" fillId="7" borderId="1" xfId="0" applyNumberFormat="1" applyFont="1" applyFill="1" applyBorder="1" applyAlignment="1">
      <alignment horizontal="center" vertical="center" wrapText="1" readingOrder="1"/>
    </xf>
    <xf numFmtId="1" fontId="138" fillId="7" borderId="1" xfId="0" applyNumberFormat="1" applyFont="1" applyFill="1" applyBorder="1" applyAlignment="1">
      <alignment horizontal="center" vertical="center" wrapText="1" readingOrder="1"/>
    </xf>
    <xf numFmtId="177" fontId="138" fillId="7" borderId="1" xfId="0" applyNumberFormat="1" applyFont="1" applyFill="1" applyBorder="1" applyAlignment="1">
      <alignment horizontal="center" vertical="center" wrapText="1" readingOrder="1"/>
    </xf>
    <xf numFmtId="0" fontId="108" fillId="7" borderId="0" xfId="0" applyFont="1" applyFill="1">
      <alignment vertical="center"/>
    </xf>
    <xf numFmtId="185" fontId="163" fillId="7" borderId="1" xfId="0" applyNumberFormat="1" applyFont="1" applyFill="1" applyBorder="1" applyAlignment="1">
      <alignment horizontal="center" vertical="center" wrapText="1" readingOrder="1"/>
    </xf>
    <xf numFmtId="176" fontId="0" fillId="22" borderId="1" xfId="0" applyNumberFormat="1" applyFill="1" applyBorder="1" applyAlignment="1">
      <alignment horizontal="center" vertical="center"/>
    </xf>
    <xf numFmtId="176" fontId="0" fillId="0" borderId="1" xfId="0" applyNumberFormat="1" applyBorder="1" applyAlignment="1">
      <alignment horizontal="center" vertical="center"/>
    </xf>
    <xf numFmtId="176" fontId="0" fillId="23" borderId="1" xfId="0" applyNumberFormat="1" applyFill="1" applyBorder="1" applyAlignment="1">
      <alignment horizontal="center" vertical="center"/>
    </xf>
    <xf numFmtId="176" fontId="95" fillId="22" borderId="1" xfId="0" applyNumberFormat="1" applyFont="1" applyFill="1" applyBorder="1" applyAlignment="1">
      <alignment horizontal="center" vertical="center"/>
    </xf>
    <xf numFmtId="185" fontId="0" fillId="5" borderId="1" xfId="0" applyNumberFormat="1" applyFill="1" applyBorder="1" applyAlignment="1">
      <alignment horizontal="center" vertical="center"/>
    </xf>
    <xf numFmtId="185" fontId="0" fillId="0" borderId="0" xfId="0" applyNumberFormat="1" applyAlignment="1">
      <alignment horizontal="center" vertical="center"/>
    </xf>
    <xf numFmtId="0" fontId="0" fillId="0" borderId="2" xfId="0" applyBorder="1" applyAlignment="1">
      <alignment horizontal="center" vertical="center"/>
    </xf>
    <xf numFmtId="185" fontId="0" fillId="0" borderId="2" xfId="0" applyNumberFormat="1" applyBorder="1" applyAlignment="1">
      <alignment horizontal="center" vertical="center"/>
    </xf>
    <xf numFmtId="0" fontId="0" fillId="0" borderId="15" xfId="0" applyBorder="1" applyAlignment="1">
      <alignment horizontal="center" vertical="center"/>
    </xf>
    <xf numFmtId="1" fontId="50" fillId="6" borderId="38" xfId="0" applyNumberFormat="1" applyFont="1" applyFill="1" applyBorder="1" applyAlignment="1" applyProtection="1">
      <alignment vertical="center" wrapText="1"/>
    </xf>
    <xf numFmtId="1" fontId="50" fillId="6" borderId="52" xfId="0" applyNumberFormat="1" applyFont="1" applyFill="1" applyBorder="1" applyAlignment="1" applyProtection="1">
      <alignment vertical="center" wrapText="1"/>
    </xf>
    <xf numFmtId="1" fontId="50" fillId="6" borderId="47"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0" fillId="5" borderId="1" xfId="0" applyFill="1" applyBorder="1" applyAlignment="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36" fillId="7" borderId="1" xfId="0" applyFont="1" applyFill="1" applyBorder="1" applyAlignment="1">
      <alignment horizontal="center" vertical="center" wrapText="1" readingOrder="1"/>
    </xf>
    <xf numFmtId="0" fontId="138" fillId="7" borderId="1" xfId="0" applyFont="1" applyFill="1" applyBorder="1" applyAlignment="1">
      <alignment horizontal="center" vertical="center" wrapText="1" readingOrder="1"/>
    </xf>
    <xf numFmtId="0" fontId="80" fillId="22" borderId="1" xfId="0" applyFont="1" applyFill="1" applyBorder="1" applyAlignment="1">
      <alignment horizontal="center" vertical="center" wrapText="1" readingOrder="1"/>
    </xf>
    <xf numFmtId="177" fontId="163" fillId="22" borderId="46" xfId="0" applyNumberFormat="1" applyFont="1" applyFill="1" applyBorder="1" applyAlignment="1">
      <alignment horizontal="center" vertical="center" wrapText="1" readingOrder="1"/>
    </xf>
    <xf numFmtId="177" fontId="163" fillId="22" borderId="58" xfId="0" applyNumberFormat="1" applyFont="1" applyFill="1" applyBorder="1" applyAlignment="1">
      <alignment horizontal="center" vertical="center" wrapText="1" readingOrder="1"/>
    </xf>
    <xf numFmtId="0" fontId="108" fillId="22" borderId="1" xfId="0" applyFont="1" applyFill="1" applyBorder="1" applyAlignment="1">
      <alignment horizontal="center" vertical="center"/>
    </xf>
    <xf numFmtId="0" fontId="138" fillId="14" borderId="13" xfId="0" applyFont="1" applyFill="1" applyBorder="1" applyAlignment="1">
      <alignment horizontal="center" vertical="center" wrapText="1" readingOrder="1"/>
    </xf>
    <xf numFmtId="0" fontId="138" fillId="14" borderId="2" xfId="0" applyFont="1" applyFill="1" applyBorder="1" applyAlignment="1">
      <alignment horizontal="center" vertical="center" wrapText="1" readingOrder="1"/>
    </xf>
    <xf numFmtId="0" fontId="138" fillId="7" borderId="13" xfId="0" applyFont="1" applyFill="1" applyBorder="1" applyAlignment="1">
      <alignment horizontal="center" vertical="center" wrapText="1" readingOrder="1"/>
    </xf>
    <xf numFmtId="0" fontId="138" fillId="7" borderId="2" xfId="0" applyFont="1" applyFill="1" applyBorder="1" applyAlignment="1">
      <alignment horizontal="center" vertical="center" wrapText="1" readingOrder="1"/>
    </xf>
    <xf numFmtId="0" fontId="0" fillId="0" borderId="58" xfId="0" applyBorder="1" applyAlignment="1">
      <alignment horizontal="center" vertical="center"/>
    </xf>
    <xf numFmtId="0" fontId="136" fillId="7" borderId="13" xfId="0" applyFont="1" applyFill="1" applyBorder="1" applyAlignment="1">
      <alignment horizontal="center" vertical="center" wrapText="1" readingOrder="1"/>
    </xf>
    <xf numFmtId="0" fontId="136" fillId="7" borderId="2" xfId="0" applyFont="1" applyFill="1" applyBorder="1" applyAlignment="1">
      <alignment horizontal="center" vertical="center" wrapText="1" readingOrder="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08" fillId="0" borderId="23" xfId="0" applyFont="1" applyFill="1" applyBorder="1" applyAlignment="1" applyProtection="1">
      <alignment horizontal="center" vertical="center" wrapText="1"/>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4" Type="http://schemas.openxmlformats.org/officeDocument/2006/relationships/image" Target="../media/image5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7.pn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png"/><Relationship Id="rId12" Type="http://schemas.openxmlformats.org/officeDocument/2006/relationships/image" Target="../media/image48.png"/><Relationship Id="rId2" Type="http://schemas.openxmlformats.org/officeDocument/2006/relationships/image" Target="../media/image38.png"/><Relationship Id="rId16" Type="http://schemas.openxmlformats.org/officeDocument/2006/relationships/image" Target="../media/image52.pn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image" Target="../media/image51.png"/><Relationship Id="rId10" Type="http://schemas.openxmlformats.org/officeDocument/2006/relationships/image" Target="../media/image46.png"/><Relationship Id="rId4" Type="http://schemas.openxmlformats.org/officeDocument/2006/relationships/image" Target="../media/image40.png"/><Relationship Id="rId9" Type="http://schemas.openxmlformats.org/officeDocument/2006/relationships/image" Target="../media/image45.png"/><Relationship Id="rId1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427760</xdr:colOff>
      <xdr:row>19</xdr:row>
      <xdr:rowOff>121227</xdr:rowOff>
    </xdr:from>
    <xdr:to>
      <xdr:col>13</xdr:col>
      <xdr:colOff>582985</xdr:colOff>
      <xdr:row>43</xdr:row>
      <xdr:rowOff>82617</xdr:rowOff>
    </xdr:to>
    <xdr:pic>
      <xdr:nvPicPr>
        <xdr:cNvPr id="3" name="图片 2">
          <a:extLst>
            <a:ext uri="{FF2B5EF4-FFF2-40B4-BE49-F238E27FC236}">
              <a16:creationId xmlns:a16="http://schemas.microsoft.com/office/drawing/2014/main" xmlns="" id="{1E1C30C7-87E3-4EFC-9218-257267EF2CDC}"/>
            </a:ext>
          </a:extLst>
        </xdr:cNvPr>
        <xdr:cNvPicPr>
          <a:picLocks noChangeAspect="1"/>
        </xdr:cNvPicPr>
      </xdr:nvPicPr>
      <xdr:blipFill>
        <a:blip xmlns:r="http://schemas.openxmlformats.org/officeDocument/2006/relationships" r:embed="rId1"/>
        <a:stretch>
          <a:fillRect/>
        </a:stretch>
      </xdr:blipFill>
      <xdr:spPr>
        <a:xfrm>
          <a:off x="6939396" y="3238500"/>
          <a:ext cx="5108225" cy="4117753"/>
        </a:xfrm>
        <a:prstGeom prst="rect">
          <a:avLst/>
        </a:prstGeom>
      </xdr:spPr>
    </xdr:pic>
    <xdr:clientData/>
  </xdr:twoCellAnchor>
  <xdr:twoCellAnchor editAs="oneCell">
    <xdr:from>
      <xdr:col>8</xdr:col>
      <xdr:colOff>180975</xdr:colOff>
      <xdr:row>28</xdr:row>
      <xdr:rowOff>63211</xdr:rowOff>
    </xdr:from>
    <xdr:to>
      <xdr:col>13</xdr:col>
      <xdr:colOff>422012</xdr:colOff>
      <xdr:row>43</xdr:row>
      <xdr:rowOff>4015</xdr:rowOff>
    </xdr:to>
    <xdr:pic>
      <xdr:nvPicPr>
        <xdr:cNvPr id="5" name="图片 4">
          <a:extLst>
            <a:ext uri="{FF2B5EF4-FFF2-40B4-BE49-F238E27FC236}">
              <a16:creationId xmlns:a16="http://schemas.microsoft.com/office/drawing/2014/main" xmlns="" id="{E99CF535-0CDB-443F-9D7F-D8404958171D}"/>
            </a:ext>
          </a:extLst>
        </xdr:cNvPr>
        <xdr:cNvPicPr>
          <a:picLocks noChangeAspect="1"/>
        </xdr:cNvPicPr>
      </xdr:nvPicPr>
      <xdr:blipFill>
        <a:blip xmlns:r="http://schemas.openxmlformats.org/officeDocument/2006/relationships" r:embed="rId2"/>
        <a:stretch>
          <a:fillRect/>
        </a:stretch>
      </xdr:blipFill>
      <xdr:spPr>
        <a:xfrm>
          <a:off x="7818293" y="4739120"/>
          <a:ext cx="4406060" cy="2538531"/>
        </a:xfrm>
        <a:prstGeom prst="rect">
          <a:avLst/>
        </a:prstGeom>
      </xdr:spPr>
    </xdr:pic>
    <xdr:clientData/>
  </xdr:twoCellAnchor>
  <xdr:twoCellAnchor editAs="oneCell">
    <xdr:from>
      <xdr:col>9</xdr:col>
      <xdr:colOff>519545</xdr:colOff>
      <xdr:row>12</xdr:row>
      <xdr:rowOff>164522</xdr:rowOff>
    </xdr:from>
    <xdr:to>
      <xdr:col>15</xdr:col>
      <xdr:colOff>339703</xdr:colOff>
      <xdr:row>17</xdr:row>
      <xdr:rowOff>48397</xdr:rowOff>
    </xdr:to>
    <xdr:pic>
      <xdr:nvPicPr>
        <xdr:cNvPr id="6" name="图片 5">
          <a:extLst>
            <a:ext uri="{FF2B5EF4-FFF2-40B4-BE49-F238E27FC236}">
              <a16:creationId xmlns:a16="http://schemas.microsoft.com/office/drawing/2014/main" xmlns="" id="{1D8CA59C-ECE8-428C-9323-A5B2039FA196}"/>
            </a:ext>
          </a:extLst>
        </xdr:cNvPr>
        <xdr:cNvPicPr>
          <a:picLocks noChangeAspect="1"/>
        </xdr:cNvPicPr>
      </xdr:nvPicPr>
      <xdr:blipFill>
        <a:blip xmlns:r="http://schemas.openxmlformats.org/officeDocument/2006/relationships" r:embed="rId3"/>
        <a:stretch>
          <a:fillRect/>
        </a:stretch>
      </xdr:blipFill>
      <xdr:spPr>
        <a:xfrm>
          <a:off x="9014113" y="2069522"/>
          <a:ext cx="4781817" cy="749784"/>
        </a:xfrm>
        <a:prstGeom prst="rect">
          <a:avLst/>
        </a:prstGeom>
      </xdr:spPr>
    </xdr:pic>
    <xdr:clientData/>
  </xdr:twoCellAnchor>
  <xdr:twoCellAnchor editAs="oneCell">
    <xdr:from>
      <xdr:col>10</xdr:col>
      <xdr:colOff>619125</xdr:colOff>
      <xdr:row>18</xdr:row>
      <xdr:rowOff>119496</xdr:rowOff>
    </xdr:from>
    <xdr:to>
      <xdr:col>16</xdr:col>
      <xdr:colOff>583894</xdr:colOff>
      <xdr:row>22</xdr:row>
      <xdr:rowOff>100363</xdr:rowOff>
    </xdr:to>
    <xdr:pic>
      <xdr:nvPicPr>
        <xdr:cNvPr id="7" name="图片 6">
          <a:extLst>
            <a:ext uri="{FF2B5EF4-FFF2-40B4-BE49-F238E27FC236}">
              <a16:creationId xmlns:a16="http://schemas.microsoft.com/office/drawing/2014/main" xmlns="" id="{B7B27166-6E85-4957-BCF4-465AD99EA965}"/>
            </a:ext>
          </a:extLst>
        </xdr:cNvPr>
        <xdr:cNvPicPr>
          <a:picLocks noChangeAspect="1"/>
        </xdr:cNvPicPr>
      </xdr:nvPicPr>
      <xdr:blipFill>
        <a:blip xmlns:r="http://schemas.openxmlformats.org/officeDocument/2006/relationships" r:embed="rId4"/>
        <a:stretch>
          <a:fillRect/>
        </a:stretch>
      </xdr:blipFill>
      <xdr:spPr>
        <a:xfrm>
          <a:off x="9113693" y="3063587"/>
          <a:ext cx="4753246" cy="673594"/>
        </a:xfrm>
        <a:prstGeom prst="rect">
          <a:avLst/>
        </a:prstGeom>
      </xdr:spPr>
    </xdr:pic>
    <xdr:clientData/>
  </xdr:twoCellAnchor>
  <xdr:twoCellAnchor editAs="oneCell">
    <xdr:from>
      <xdr:col>0</xdr:col>
      <xdr:colOff>0</xdr:colOff>
      <xdr:row>67</xdr:row>
      <xdr:rowOff>0</xdr:rowOff>
    </xdr:from>
    <xdr:to>
      <xdr:col>6</xdr:col>
      <xdr:colOff>339489</xdr:colOff>
      <xdr:row>98</xdr:row>
      <xdr:rowOff>31364</xdr:rowOff>
    </xdr:to>
    <xdr:pic>
      <xdr:nvPicPr>
        <xdr:cNvPr id="8" name="图片 7">
          <a:extLst>
            <a:ext uri="{FF2B5EF4-FFF2-40B4-BE49-F238E27FC236}">
              <a16:creationId xmlns:a16="http://schemas.microsoft.com/office/drawing/2014/main" xmlns="" id="{FDE3A54F-0018-4555-95D8-DAC97B8FEF3B}"/>
            </a:ext>
          </a:extLst>
        </xdr:cNvPr>
        <xdr:cNvPicPr>
          <a:picLocks noChangeAspect="1"/>
        </xdr:cNvPicPr>
      </xdr:nvPicPr>
      <xdr:blipFill>
        <a:blip xmlns:r="http://schemas.openxmlformats.org/officeDocument/2006/relationships" r:embed="rId5"/>
        <a:stretch>
          <a:fillRect/>
        </a:stretch>
      </xdr:blipFill>
      <xdr:spPr>
        <a:xfrm>
          <a:off x="0" y="11430000"/>
          <a:ext cx="6504762" cy="5400000"/>
        </a:xfrm>
        <a:prstGeom prst="rect">
          <a:avLst/>
        </a:prstGeom>
      </xdr:spPr>
    </xdr:pic>
    <xdr:clientData/>
  </xdr:twoCellAnchor>
  <xdr:twoCellAnchor editAs="oneCell">
    <xdr:from>
      <xdr:col>0</xdr:col>
      <xdr:colOff>718704</xdr:colOff>
      <xdr:row>13</xdr:row>
      <xdr:rowOff>72812</xdr:rowOff>
    </xdr:from>
    <xdr:to>
      <xdr:col>10</xdr:col>
      <xdr:colOff>441615</xdr:colOff>
      <xdr:row>23</xdr:row>
      <xdr:rowOff>49090</xdr:rowOff>
    </xdr:to>
    <xdr:pic>
      <xdr:nvPicPr>
        <xdr:cNvPr id="2" name="图片 1">
          <a:extLst>
            <a:ext uri="{FF2B5EF4-FFF2-40B4-BE49-F238E27FC236}">
              <a16:creationId xmlns:a16="http://schemas.microsoft.com/office/drawing/2014/main" xmlns="" id="{C66C7497-83AA-439F-91B8-335DCF11F345}"/>
            </a:ext>
          </a:extLst>
        </xdr:cNvPr>
        <xdr:cNvPicPr>
          <a:picLocks noChangeAspect="1"/>
        </xdr:cNvPicPr>
      </xdr:nvPicPr>
      <xdr:blipFill>
        <a:blip xmlns:r="http://schemas.openxmlformats.org/officeDocument/2006/relationships" r:embed="rId6"/>
        <a:stretch>
          <a:fillRect/>
        </a:stretch>
      </xdr:blipFill>
      <xdr:spPr>
        <a:xfrm>
          <a:off x="718704" y="2150994"/>
          <a:ext cx="9074729" cy="1708096"/>
        </a:xfrm>
        <a:prstGeom prst="rect">
          <a:avLst/>
        </a:prstGeom>
      </xdr:spPr>
    </xdr:pic>
    <xdr:clientData/>
  </xdr:twoCellAnchor>
  <xdr:twoCellAnchor editAs="oneCell">
    <xdr:from>
      <xdr:col>0</xdr:col>
      <xdr:colOff>580158</xdr:colOff>
      <xdr:row>13</xdr:row>
      <xdr:rowOff>138544</xdr:rowOff>
    </xdr:from>
    <xdr:to>
      <xdr:col>8</xdr:col>
      <xdr:colOff>337968</xdr:colOff>
      <xdr:row>29</xdr:row>
      <xdr:rowOff>116798</xdr:rowOff>
    </xdr:to>
    <xdr:pic>
      <xdr:nvPicPr>
        <xdr:cNvPr id="4" name="图片 3">
          <a:extLst>
            <a:ext uri="{FF2B5EF4-FFF2-40B4-BE49-F238E27FC236}">
              <a16:creationId xmlns:a16="http://schemas.microsoft.com/office/drawing/2014/main" xmlns="" id="{613C11F5-7904-4270-BECA-30E72810EC53}"/>
            </a:ext>
          </a:extLst>
        </xdr:cNvPr>
        <xdr:cNvPicPr>
          <a:picLocks noChangeAspect="1"/>
        </xdr:cNvPicPr>
      </xdr:nvPicPr>
      <xdr:blipFill>
        <a:blip xmlns:r="http://schemas.openxmlformats.org/officeDocument/2006/relationships" r:embed="rId7"/>
        <a:stretch>
          <a:fillRect/>
        </a:stretch>
      </xdr:blipFill>
      <xdr:spPr>
        <a:xfrm>
          <a:off x="580158" y="2216726"/>
          <a:ext cx="7395128" cy="2749163"/>
        </a:xfrm>
        <a:prstGeom prst="rect">
          <a:avLst/>
        </a:prstGeom>
      </xdr:spPr>
    </xdr:pic>
    <xdr:clientData/>
  </xdr:twoCellAnchor>
  <xdr:twoCellAnchor editAs="oneCell">
    <xdr:from>
      <xdr:col>0</xdr:col>
      <xdr:colOff>268431</xdr:colOff>
      <xdr:row>15</xdr:row>
      <xdr:rowOff>103908</xdr:rowOff>
    </xdr:from>
    <xdr:to>
      <xdr:col>6</xdr:col>
      <xdr:colOff>579348</xdr:colOff>
      <xdr:row>24</xdr:row>
      <xdr:rowOff>40509</xdr:rowOff>
    </xdr:to>
    <xdr:pic>
      <xdr:nvPicPr>
        <xdr:cNvPr id="11" name="图片 10">
          <a:extLst>
            <a:ext uri="{FF2B5EF4-FFF2-40B4-BE49-F238E27FC236}">
              <a16:creationId xmlns:a16="http://schemas.microsoft.com/office/drawing/2014/main" xmlns="" id="{0FABA242-111B-4582-ABAF-F2B9265C9E68}"/>
            </a:ext>
          </a:extLst>
        </xdr:cNvPr>
        <xdr:cNvPicPr>
          <a:picLocks noChangeAspect="1"/>
        </xdr:cNvPicPr>
      </xdr:nvPicPr>
      <xdr:blipFill>
        <a:blip xmlns:r="http://schemas.openxmlformats.org/officeDocument/2006/relationships" r:embed="rId8"/>
        <a:stretch>
          <a:fillRect/>
        </a:stretch>
      </xdr:blipFill>
      <xdr:spPr>
        <a:xfrm>
          <a:off x="268431" y="2528453"/>
          <a:ext cx="6476190" cy="14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7</xdr:col>
      <xdr:colOff>704084</xdr:colOff>
      <xdr:row>130</xdr:row>
      <xdr:rowOff>47019</xdr:rowOff>
    </xdr:to>
    <xdr:pic>
      <xdr:nvPicPr>
        <xdr:cNvPr id="2" name="图片 1">
          <a:extLst>
            <a:ext uri="{FF2B5EF4-FFF2-40B4-BE49-F238E27FC236}">
              <a16:creationId xmlns:a16="http://schemas.microsoft.com/office/drawing/2014/main" xmlns="" id="{9649010D-E5C9-4B13-B6B9-33DC6C779892}"/>
            </a:ext>
          </a:extLst>
        </xdr:cNvPr>
        <xdr:cNvPicPr>
          <a:picLocks noChangeAspect="1"/>
        </xdr:cNvPicPr>
      </xdr:nvPicPr>
      <xdr:blipFill>
        <a:blip xmlns:r="http://schemas.openxmlformats.org/officeDocument/2006/relationships" r:embed="rId1"/>
        <a:stretch>
          <a:fillRect/>
        </a:stretch>
      </xdr:blipFill>
      <xdr:spPr>
        <a:xfrm>
          <a:off x="0" y="17487900"/>
          <a:ext cx="6123809" cy="4847619"/>
        </a:xfrm>
        <a:prstGeom prst="rect">
          <a:avLst/>
        </a:prstGeom>
      </xdr:spPr>
    </xdr:pic>
    <xdr:clientData/>
  </xdr:twoCellAnchor>
  <xdr:twoCellAnchor editAs="oneCell">
    <xdr:from>
      <xdr:col>7</xdr:col>
      <xdr:colOff>733425</xdr:colOff>
      <xdr:row>102</xdr:row>
      <xdr:rowOff>66675</xdr:rowOff>
    </xdr:from>
    <xdr:to>
      <xdr:col>16</xdr:col>
      <xdr:colOff>599271</xdr:colOff>
      <xdr:row>129</xdr:row>
      <xdr:rowOff>56573</xdr:rowOff>
    </xdr:to>
    <xdr:pic>
      <xdr:nvPicPr>
        <xdr:cNvPr id="3" name="图片 2">
          <a:extLst>
            <a:ext uri="{FF2B5EF4-FFF2-40B4-BE49-F238E27FC236}">
              <a16:creationId xmlns:a16="http://schemas.microsoft.com/office/drawing/2014/main" xmlns="" id="{D6A7E2F3-00DF-4A6A-92DF-31C4A425F6B4}"/>
            </a:ext>
          </a:extLst>
        </xdr:cNvPr>
        <xdr:cNvPicPr>
          <a:picLocks noChangeAspect="1"/>
        </xdr:cNvPicPr>
      </xdr:nvPicPr>
      <xdr:blipFill>
        <a:blip xmlns:r="http://schemas.openxmlformats.org/officeDocument/2006/relationships" r:embed="rId2"/>
        <a:stretch>
          <a:fillRect/>
        </a:stretch>
      </xdr:blipFill>
      <xdr:spPr>
        <a:xfrm>
          <a:off x="6153150" y="17554575"/>
          <a:ext cx="6428571" cy="4619048"/>
        </a:xfrm>
        <a:prstGeom prst="rect">
          <a:avLst/>
        </a:prstGeom>
      </xdr:spPr>
    </xdr:pic>
    <xdr:clientData/>
  </xdr:twoCellAnchor>
  <xdr:twoCellAnchor editAs="oneCell">
    <xdr:from>
      <xdr:col>0</xdr:col>
      <xdr:colOff>0</xdr:colOff>
      <xdr:row>131</xdr:row>
      <xdr:rowOff>0</xdr:rowOff>
    </xdr:from>
    <xdr:to>
      <xdr:col>7</xdr:col>
      <xdr:colOff>713608</xdr:colOff>
      <xdr:row>156</xdr:row>
      <xdr:rowOff>113750</xdr:rowOff>
    </xdr:to>
    <xdr:pic>
      <xdr:nvPicPr>
        <xdr:cNvPr id="4" name="图片 3">
          <a:extLst>
            <a:ext uri="{FF2B5EF4-FFF2-40B4-BE49-F238E27FC236}">
              <a16:creationId xmlns:a16="http://schemas.microsoft.com/office/drawing/2014/main" xmlns="" id="{AC203570-42B5-4449-A537-BC4989C7737B}"/>
            </a:ext>
          </a:extLst>
        </xdr:cNvPr>
        <xdr:cNvPicPr>
          <a:picLocks noChangeAspect="1"/>
        </xdr:cNvPicPr>
      </xdr:nvPicPr>
      <xdr:blipFill>
        <a:blip xmlns:r="http://schemas.openxmlformats.org/officeDocument/2006/relationships" r:embed="rId3"/>
        <a:stretch>
          <a:fillRect/>
        </a:stretch>
      </xdr:blipFill>
      <xdr:spPr>
        <a:xfrm>
          <a:off x="0" y="22459950"/>
          <a:ext cx="6133333" cy="4400000"/>
        </a:xfrm>
        <a:prstGeom prst="rect">
          <a:avLst/>
        </a:prstGeom>
      </xdr:spPr>
    </xdr:pic>
    <xdr:clientData/>
  </xdr:twoCellAnchor>
  <xdr:twoCellAnchor editAs="oneCell">
    <xdr:from>
      <xdr:col>7</xdr:col>
      <xdr:colOff>866775</xdr:colOff>
      <xdr:row>129</xdr:row>
      <xdr:rowOff>161925</xdr:rowOff>
    </xdr:from>
    <xdr:to>
      <xdr:col>16</xdr:col>
      <xdr:colOff>599288</xdr:colOff>
      <xdr:row>154</xdr:row>
      <xdr:rowOff>75675</xdr:rowOff>
    </xdr:to>
    <xdr:pic>
      <xdr:nvPicPr>
        <xdr:cNvPr id="5" name="图片 4">
          <a:extLst>
            <a:ext uri="{FF2B5EF4-FFF2-40B4-BE49-F238E27FC236}">
              <a16:creationId xmlns:a16="http://schemas.microsoft.com/office/drawing/2014/main" xmlns="" id="{0282DC35-8C8B-4773-BB10-3E77A51BF52E}"/>
            </a:ext>
          </a:extLst>
        </xdr:cNvPr>
        <xdr:cNvPicPr>
          <a:picLocks noChangeAspect="1"/>
        </xdr:cNvPicPr>
      </xdr:nvPicPr>
      <xdr:blipFill>
        <a:blip xmlns:r="http://schemas.openxmlformats.org/officeDocument/2006/relationships" r:embed="rId4"/>
        <a:stretch>
          <a:fillRect/>
        </a:stretch>
      </xdr:blipFill>
      <xdr:spPr>
        <a:xfrm>
          <a:off x="6286500" y="22278975"/>
          <a:ext cx="6295238" cy="42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323850</xdr:colOff>
      <xdr:row>10</xdr:row>
      <xdr:rowOff>9525</xdr:rowOff>
    </xdr:from>
    <xdr:to>
      <xdr:col>26</xdr:col>
      <xdr:colOff>104117</xdr:colOff>
      <xdr:row>36</xdr:row>
      <xdr:rowOff>151825</xdr:rowOff>
    </xdr:to>
    <xdr:pic>
      <xdr:nvPicPr>
        <xdr:cNvPr id="4" name="图片 3">
          <a:extLst>
            <a:ext uri="{FF2B5EF4-FFF2-40B4-BE49-F238E27FC236}">
              <a16:creationId xmlns:a16="http://schemas.microsoft.com/office/drawing/2014/main" xmlns="" id="{CC553213-EB51-4B38-93DB-371984F6AD53}"/>
            </a:ext>
          </a:extLst>
        </xdr:cNvPr>
        <xdr:cNvPicPr>
          <a:picLocks noChangeAspect="1"/>
        </xdr:cNvPicPr>
      </xdr:nvPicPr>
      <xdr:blipFill>
        <a:blip xmlns:r="http://schemas.openxmlformats.org/officeDocument/2006/relationships" r:embed="rId1"/>
        <a:stretch>
          <a:fillRect/>
        </a:stretch>
      </xdr:blipFill>
      <xdr:spPr>
        <a:xfrm>
          <a:off x="12925425" y="1743075"/>
          <a:ext cx="5266667" cy="46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46762</xdr:colOff>
      <xdr:row>29</xdr:row>
      <xdr:rowOff>85093</xdr:rowOff>
    </xdr:to>
    <xdr:pic>
      <xdr:nvPicPr>
        <xdr:cNvPr id="2" name="图片 1">
          <a:extLst>
            <a:ext uri="{FF2B5EF4-FFF2-40B4-BE49-F238E27FC236}">
              <a16:creationId xmlns:a16="http://schemas.microsoft.com/office/drawing/2014/main" xmlns="" id="{CBCFD7BA-DE81-4471-B73B-107D845CFFF6}"/>
            </a:ext>
          </a:extLst>
        </xdr:cNvPr>
        <xdr:cNvPicPr>
          <a:picLocks noChangeAspect="1"/>
        </xdr:cNvPicPr>
      </xdr:nvPicPr>
      <xdr:blipFill>
        <a:blip xmlns:r="http://schemas.openxmlformats.org/officeDocument/2006/relationships" r:embed="rId1"/>
        <a:stretch>
          <a:fillRect/>
        </a:stretch>
      </xdr:blipFill>
      <xdr:spPr>
        <a:xfrm>
          <a:off x="0" y="0"/>
          <a:ext cx="6904762" cy="5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666324</xdr:colOff>
      <xdr:row>20</xdr:row>
      <xdr:rowOff>47190</xdr:rowOff>
    </xdr:to>
    <xdr:pic>
      <xdr:nvPicPr>
        <xdr:cNvPr id="2" name="图片 1">
          <a:extLst>
            <a:ext uri="{FF2B5EF4-FFF2-40B4-BE49-F238E27FC236}">
              <a16:creationId xmlns:a16="http://schemas.microsoft.com/office/drawing/2014/main" xmlns="" id="{302E50F7-07BD-44F0-906A-9044957A2CF4}"/>
            </a:ext>
          </a:extLst>
        </xdr:cNvPr>
        <xdr:cNvPicPr>
          <a:picLocks noChangeAspect="1"/>
        </xdr:cNvPicPr>
      </xdr:nvPicPr>
      <xdr:blipFill>
        <a:blip xmlns:r="http://schemas.openxmlformats.org/officeDocument/2006/relationships" r:embed="rId1"/>
        <a:stretch>
          <a:fillRect/>
        </a:stretch>
      </xdr:blipFill>
      <xdr:spPr>
        <a:xfrm>
          <a:off x="0" y="0"/>
          <a:ext cx="3409524" cy="3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85725</xdr:rowOff>
    </xdr:from>
    <xdr:to>
      <xdr:col>7</xdr:col>
      <xdr:colOff>361157</xdr:colOff>
      <xdr:row>47</xdr:row>
      <xdr:rowOff>113696</xdr:rowOff>
    </xdr:to>
    <xdr:pic>
      <xdr:nvPicPr>
        <xdr:cNvPr id="6" name="图片 5">
          <a:extLst>
            <a:ext uri="{FF2B5EF4-FFF2-40B4-BE49-F238E27FC236}">
              <a16:creationId xmlns:a16="http://schemas.microsoft.com/office/drawing/2014/main" xmlns="" id="{B33720D0-4F74-4B19-AB12-5F0CE191924B}"/>
            </a:ext>
          </a:extLst>
        </xdr:cNvPr>
        <xdr:cNvPicPr>
          <a:picLocks noChangeAspect="1"/>
        </xdr:cNvPicPr>
      </xdr:nvPicPr>
      <xdr:blipFill>
        <a:blip xmlns:r="http://schemas.openxmlformats.org/officeDocument/2006/relationships" r:embed="rId1"/>
        <a:stretch>
          <a:fillRect/>
        </a:stretch>
      </xdr:blipFill>
      <xdr:spPr>
        <a:xfrm>
          <a:off x="0" y="3343275"/>
          <a:ext cx="6342857" cy="4828571"/>
        </a:xfrm>
        <a:prstGeom prst="rect">
          <a:avLst/>
        </a:prstGeom>
      </xdr:spPr>
    </xdr:pic>
    <xdr:clientData/>
  </xdr:twoCellAnchor>
  <xdr:twoCellAnchor editAs="oneCell">
    <xdr:from>
      <xdr:col>8</xdr:col>
      <xdr:colOff>381000</xdr:colOff>
      <xdr:row>17</xdr:row>
      <xdr:rowOff>152400</xdr:rowOff>
    </xdr:from>
    <xdr:to>
      <xdr:col>15</xdr:col>
      <xdr:colOff>332606</xdr:colOff>
      <xdr:row>34</xdr:row>
      <xdr:rowOff>18702</xdr:rowOff>
    </xdr:to>
    <xdr:pic>
      <xdr:nvPicPr>
        <xdr:cNvPr id="7" name="图片 6">
          <a:extLst>
            <a:ext uri="{FF2B5EF4-FFF2-40B4-BE49-F238E27FC236}">
              <a16:creationId xmlns:a16="http://schemas.microsoft.com/office/drawing/2014/main" xmlns="" id="{AA711888-11BA-446C-BD40-31E2C993C71B}"/>
            </a:ext>
          </a:extLst>
        </xdr:cNvPr>
        <xdr:cNvPicPr>
          <a:picLocks noChangeAspect="1"/>
        </xdr:cNvPicPr>
      </xdr:nvPicPr>
      <xdr:blipFill>
        <a:blip xmlns:r="http://schemas.openxmlformats.org/officeDocument/2006/relationships" r:embed="rId2"/>
        <a:stretch>
          <a:fillRect/>
        </a:stretch>
      </xdr:blipFill>
      <xdr:spPr>
        <a:xfrm>
          <a:off x="7248525" y="1695450"/>
          <a:ext cx="6152381" cy="2780952"/>
        </a:xfrm>
        <a:prstGeom prst="rect">
          <a:avLst/>
        </a:prstGeom>
      </xdr:spPr>
    </xdr:pic>
    <xdr:clientData/>
  </xdr:twoCellAnchor>
  <xdr:twoCellAnchor editAs="oneCell">
    <xdr:from>
      <xdr:col>8</xdr:col>
      <xdr:colOff>371475</xdr:colOff>
      <xdr:row>32</xdr:row>
      <xdr:rowOff>161925</xdr:rowOff>
    </xdr:from>
    <xdr:to>
      <xdr:col>15</xdr:col>
      <xdr:colOff>504033</xdr:colOff>
      <xdr:row>63</xdr:row>
      <xdr:rowOff>132689</xdr:rowOff>
    </xdr:to>
    <xdr:pic>
      <xdr:nvPicPr>
        <xdr:cNvPr id="8" name="图片 7">
          <a:extLst>
            <a:ext uri="{FF2B5EF4-FFF2-40B4-BE49-F238E27FC236}">
              <a16:creationId xmlns:a16="http://schemas.microsoft.com/office/drawing/2014/main" xmlns="" id="{D6F64560-EFD3-454A-8727-2F5ECD308AA2}"/>
            </a:ext>
          </a:extLst>
        </xdr:cNvPr>
        <xdr:cNvPicPr>
          <a:picLocks noChangeAspect="1"/>
        </xdr:cNvPicPr>
      </xdr:nvPicPr>
      <xdr:blipFill>
        <a:blip xmlns:r="http://schemas.openxmlformats.org/officeDocument/2006/relationships" r:embed="rId3"/>
        <a:stretch>
          <a:fillRect/>
        </a:stretch>
      </xdr:blipFill>
      <xdr:spPr>
        <a:xfrm>
          <a:off x="6372225" y="5476875"/>
          <a:ext cx="6333333" cy="5285714"/>
        </a:xfrm>
        <a:prstGeom prst="rect">
          <a:avLst/>
        </a:prstGeom>
      </xdr:spPr>
    </xdr:pic>
    <xdr:clientData/>
  </xdr:twoCellAnchor>
  <xdr:twoCellAnchor editAs="oneCell">
    <xdr:from>
      <xdr:col>12</xdr:col>
      <xdr:colOff>247650</xdr:colOff>
      <xdr:row>0</xdr:row>
      <xdr:rowOff>47625</xdr:rowOff>
    </xdr:from>
    <xdr:to>
      <xdr:col>20</xdr:col>
      <xdr:colOff>456288</xdr:colOff>
      <xdr:row>8</xdr:row>
      <xdr:rowOff>76025</xdr:rowOff>
    </xdr:to>
    <xdr:pic>
      <xdr:nvPicPr>
        <xdr:cNvPr id="5" name="图片 4">
          <a:extLst>
            <a:ext uri="{FF2B5EF4-FFF2-40B4-BE49-F238E27FC236}">
              <a16:creationId xmlns:a16="http://schemas.microsoft.com/office/drawing/2014/main" xmlns="" id="{AA3D37D3-FDE2-4021-858A-415053D8CD1B}"/>
            </a:ext>
          </a:extLst>
        </xdr:cNvPr>
        <xdr:cNvPicPr>
          <a:picLocks noChangeAspect="1"/>
        </xdr:cNvPicPr>
      </xdr:nvPicPr>
      <xdr:blipFill>
        <a:blip xmlns:r="http://schemas.openxmlformats.org/officeDocument/2006/relationships" r:embed="rId4"/>
        <a:stretch>
          <a:fillRect/>
        </a:stretch>
      </xdr:blipFill>
      <xdr:spPr>
        <a:xfrm>
          <a:off x="10658475" y="47625"/>
          <a:ext cx="7295238" cy="1400000"/>
        </a:xfrm>
        <a:prstGeom prst="rect">
          <a:avLst/>
        </a:prstGeom>
      </xdr:spPr>
    </xdr:pic>
    <xdr:clientData/>
  </xdr:twoCellAnchor>
  <xdr:twoCellAnchor editAs="oneCell">
    <xdr:from>
      <xdr:col>12</xdr:col>
      <xdr:colOff>247650</xdr:colOff>
      <xdr:row>9</xdr:row>
      <xdr:rowOff>47625</xdr:rowOff>
    </xdr:from>
    <xdr:to>
      <xdr:col>20</xdr:col>
      <xdr:colOff>618193</xdr:colOff>
      <xdr:row>17</xdr:row>
      <xdr:rowOff>85549</xdr:rowOff>
    </xdr:to>
    <xdr:pic>
      <xdr:nvPicPr>
        <xdr:cNvPr id="9" name="图片 8">
          <a:extLst>
            <a:ext uri="{FF2B5EF4-FFF2-40B4-BE49-F238E27FC236}">
              <a16:creationId xmlns:a16="http://schemas.microsoft.com/office/drawing/2014/main" xmlns="" id="{6EC8A376-C01A-4F4A-8B9A-927830B58C53}"/>
            </a:ext>
          </a:extLst>
        </xdr:cNvPr>
        <xdr:cNvPicPr>
          <a:picLocks noChangeAspect="1"/>
        </xdr:cNvPicPr>
      </xdr:nvPicPr>
      <xdr:blipFill>
        <a:blip xmlns:r="http://schemas.openxmlformats.org/officeDocument/2006/relationships" r:embed="rId5"/>
        <a:stretch>
          <a:fillRect/>
        </a:stretch>
      </xdr:blipFill>
      <xdr:spPr>
        <a:xfrm>
          <a:off x="10658475" y="1590675"/>
          <a:ext cx="7457143" cy="1409524"/>
        </a:xfrm>
        <a:prstGeom prst="rect">
          <a:avLst/>
        </a:prstGeom>
      </xdr:spPr>
    </xdr:pic>
    <xdr:clientData/>
  </xdr:twoCellAnchor>
  <xdr:twoCellAnchor editAs="oneCell">
    <xdr:from>
      <xdr:col>12</xdr:col>
      <xdr:colOff>285750</xdr:colOff>
      <xdr:row>17</xdr:row>
      <xdr:rowOff>123825</xdr:rowOff>
    </xdr:from>
    <xdr:to>
      <xdr:col>20</xdr:col>
      <xdr:colOff>570578</xdr:colOff>
      <xdr:row>34</xdr:row>
      <xdr:rowOff>152032</xdr:rowOff>
    </xdr:to>
    <xdr:pic>
      <xdr:nvPicPr>
        <xdr:cNvPr id="2" name="图片 1">
          <a:extLst>
            <a:ext uri="{FF2B5EF4-FFF2-40B4-BE49-F238E27FC236}">
              <a16:creationId xmlns:a16="http://schemas.microsoft.com/office/drawing/2014/main" xmlns="" id="{FC66CC4E-FC53-41F1-B2C8-6E5EB530B071}"/>
            </a:ext>
          </a:extLst>
        </xdr:cNvPr>
        <xdr:cNvPicPr>
          <a:picLocks noChangeAspect="1"/>
        </xdr:cNvPicPr>
      </xdr:nvPicPr>
      <xdr:blipFill>
        <a:blip xmlns:r="http://schemas.openxmlformats.org/officeDocument/2006/relationships" r:embed="rId6"/>
        <a:stretch>
          <a:fillRect/>
        </a:stretch>
      </xdr:blipFill>
      <xdr:spPr>
        <a:xfrm>
          <a:off x="10696575" y="3038475"/>
          <a:ext cx="7371428" cy="29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57150</xdr:rowOff>
    </xdr:from>
    <xdr:to>
      <xdr:col>7</xdr:col>
      <xdr:colOff>323051</xdr:colOff>
      <xdr:row>47</xdr:row>
      <xdr:rowOff>151788</xdr:rowOff>
    </xdr:to>
    <xdr:pic>
      <xdr:nvPicPr>
        <xdr:cNvPr id="2" name="图片 1">
          <a:extLst>
            <a:ext uri="{FF2B5EF4-FFF2-40B4-BE49-F238E27FC236}">
              <a16:creationId xmlns:a16="http://schemas.microsoft.com/office/drawing/2014/main" xmlns="" id="{808DF388-193D-4240-8CBF-E7DB1646B280}"/>
            </a:ext>
          </a:extLst>
        </xdr:cNvPr>
        <xdr:cNvPicPr>
          <a:picLocks noChangeAspect="1"/>
        </xdr:cNvPicPr>
      </xdr:nvPicPr>
      <xdr:blipFill>
        <a:blip xmlns:r="http://schemas.openxmlformats.org/officeDocument/2006/relationships" r:embed="rId1"/>
        <a:stretch>
          <a:fillRect/>
        </a:stretch>
      </xdr:blipFill>
      <xdr:spPr>
        <a:xfrm>
          <a:off x="0" y="3143250"/>
          <a:ext cx="6390476" cy="4895238"/>
        </a:xfrm>
        <a:prstGeom prst="rect">
          <a:avLst/>
        </a:prstGeom>
      </xdr:spPr>
    </xdr:pic>
    <xdr:clientData/>
  </xdr:twoCellAnchor>
  <xdr:twoCellAnchor editAs="oneCell">
    <xdr:from>
      <xdr:col>7</xdr:col>
      <xdr:colOff>323850</xdr:colOff>
      <xdr:row>19</xdr:row>
      <xdr:rowOff>19050</xdr:rowOff>
    </xdr:from>
    <xdr:to>
      <xdr:col>14</xdr:col>
      <xdr:colOff>475473</xdr:colOff>
      <xdr:row>49</xdr:row>
      <xdr:rowOff>85074</xdr:rowOff>
    </xdr:to>
    <xdr:pic>
      <xdr:nvPicPr>
        <xdr:cNvPr id="3" name="图片 2">
          <a:extLst>
            <a:ext uri="{FF2B5EF4-FFF2-40B4-BE49-F238E27FC236}">
              <a16:creationId xmlns:a16="http://schemas.microsoft.com/office/drawing/2014/main" xmlns="" id="{FB0ACC28-B60B-4105-B39E-A328A0A460FA}"/>
            </a:ext>
          </a:extLst>
        </xdr:cNvPr>
        <xdr:cNvPicPr>
          <a:picLocks noChangeAspect="1"/>
        </xdr:cNvPicPr>
      </xdr:nvPicPr>
      <xdr:blipFill>
        <a:blip xmlns:r="http://schemas.openxmlformats.org/officeDocument/2006/relationships" r:embed="rId2"/>
        <a:stretch>
          <a:fillRect/>
        </a:stretch>
      </xdr:blipFill>
      <xdr:spPr>
        <a:xfrm>
          <a:off x="6391275" y="3276600"/>
          <a:ext cx="6219048" cy="5209524"/>
        </a:xfrm>
        <a:prstGeom prst="rect">
          <a:avLst/>
        </a:prstGeom>
      </xdr:spPr>
    </xdr:pic>
    <xdr:clientData/>
  </xdr:twoCellAnchor>
  <xdr:twoCellAnchor editAs="oneCell">
    <xdr:from>
      <xdr:col>0</xdr:col>
      <xdr:colOff>0</xdr:colOff>
      <xdr:row>47</xdr:row>
      <xdr:rowOff>0</xdr:rowOff>
    </xdr:from>
    <xdr:to>
      <xdr:col>6</xdr:col>
      <xdr:colOff>218398</xdr:colOff>
      <xdr:row>77</xdr:row>
      <xdr:rowOff>27929</xdr:rowOff>
    </xdr:to>
    <xdr:pic>
      <xdr:nvPicPr>
        <xdr:cNvPr id="4" name="图片 3">
          <a:extLst>
            <a:ext uri="{FF2B5EF4-FFF2-40B4-BE49-F238E27FC236}">
              <a16:creationId xmlns:a16="http://schemas.microsoft.com/office/drawing/2014/main" xmlns="" id="{FA240EAE-F3F3-411E-9F9B-BBE9D7C00331}"/>
            </a:ext>
          </a:extLst>
        </xdr:cNvPr>
        <xdr:cNvPicPr>
          <a:picLocks noChangeAspect="1"/>
        </xdr:cNvPicPr>
      </xdr:nvPicPr>
      <xdr:blipFill>
        <a:blip xmlns:r="http://schemas.openxmlformats.org/officeDocument/2006/relationships" r:embed="rId3"/>
        <a:stretch>
          <a:fillRect/>
        </a:stretch>
      </xdr:blipFill>
      <xdr:spPr>
        <a:xfrm>
          <a:off x="0" y="7886700"/>
          <a:ext cx="5419048" cy="5171429"/>
        </a:xfrm>
        <a:prstGeom prst="rect">
          <a:avLst/>
        </a:prstGeom>
      </xdr:spPr>
    </xdr:pic>
    <xdr:clientData/>
  </xdr:twoCellAnchor>
  <xdr:twoCellAnchor editAs="oneCell">
    <xdr:from>
      <xdr:col>6</xdr:col>
      <xdr:colOff>666750</xdr:colOff>
      <xdr:row>47</xdr:row>
      <xdr:rowOff>142875</xdr:rowOff>
    </xdr:from>
    <xdr:to>
      <xdr:col>13</xdr:col>
      <xdr:colOff>856468</xdr:colOff>
      <xdr:row>72</xdr:row>
      <xdr:rowOff>37577</xdr:rowOff>
    </xdr:to>
    <xdr:pic>
      <xdr:nvPicPr>
        <xdr:cNvPr id="5" name="图片 4">
          <a:extLst>
            <a:ext uri="{FF2B5EF4-FFF2-40B4-BE49-F238E27FC236}">
              <a16:creationId xmlns:a16="http://schemas.microsoft.com/office/drawing/2014/main" xmlns="" id="{44E13C09-180C-4523-A477-63B2F1ACD1AE}"/>
            </a:ext>
          </a:extLst>
        </xdr:cNvPr>
        <xdr:cNvPicPr>
          <a:picLocks noChangeAspect="1"/>
        </xdr:cNvPicPr>
      </xdr:nvPicPr>
      <xdr:blipFill>
        <a:blip xmlns:r="http://schemas.openxmlformats.org/officeDocument/2006/relationships" r:embed="rId4"/>
        <a:stretch>
          <a:fillRect/>
        </a:stretch>
      </xdr:blipFill>
      <xdr:spPr>
        <a:xfrm>
          <a:off x="5867400" y="8029575"/>
          <a:ext cx="6257143" cy="4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9</xdr:col>
      <xdr:colOff>284944</xdr:colOff>
      <xdr:row>81</xdr:row>
      <xdr:rowOff>132713</xdr:rowOff>
    </xdr:to>
    <xdr:pic>
      <xdr:nvPicPr>
        <xdr:cNvPr id="2" name="图片 1">
          <a:extLst>
            <a:ext uri="{FF2B5EF4-FFF2-40B4-BE49-F238E27FC236}">
              <a16:creationId xmlns:a16="http://schemas.microsoft.com/office/drawing/2014/main" xmlns="" id="{FE74A47E-0E5D-4E1F-A835-F323A294155B}"/>
            </a:ext>
          </a:extLst>
        </xdr:cNvPr>
        <xdr:cNvPicPr>
          <a:picLocks noChangeAspect="1"/>
        </xdr:cNvPicPr>
      </xdr:nvPicPr>
      <xdr:blipFill>
        <a:blip xmlns:r="http://schemas.openxmlformats.org/officeDocument/2006/relationships" r:embed="rId1"/>
        <a:stretch>
          <a:fillRect/>
        </a:stretch>
      </xdr:blipFill>
      <xdr:spPr>
        <a:xfrm>
          <a:off x="0" y="8753475"/>
          <a:ext cx="6447619" cy="5095238"/>
        </a:xfrm>
        <a:prstGeom prst="rect">
          <a:avLst/>
        </a:prstGeom>
      </xdr:spPr>
    </xdr:pic>
    <xdr:clientData/>
  </xdr:twoCellAnchor>
  <xdr:twoCellAnchor editAs="oneCell">
    <xdr:from>
      <xdr:col>9</xdr:col>
      <xdr:colOff>295275</xdr:colOff>
      <xdr:row>52</xdr:row>
      <xdr:rowOff>0</xdr:rowOff>
    </xdr:from>
    <xdr:to>
      <xdr:col>18</xdr:col>
      <xdr:colOff>646927</xdr:colOff>
      <xdr:row>79</xdr:row>
      <xdr:rowOff>66088</xdr:rowOff>
    </xdr:to>
    <xdr:pic>
      <xdr:nvPicPr>
        <xdr:cNvPr id="3" name="图片 2">
          <a:extLst>
            <a:ext uri="{FF2B5EF4-FFF2-40B4-BE49-F238E27FC236}">
              <a16:creationId xmlns:a16="http://schemas.microsoft.com/office/drawing/2014/main" xmlns="" id="{2F07F8BE-EBA3-41B8-9D77-647ECA6000AC}"/>
            </a:ext>
          </a:extLst>
        </xdr:cNvPr>
        <xdr:cNvPicPr>
          <a:picLocks noChangeAspect="1"/>
        </xdr:cNvPicPr>
      </xdr:nvPicPr>
      <xdr:blipFill>
        <a:blip xmlns:r="http://schemas.openxmlformats.org/officeDocument/2006/relationships" r:embed="rId2"/>
        <a:stretch>
          <a:fillRect/>
        </a:stretch>
      </xdr:blipFill>
      <xdr:spPr>
        <a:xfrm>
          <a:off x="6457950" y="8743950"/>
          <a:ext cx="6180952" cy="4695238"/>
        </a:xfrm>
        <a:prstGeom prst="rect">
          <a:avLst/>
        </a:prstGeom>
      </xdr:spPr>
    </xdr:pic>
    <xdr:clientData/>
  </xdr:twoCellAnchor>
  <xdr:twoCellAnchor editAs="oneCell">
    <xdr:from>
      <xdr:col>0</xdr:col>
      <xdr:colOff>0</xdr:colOff>
      <xdr:row>80</xdr:row>
      <xdr:rowOff>0</xdr:rowOff>
    </xdr:from>
    <xdr:to>
      <xdr:col>8</xdr:col>
      <xdr:colOff>618358</xdr:colOff>
      <xdr:row>105</xdr:row>
      <xdr:rowOff>37559</xdr:rowOff>
    </xdr:to>
    <xdr:pic>
      <xdr:nvPicPr>
        <xdr:cNvPr id="4" name="图片 3">
          <a:extLst>
            <a:ext uri="{FF2B5EF4-FFF2-40B4-BE49-F238E27FC236}">
              <a16:creationId xmlns:a16="http://schemas.microsoft.com/office/drawing/2014/main" xmlns="" id="{B2782143-190E-40B7-A242-8BC97755ACDE}"/>
            </a:ext>
          </a:extLst>
        </xdr:cNvPr>
        <xdr:cNvPicPr>
          <a:picLocks noChangeAspect="1"/>
        </xdr:cNvPicPr>
      </xdr:nvPicPr>
      <xdr:blipFill>
        <a:blip xmlns:r="http://schemas.openxmlformats.org/officeDocument/2006/relationships" r:embed="rId3"/>
        <a:stretch>
          <a:fillRect/>
        </a:stretch>
      </xdr:blipFill>
      <xdr:spPr>
        <a:xfrm>
          <a:off x="0" y="13544550"/>
          <a:ext cx="6133333" cy="43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104775</xdr:rowOff>
    </xdr:from>
    <xdr:to>
      <xdr:col>9</xdr:col>
      <xdr:colOff>399128</xdr:colOff>
      <xdr:row>30</xdr:row>
      <xdr:rowOff>132982</xdr:rowOff>
    </xdr:to>
    <xdr:pic>
      <xdr:nvPicPr>
        <xdr:cNvPr id="2" name="图片 1">
          <a:extLst>
            <a:ext uri="{FF2B5EF4-FFF2-40B4-BE49-F238E27FC236}">
              <a16:creationId xmlns:a16="http://schemas.microsoft.com/office/drawing/2014/main" xmlns="" id="{B3ACFA16-4EEC-453B-A364-982DE977FB10}"/>
            </a:ext>
          </a:extLst>
        </xdr:cNvPr>
        <xdr:cNvPicPr>
          <a:picLocks noChangeAspect="1"/>
        </xdr:cNvPicPr>
      </xdr:nvPicPr>
      <xdr:blipFill>
        <a:blip xmlns:r="http://schemas.openxmlformats.org/officeDocument/2006/relationships" r:embed="rId1"/>
        <a:stretch>
          <a:fillRect/>
        </a:stretch>
      </xdr:blipFill>
      <xdr:spPr>
        <a:xfrm>
          <a:off x="0" y="2333625"/>
          <a:ext cx="7371428" cy="2942857"/>
        </a:xfrm>
        <a:prstGeom prst="rect">
          <a:avLst/>
        </a:prstGeom>
      </xdr:spPr>
    </xdr:pic>
    <xdr:clientData/>
  </xdr:twoCellAnchor>
  <xdr:twoCellAnchor editAs="oneCell">
    <xdr:from>
      <xdr:col>0</xdr:col>
      <xdr:colOff>66675</xdr:colOff>
      <xdr:row>29</xdr:row>
      <xdr:rowOff>9525</xdr:rowOff>
    </xdr:from>
    <xdr:to>
      <xdr:col>9</xdr:col>
      <xdr:colOff>227708</xdr:colOff>
      <xdr:row>54</xdr:row>
      <xdr:rowOff>47084</xdr:rowOff>
    </xdr:to>
    <xdr:pic>
      <xdr:nvPicPr>
        <xdr:cNvPr id="3" name="图片 2">
          <a:extLst>
            <a:ext uri="{FF2B5EF4-FFF2-40B4-BE49-F238E27FC236}">
              <a16:creationId xmlns:a16="http://schemas.microsoft.com/office/drawing/2014/main" xmlns="" id="{7778E0E9-A13F-4CE1-811D-E93D5E571B90}"/>
            </a:ext>
          </a:extLst>
        </xdr:cNvPr>
        <xdr:cNvPicPr>
          <a:picLocks noChangeAspect="1"/>
        </xdr:cNvPicPr>
      </xdr:nvPicPr>
      <xdr:blipFill>
        <a:blip xmlns:r="http://schemas.openxmlformats.org/officeDocument/2006/relationships" r:embed="rId2"/>
        <a:stretch>
          <a:fillRect/>
        </a:stretch>
      </xdr:blipFill>
      <xdr:spPr>
        <a:xfrm>
          <a:off x="66675" y="4981575"/>
          <a:ext cx="7133333" cy="4323809"/>
        </a:xfrm>
        <a:prstGeom prst="rect">
          <a:avLst/>
        </a:prstGeom>
      </xdr:spPr>
    </xdr:pic>
    <xdr:clientData/>
  </xdr:twoCellAnchor>
  <xdr:twoCellAnchor editAs="oneCell">
    <xdr:from>
      <xdr:col>5</xdr:col>
      <xdr:colOff>209550</xdr:colOff>
      <xdr:row>0</xdr:row>
      <xdr:rowOff>133350</xdr:rowOff>
    </xdr:from>
    <xdr:to>
      <xdr:col>15</xdr:col>
      <xdr:colOff>218217</xdr:colOff>
      <xdr:row>10</xdr:row>
      <xdr:rowOff>152183</xdr:rowOff>
    </xdr:to>
    <xdr:pic>
      <xdr:nvPicPr>
        <xdr:cNvPr id="4" name="图片 3">
          <a:extLst>
            <a:ext uri="{FF2B5EF4-FFF2-40B4-BE49-F238E27FC236}">
              <a16:creationId xmlns:a16="http://schemas.microsoft.com/office/drawing/2014/main" xmlns="" id="{8C0430C0-E88B-49F7-BDC9-92D9436DEA9E}"/>
            </a:ext>
          </a:extLst>
        </xdr:cNvPr>
        <xdr:cNvPicPr>
          <a:picLocks noChangeAspect="1"/>
        </xdr:cNvPicPr>
      </xdr:nvPicPr>
      <xdr:blipFill>
        <a:blip xmlns:r="http://schemas.openxmlformats.org/officeDocument/2006/relationships" r:embed="rId3"/>
        <a:stretch>
          <a:fillRect/>
        </a:stretch>
      </xdr:blipFill>
      <xdr:spPr>
        <a:xfrm>
          <a:off x="4438650" y="133350"/>
          <a:ext cx="6866667" cy="1733333"/>
        </a:xfrm>
        <a:prstGeom prst="rect">
          <a:avLst/>
        </a:prstGeom>
      </xdr:spPr>
    </xdr:pic>
    <xdr:clientData/>
  </xdr:twoCellAnchor>
  <xdr:twoCellAnchor editAs="oneCell">
    <xdr:from>
      <xdr:col>0</xdr:col>
      <xdr:colOff>0</xdr:colOff>
      <xdr:row>55</xdr:row>
      <xdr:rowOff>0</xdr:rowOff>
    </xdr:from>
    <xdr:to>
      <xdr:col>9</xdr:col>
      <xdr:colOff>151509</xdr:colOff>
      <xdr:row>80</xdr:row>
      <xdr:rowOff>75655</xdr:rowOff>
    </xdr:to>
    <xdr:pic>
      <xdr:nvPicPr>
        <xdr:cNvPr id="5" name="图片 4">
          <a:extLst>
            <a:ext uri="{FF2B5EF4-FFF2-40B4-BE49-F238E27FC236}">
              <a16:creationId xmlns:a16="http://schemas.microsoft.com/office/drawing/2014/main" xmlns="" id="{55050F48-D655-49ED-86A4-6B7CA43B7438}"/>
            </a:ext>
          </a:extLst>
        </xdr:cNvPr>
        <xdr:cNvPicPr>
          <a:picLocks noChangeAspect="1"/>
        </xdr:cNvPicPr>
      </xdr:nvPicPr>
      <xdr:blipFill>
        <a:blip xmlns:r="http://schemas.openxmlformats.org/officeDocument/2006/relationships" r:embed="rId4"/>
        <a:stretch>
          <a:fillRect/>
        </a:stretch>
      </xdr:blipFill>
      <xdr:spPr>
        <a:xfrm>
          <a:off x="0" y="9429750"/>
          <a:ext cx="7123809" cy="4361905"/>
        </a:xfrm>
        <a:prstGeom prst="rect">
          <a:avLst/>
        </a:prstGeom>
      </xdr:spPr>
    </xdr:pic>
    <xdr:clientData/>
  </xdr:twoCellAnchor>
  <xdr:twoCellAnchor editAs="oneCell">
    <xdr:from>
      <xdr:col>0</xdr:col>
      <xdr:colOff>0</xdr:colOff>
      <xdr:row>81</xdr:row>
      <xdr:rowOff>0</xdr:rowOff>
    </xdr:from>
    <xdr:to>
      <xdr:col>9</xdr:col>
      <xdr:colOff>94367</xdr:colOff>
      <xdr:row>107</xdr:row>
      <xdr:rowOff>28014</xdr:rowOff>
    </xdr:to>
    <xdr:pic>
      <xdr:nvPicPr>
        <xdr:cNvPr id="6" name="图片 5">
          <a:extLst>
            <a:ext uri="{FF2B5EF4-FFF2-40B4-BE49-F238E27FC236}">
              <a16:creationId xmlns:a16="http://schemas.microsoft.com/office/drawing/2014/main" xmlns="" id="{C94A7936-133F-4B34-B874-FAA01CE4DCD8}"/>
            </a:ext>
          </a:extLst>
        </xdr:cNvPr>
        <xdr:cNvPicPr>
          <a:picLocks noChangeAspect="1"/>
        </xdr:cNvPicPr>
      </xdr:nvPicPr>
      <xdr:blipFill>
        <a:blip xmlns:r="http://schemas.openxmlformats.org/officeDocument/2006/relationships" r:embed="rId5"/>
        <a:stretch>
          <a:fillRect/>
        </a:stretch>
      </xdr:blipFill>
      <xdr:spPr>
        <a:xfrm>
          <a:off x="0" y="13887450"/>
          <a:ext cx="7066667" cy="4485714"/>
        </a:xfrm>
        <a:prstGeom prst="rect">
          <a:avLst/>
        </a:prstGeom>
      </xdr:spPr>
    </xdr:pic>
    <xdr:clientData/>
  </xdr:twoCellAnchor>
  <xdr:twoCellAnchor editAs="oneCell">
    <xdr:from>
      <xdr:col>9</xdr:col>
      <xdr:colOff>333375</xdr:colOff>
      <xdr:row>14</xdr:row>
      <xdr:rowOff>19050</xdr:rowOff>
    </xdr:from>
    <xdr:to>
      <xdr:col>19</xdr:col>
      <xdr:colOff>608708</xdr:colOff>
      <xdr:row>39</xdr:row>
      <xdr:rowOff>56609</xdr:rowOff>
    </xdr:to>
    <xdr:pic>
      <xdr:nvPicPr>
        <xdr:cNvPr id="7" name="图片 6">
          <a:extLst>
            <a:ext uri="{FF2B5EF4-FFF2-40B4-BE49-F238E27FC236}">
              <a16:creationId xmlns:a16="http://schemas.microsoft.com/office/drawing/2014/main" xmlns="" id="{1C6344EA-40C0-484A-BBA1-A4FDDDD4171D}"/>
            </a:ext>
          </a:extLst>
        </xdr:cNvPr>
        <xdr:cNvPicPr>
          <a:picLocks noChangeAspect="1"/>
        </xdr:cNvPicPr>
      </xdr:nvPicPr>
      <xdr:blipFill>
        <a:blip xmlns:r="http://schemas.openxmlformats.org/officeDocument/2006/relationships" r:embed="rId2"/>
        <a:stretch>
          <a:fillRect/>
        </a:stretch>
      </xdr:blipFill>
      <xdr:spPr>
        <a:xfrm>
          <a:off x="7305675" y="2419350"/>
          <a:ext cx="7133333" cy="43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6</xdr:col>
      <xdr:colOff>304040</xdr:colOff>
      <xdr:row>38</xdr:row>
      <xdr:rowOff>8924</xdr:rowOff>
    </xdr:to>
    <xdr:pic>
      <xdr:nvPicPr>
        <xdr:cNvPr id="2" name="图片 1">
          <a:extLst>
            <a:ext uri="{FF2B5EF4-FFF2-40B4-BE49-F238E27FC236}">
              <a16:creationId xmlns:a16="http://schemas.microsoft.com/office/drawing/2014/main" xmlns="" id="{E06E486A-4AAF-4620-B224-8DC47355FB00}"/>
            </a:ext>
          </a:extLst>
        </xdr:cNvPr>
        <xdr:cNvPicPr>
          <a:picLocks noChangeAspect="1"/>
        </xdr:cNvPicPr>
      </xdr:nvPicPr>
      <xdr:blipFill>
        <a:blip xmlns:r="http://schemas.openxmlformats.org/officeDocument/2006/relationships" r:embed="rId1"/>
        <a:stretch>
          <a:fillRect/>
        </a:stretch>
      </xdr:blipFill>
      <xdr:spPr>
        <a:xfrm>
          <a:off x="0" y="1543050"/>
          <a:ext cx="6076190" cy="4809524"/>
        </a:xfrm>
        <a:prstGeom prst="rect">
          <a:avLst/>
        </a:prstGeom>
      </xdr:spPr>
    </xdr:pic>
    <xdr:clientData/>
  </xdr:twoCellAnchor>
  <xdr:twoCellAnchor editAs="oneCell">
    <xdr:from>
      <xdr:col>6</xdr:col>
      <xdr:colOff>247650</xdr:colOff>
      <xdr:row>10</xdr:row>
      <xdr:rowOff>0</xdr:rowOff>
    </xdr:from>
    <xdr:to>
      <xdr:col>12</xdr:col>
      <xdr:colOff>770738</xdr:colOff>
      <xdr:row>40</xdr:row>
      <xdr:rowOff>104119</xdr:rowOff>
    </xdr:to>
    <xdr:pic>
      <xdr:nvPicPr>
        <xdr:cNvPr id="3" name="图片 2">
          <a:extLst>
            <a:ext uri="{FF2B5EF4-FFF2-40B4-BE49-F238E27FC236}">
              <a16:creationId xmlns:a16="http://schemas.microsoft.com/office/drawing/2014/main" xmlns="" id="{E0C2B003-6E2E-44EE-B4F6-FA9C207B3D51}"/>
            </a:ext>
          </a:extLst>
        </xdr:cNvPr>
        <xdr:cNvPicPr>
          <a:picLocks noChangeAspect="1"/>
        </xdr:cNvPicPr>
      </xdr:nvPicPr>
      <xdr:blipFill>
        <a:blip xmlns:r="http://schemas.openxmlformats.org/officeDocument/2006/relationships" r:embed="rId2"/>
        <a:stretch>
          <a:fillRect/>
        </a:stretch>
      </xdr:blipFill>
      <xdr:spPr>
        <a:xfrm>
          <a:off x="6019800" y="1543050"/>
          <a:ext cx="6295238" cy="5247619"/>
        </a:xfrm>
        <a:prstGeom prst="rect">
          <a:avLst/>
        </a:prstGeom>
      </xdr:spPr>
    </xdr:pic>
    <xdr:clientData/>
  </xdr:twoCellAnchor>
  <xdr:twoCellAnchor editAs="oneCell">
    <xdr:from>
      <xdr:col>0</xdr:col>
      <xdr:colOff>0</xdr:colOff>
      <xdr:row>40</xdr:row>
      <xdr:rowOff>0</xdr:rowOff>
    </xdr:from>
    <xdr:to>
      <xdr:col>6</xdr:col>
      <xdr:colOff>294517</xdr:colOff>
      <xdr:row>65</xdr:row>
      <xdr:rowOff>66131</xdr:rowOff>
    </xdr:to>
    <xdr:pic>
      <xdr:nvPicPr>
        <xdr:cNvPr id="4" name="图片 3">
          <a:extLst>
            <a:ext uri="{FF2B5EF4-FFF2-40B4-BE49-F238E27FC236}">
              <a16:creationId xmlns:a16="http://schemas.microsoft.com/office/drawing/2014/main" xmlns="" id="{EF3695DB-D352-40E3-999C-B2B63B7FD776}"/>
            </a:ext>
          </a:extLst>
        </xdr:cNvPr>
        <xdr:cNvPicPr>
          <a:picLocks noChangeAspect="1"/>
        </xdr:cNvPicPr>
      </xdr:nvPicPr>
      <xdr:blipFill>
        <a:blip xmlns:r="http://schemas.openxmlformats.org/officeDocument/2006/relationships" r:embed="rId3"/>
        <a:stretch>
          <a:fillRect/>
        </a:stretch>
      </xdr:blipFill>
      <xdr:spPr>
        <a:xfrm>
          <a:off x="0" y="6686550"/>
          <a:ext cx="6066667" cy="4352381"/>
        </a:xfrm>
        <a:prstGeom prst="rect">
          <a:avLst/>
        </a:prstGeom>
      </xdr:spPr>
    </xdr:pic>
    <xdr:clientData/>
  </xdr:twoCellAnchor>
  <xdr:twoCellAnchor editAs="oneCell">
    <xdr:from>
      <xdr:col>6</xdr:col>
      <xdr:colOff>0</xdr:colOff>
      <xdr:row>41</xdr:row>
      <xdr:rowOff>0</xdr:rowOff>
    </xdr:from>
    <xdr:to>
      <xdr:col>12</xdr:col>
      <xdr:colOff>561183</xdr:colOff>
      <xdr:row>53</xdr:row>
      <xdr:rowOff>18790</xdr:rowOff>
    </xdr:to>
    <xdr:pic>
      <xdr:nvPicPr>
        <xdr:cNvPr id="5" name="图片 4">
          <a:extLst>
            <a:ext uri="{FF2B5EF4-FFF2-40B4-BE49-F238E27FC236}">
              <a16:creationId xmlns:a16="http://schemas.microsoft.com/office/drawing/2014/main" xmlns="" id="{F73804F5-9D59-49AA-A16D-3760C85CF0E5}"/>
            </a:ext>
          </a:extLst>
        </xdr:cNvPr>
        <xdr:cNvPicPr>
          <a:picLocks noChangeAspect="1"/>
        </xdr:cNvPicPr>
      </xdr:nvPicPr>
      <xdr:blipFill>
        <a:blip xmlns:r="http://schemas.openxmlformats.org/officeDocument/2006/relationships" r:embed="rId4"/>
        <a:stretch>
          <a:fillRect/>
        </a:stretch>
      </xdr:blipFill>
      <xdr:spPr>
        <a:xfrm>
          <a:off x="5772150" y="6858000"/>
          <a:ext cx="6333333" cy="20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542000</xdr:colOff>
      <xdr:row>21</xdr:row>
      <xdr:rowOff>75740</xdr:rowOff>
    </xdr:to>
    <xdr:pic>
      <xdr:nvPicPr>
        <xdr:cNvPr id="2" name="图片 1">
          <a:extLst>
            <a:ext uri="{FF2B5EF4-FFF2-40B4-BE49-F238E27FC236}">
              <a16:creationId xmlns:a16="http://schemas.microsoft.com/office/drawing/2014/main" xmlns="" id="{03BA53E2-6726-4C38-8FF2-F65D1B315696}"/>
            </a:ext>
          </a:extLst>
        </xdr:cNvPr>
        <xdr:cNvPicPr>
          <a:picLocks noChangeAspect="1"/>
        </xdr:cNvPicPr>
      </xdr:nvPicPr>
      <xdr:blipFill>
        <a:blip xmlns:r="http://schemas.openxmlformats.org/officeDocument/2006/relationships" r:embed="rId1"/>
        <a:stretch>
          <a:fillRect/>
        </a:stretch>
      </xdr:blipFill>
      <xdr:spPr>
        <a:xfrm>
          <a:off x="0" y="0"/>
          <a:ext cx="7400000" cy="3676190"/>
        </a:xfrm>
        <a:prstGeom prst="rect">
          <a:avLst/>
        </a:prstGeom>
      </xdr:spPr>
    </xdr:pic>
    <xdr:clientData/>
  </xdr:twoCellAnchor>
  <xdr:twoCellAnchor editAs="oneCell">
    <xdr:from>
      <xdr:col>0</xdr:col>
      <xdr:colOff>0</xdr:colOff>
      <xdr:row>22</xdr:row>
      <xdr:rowOff>0</xdr:rowOff>
    </xdr:from>
    <xdr:to>
      <xdr:col>10</xdr:col>
      <xdr:colOff>332476</xdr:colOff>
      <xdr:row>48</xdr:row>
      <xdr:rowOff>94681</xdr:rowOff>
    </xdr:to>
    <xdr:pic>
      <xdr:nvPicPr>
        <xdr:cNvPr id="3" name="图片 2">
          <a:extLst>
            <a:ext uri="{FF2B5EF4-FFF2-40B4-BE49-F238E27FC236}">
              <a16:creationId xmlns:a16="http://schemas.microsoft.com/office/drawing/2014/main" xmlns="" id="{91BA5597-5E17-4E80-8AF7-8E1410EF141C}"/>
            </a:ext>
          </a:extLst>
        </xdr:cNvPr>
        <xdr:cNvPicPr>
          <a:picLocks noChangeAspect="1"/>
        </xdr:cNvPicPr>
      </xdr:nvPicPr>
      <xdr:blipFill>
        <a:blip xmlns:r="http://schemas.openxmlformats.org/officeDocument/2006/relationships" r:embed="rId2"/>
        <a:stretch>
          <a:fillRect/>
        </a:stretch>
      </xdr:blipFill>
      <xdr:spPr>
        <a:xfrm>
          <a:off x="0" y="3771900"/>
          <a:ext cx="7190476" cy="4552381"/>
        </a:xfrm>
        <a:prstGeom prst="rect">
          <a:avLst/>
        </a:prstGeom>
      </xdr:spPr>
    </xdr:pic>
    <xdr:clientData/>
  </xdr:twoCellAnchor>
  <xdr:twoCellAnchor editAs="oneCell">
    <xdr:from>
      <xdr:col>10</xdr:col>
      <xdr:colOff>428625</xdr:colOff>
      <xdr:row>0</xdr:row>
      <xdr:rowOff>47625</xdr:rowOff>
    </xdr:from>
    <xdr:to>
      <xdr:col>21</xdr:col>
      <xdr:colOff>208634</xdr:colOff>
      <xdr:row>22</xdr:row>
      <xdr:rowOff>47154</xdr:rowOff>
    </xdr:to>
    <xdr:pic>
      <xdr:nvPicPr>
        <xdr:cNvPr id="4" name="图片 3">
          <a:extLst>
            <a:ext uri="{FF2B5EF4-FFF2-40B4-BE49-F238E27FC236}">
              <a16:creationId xmlns:a16="http://schemas.microsoft.com/office/drawing/2014/main" xmlns="" id="{C61B6A5B-AC86-4292-B949-0A2BF1086D87}"/>
            </a:ext>
          </a:extLst>
        </xdr:cNvPr>
        <xdr:cNvPicPr>
          <a:picLocks noChangeAspect="1"/>
        </xdr:cNvPicPr>
      </xdr:nvPicPr>
      <xdr:blipFill>
        <a:blip xmlns:r="http://schemas.openxmlformats.org/officeDocument/2006/relationships" r:embed="rId3"/>
        <a:stretch>
          <a:fillRect/>
        </a:stretch>
      </xdr:blipFill>
      <xdr:spPr>
        <a:xfrm>
          <a:off x="7286625" y="47625"/>
          <a:ext cx="7323809" cy="3771429"/>
        </a:xfrm>
        <a:prstGeom prst="rect">
          <a:avLst/>
        </a:prstGeom>
      </xdr:spPr>
    </xdr:pic>
    <xdr:clientData/>
  </xdr:twoCellAnchor>
  <xdr:twoCellAnchor editAs="oneCell">
    <xdr:from>
      <xdr:col>11</xdr:col>
      <xdr:colOff>0</xdr:colOff>
      <xdr:row>23</xdr:row>
      <xdr:rowOff>0</xdr:rowOff>
    </xdr:from>
    <xdr:to>
      <xdr:col>21</xdr:col>
      <xdr:colOff>522952</xdr:colOff>
      <xdr:row>43</xdr:row>
      <xdr:rowOff>142429</xdr:rowOff>
    </xdr:to>
    <xdr:pic>
      <xdr:nvPicPr>
        <xdr:cNvPr id="5" name="图片 4">
          <a:extLst>
            <a:ext uri="{FF2B5EF4-FFF2-40B4-BE49-F238E27FC236}">
              <a16:creationId xmlns:a16="http://schemas.microsoft.com/office/drawing/2014/main" xmlns="" id="{06BAFB70-C40C-45A8-9CEF-014F9A47B349}"/>
            </a:ext>
          </a:extLst>
        </xdr:cNvPr>
        <xdr:cNvPicPr>
          <a:picLocks noChangeAspect="1"/>
        </xdr:cNvPicPr>
      </xdr:nvPicPr>
      <xdr:blipFill>
        <a:blip xmlns:r="http://schemas.openxmlformats.org/officeDocument/2006/relationships" r:embed="rId4"/>
        <a:stretch>
          <a:fillRect/>
        </a:stretch>
      </xdr:blipFill>
      <xdr:spPr>
        <a:xfrm>
          <a:off x="7543800" y="3943350"/>
          <a:ext cx="7380952" cy="35714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323209</xdr:colOff>
      <xdr:row>14</xdr:row>
      <xdr:rowOff>113986</xdr:rowOff>
    </xdr:to>
    <xdr:pic>
      <xdr:nvPicPr>
        <xdr:cNvPr id="2" name="图片 1">
          <a:extLst>
            <a:ext uri="{FF2B5EF4-FFF2-40B4-BE49-F238E27FC236}">
              <a16:creationId xmlns:a16="http://schemas.microsoft.com/office/drawing/2014/main" xmlns="" id="{6F125BDA-3AB1-43B0-9BFC-6FE6AC4048DA}"/>
            </a:ext>
          </a:extLst>
        </xdr:cNvPr>
        <xdr:cNvPicPr>
          <a:picLocks noChangeAspect="1"/>
        </xdr:cNvPicPr>
      </xdr:nvPicPr>
      <xdr:blipFill>
        <a:blip xmlns:r="http://schemas.openxmlformats.org/officeDocument/2006/relationships" r:embed="rId1"/>
        <a:stretch>
          <a:fillRect/>
        </a:stretch>
      </xdr:blipFill>
      <xdr:spPr>
        <a:xfrm>
          <a:off x="0" y="0"/>
          <a:ext cx="5123809" cy="2514286"/>
        </a:xfrm>
        <a:prstGeom prst="rect">
          <a:avLst/>
        </a:prstGeom>
      </xdr:spPr>
    </xdr:pic>
    <xdr:clientData/>
  </xdr:twoCellAnchor>
  <xdr:twoCellAnchor editAs="oneCell">
    <xdr:from>
      <xdr:col>0</xdr:col>
      <xdr:colOff>0</xdr:colOff>
      <xdr:row>15</xdr:row>
      <xdr:rowOff>0</xdr:rowOff>
    </xdr:from>
    <xdr:to>
      <xdr:col>7</xdr:col>
      <xdr:colOff>323209</xdr:colOff>
      <xdr:row>18</xdr:row>
      <xdr:rowOff>104698</xdr:rowOff>
    </xdr:to>
    <xdr:pic>
      <xdr:nvPicPr>
        <xdr:cNvPr id="3" name="图片 2">
          <a:extLst>
            <a:ext uri="{FF2B5EF4-FFF2-40B4-BE49-F238E27FC236}">
              <a16:creationId xmlns:a16="http://schemas.microsoft.com/office/drawing/2014/main" xmlns="" id="{F4C2ADBC-4B5F-45A0-BB0E-2767093D45E7}"/>
            </a:ext>
          </a:extLst>
        </xdr:cNvPr>
        <xdr:cNvPicPr>
          <a:picLocks noChangeAspect="1"/>
        </xdr:cNvPicPr>
      </xdr:nvPicPr>
      <xdr:blipFill>
        <a:blip xmlns:r="http://schemas.openxmlformats.org/officeDocument/2006/relationships" r:embed="rId2"/>
        <a:stretch>
          <a:fillRect/>
        </a:stretch>
      </xdr:blipFill>
      <xdr:spPr>
        <a:xfrm>
          <a:off x="0" y="2571750"/>
          <a:ext cx="5123809" cy="619048"/>
        </a:xfrm>
        <a:prstGeom prst="rect">
          <a:avLst/>
        </a:prstGeom>
      </xdr:spPr>
    </xdr:pic>
    <xdr:clientData/>
  </xdr:twoCellAnchor>
  <xdr:twoCellAnchor editAs="oneCell">
    <xdr:from>
      <xdr:col>0</xdr:col>
      <xdr:colOff>28575</xdr:colOff>
      <xdr:row>19</xdr:row>
      <xdr:rowOff>66675</xdr:rowOff>
    </xdr:from>
    <xdr:to>
      <xdr:col>7</xdr:col>
      <xdr:colOff>399404</xdr:colOff>
      <xdr:row>44</xdr:row>
      <xdr:rowOff>37568</xdr:rowOff>
    </xdr:to>
    <xdr:pic>
      <xdr:nvPicPr>
        <xdr:cNvPr id="4" name="图片 3">
          <a:extLst>
            <a:ext uri="{FF2B5EF4-FFF2-40B4-BE49-F238E27FC236}">
              <a16:creationId xmlns:a16="http://schemas.microsoft.com/office/drawing/2014/main" xmlns="" id="{F3FB6A35-9A9A-4B67-AA17-77B3293A5F49}"/>
            </a:ext>
          </a:extLst>
        </xdr:cNvPr>
        <xdr:cNvPicPr>
          <a:picLocks noChangeAspect="1"/>
        </xdr:cNvPicPr>
      </xdr:nvPicPr>
      <xdr:blipFill>
        <a:blip xmlns:r="http://schemas.openxmlformats.org/officeDocument/2006/relationships" r:embed="rId3"/>
        <a:stretch>
          <a:fillRect/>
        </a:stretch>
      </xdr:blipFill>
      <xdr:spPr>
        <a:xfrm>
          <a:off x="28575" y="3324225"/>
          <a:ext cx="5171429" cy="4257143"/>
        </a:xfrm>
        <a:prstGeom prst="rect">
          <a:avLst/>
        </a:prstGeom>
      </xdr:spPr>
    </xdr:pic>
    <xdr:clientData/>
  </xdr:twoCellAnchor>
  <xdr:twoCellAnchor editAs="oneCell">
    <xdr:from>
      <xdr:col>0</xdr:col>
      <xdr:colOff>0</xdr:colOff>
      <xdr:row>44</xdr:row>
      <xdr:rowOff>0</xdr:rowOff>
    </xdr:from>
    <xdr:to>
      <xdr:col>7</xdr:col>
      <xdr:colOff>285114</xdr:colOff>
      <xdr:row>68</xdr:row>
      <xdr:rowOff>161390</xdr:rowOff>
    </xdr:to>
    <xdr:pic>
      <xdr:nvPicPr>
        <xdr:cNvPr id="5" name="图片 4">
          <a:extLst>
            <a:ext uri="{FF2B5EF4-FFF2-40B4-BE49-F238E27FC236}">
              <a16:creationId xmlns:a16="http://schemas.microsoft.com/office/drawing/2014/main" xmlns="" id="{1DDED3D2-6F35-4C9E-AFC0-B0B7E64183F1}"/>
            </a:ext>
          </a:extLst>
        </xdr:cNvPr>
        <xdr:cNvPicPr>
          <a:picLocks noChangeAspect="1"/>
        </xdr:cNvPicPr>
      </xdr:nvPicPr>
      <xdr:blipFill>
        <a:blip xmlns:r="http://schemas.openxmlformats.org/officeDocument/2006/relationships" r:embed="rId4"/>
        <a:stretch>
          <a:fillRect/>
        </a:stretch>
      </xdr:blipFill>
      <xdr:spPr>
        <a:xfrm>
          <a:off x="0" y="7543800"/>
          <a:ext cx="5085714" cy="4276190"/>
        </a:xfrm>
        <a:prstGeom prst="rect">
          <a:avLst/>
        </a:prstGeom>
      </xdr:spPr>
    </xdr:pic>
    <xdr:clientData/>
  </xdr:twoCellAnchor>
  <xdr:twoCellAnchor editAs="oneCell">
    <xdr:from>
      <xdr:col>0</xdr:col>
      <xdr:colOff>0</xdr:colOff>
      <xdr:row>70</xdr:row>
      <xdr:rowOff>0</xdr:rowOff>
    </xdr:from>
    <xdr:to>
      <xdr:col>7</xdr:col>
      <xdr:colOff>380352</xdr:colOff>
      <xdr:row>95</xdr:row>
      <xdr:rowOff>1580</xdr:rowOff>
    </xdr:to>
    <xdr:pic>
      <xdr:nvPicPr>
        <xdr:cNvPr id="6" name="图片 5">
          <a:extLst>
            <a:ext uri="{FF2B5EF4-FFF2-40B4-BE49-F238E27FC236}">
              <a16:creationId xmlns:a16="http://schemas.microsoft.com/office/drawing/2014/main" xmlns="" id="{06DDDC7C-B4C7-40D8-8626-675896A52B19}"/>
            </a:ext>
          </a:extLst>
        </xdr:cNvPr>
        <xdr:cNvPicPr>
          <a:picLocks noChangeAspect="1"/>
        </xdr:cNvPicPr>
      </xdr:nvPicPr>
      <xdr:blipFill>
        <a:blip xmlns:r="http://schemas.openxmlformats.org/officeDocument/2006/relationships" r:embed="rId5"/>
        <a:stretch>
          <a:fillRect/>
        </a:stretch>
      </xdr:blipFill>
      <xdr:spPr>
        <a:xfrm>
          <a:off x="0" y="12001500"/>
          <a:ext cx="5180952" cy="4285714"/>
        </a:xfrm>
        <a:prstGeom prst="rect">
          <a:avLst/>
        </a:prstGeom>
      </xdr:spPr>
    </xdr:pic>
    <xdr:clientData/>
  </xdr:twoCellAnchor>
  <xdr:twoCellAnchor editAs="oneCell">
    <xdr:from>
      <xdr:col>0</xdr:col>
      <xdr:colOff>0</xdr:colOff>
      <xdr:row>95</xdr:row>
      <xdr:rowOff>0</xdr:rowOff>
    </xdr:from>
    <xdr:to>
      <xdr:col>7</xdr:col>
      <xdr:colOff>370829</xdr:colOff>
      <xdr:row>121</xdr:row>
      <xdr:rowOff>18490</xdr:rowOff>
    </xdr:to>
    <xdr:pic>
      <xdr:nvPicPr>
        <xdr:cNvPr id="7" name="图片 6">
          <a:extLst>
            <a:ext uri="{FF2B5EF4-FFF2-40B4-BE49-F238E27FC236}">
              <a16:creationId xmlns:a16="http://schemas.microsoft.com/office/drawing/2014/main" xmlns="" id="{CBB52212-EF93-41EE-83FF-1C7FE6B16924}"/>
            </a:ext>
          </a:extLst>
        </xdr:cNvPr>
        <xdr:cNvPicPr>
          <a:picLocks noChangeAspect="1"/>
        </xdr:cNvPicPr>
      </xdr:nvPicPr>
      <xdr:blipFill>
        <a:blip xmlns:r="http://schemas.openxmlformats.org/officeDocument/2006/relationships" r:embed="rId6"/>
        <a:stretch>
          <a:fillRect/>
        </a:stretch>
      </xdr:blipFill>
      <xdr:spPr>
        <a:xfrm>
          <a:off x="0" y="16287750"/>
          <a:ext cx="5171429" cy="4476190"/>
        </a:xfrm>
        <a:prstGeom prst="rect">
          <a:avLst/>
        </a:prstGeom>
      </xdr:spPr>
    </xdr:pic>
    <xdr:clientData/>
  </xdr:twoCellAnchor>
  <xdr:twoCellAnchor editAs="oneCell">
    <xdr:from>
      <xdr:col>0</xdr:col>
      <xdr:colOff>0</xdr:colOff>
      <xdr:row>121</xdr:row>
      <xdr:rowOff>0</xdr:rowOff>
    </xdr:from>
    <xdr:to>
      <xdr:col>7</xdr:col>
      <xdr:colOff>389876</xdr:colOff>
      <xdr:row>146</xdr:row>
      <xdr:rowOff>18512</xdr:rowOff>
    </xdr:to>
    <xdr:pic>
      <xdr:nvPicPr>
        <xdr:cNvPr id="8" name="图片 7">
          <a:extLst>
            <a:ext uri="{FF2B5EF4-FFF2-40B4-BE49-F238E27FC236}">
              <a16:creationId xmlns:a16="http://schemas.microsoft.com/office/drawing/2014/main" xmlns="" id="{0B722959-3E86-470C-865A-19F92C7DAFBE}"/>
            </a:ext>
          </a:extLst>
        </xdr:cNvPr>
        <xdr:cNvPicPr>
          <a:picLocks noChangeAspect="1"/>
        </xdr:cNvPicPr>
      </xdr:nvPicPr>
      <xdr:blipFill>
        <a:blip xmlns:r="http://schemas.openxmlformats.org/officeDocument/2006/relationships" r:embed="rId7"/>
        <a:stretch>
          <a:fillRect/>
        </a:stretch>
      </xdr:blipFill>
      <xdr:spPr>
        <a:xfrm>
          <a:off x="0" y="20745450"/>
          <a:ext cx="5190476" cy="4304762"/>
        </a:xfrm>
        <a:prstGeom prst="rect">
          <a:avLst/>
        </a:prstGeom>
      </xdr:spPr>
    </xdr:pic>
    <xdr:clientData/>
  </xdr:twoCellAnchor>
  <xdr:twoCellAnchor editAs="oneCell">
    <xdr:from>
      <xdr:col>0</xdr:col>
      <xdr:colOff>0</xdr:colOff>
      <xdr:row>146</xdr:row>
      <xdr:rowOff>0</xdr:rowOff>
    </xdr:from>
    <xdr:to>
      <xdr:col>7</xdr:col>
      <xdr:colOff>399400</xdr:colOff>
      <xdr:row>172</xdr:row>
      <xdr:rowOff>8967</xdr:rowOff>
    </xdr:to>
    <xdr:pic>
      <xdr:nvPicPr>
        <xdr:cNvPr id="9" name="图片 8">
          <a:extLst>
            <a:ext uri="{FF2B5EF4-FFF2-40B4-BE49-F238E27FC236}">
              <a16:creationId xmlns:a16="http://schemas.microsoft.com/office/drawing/2014/main" xmlns="" id="{AB6A48CB-CF22-474E-BD8B-1BF2F7BFBDA5}"/>
            </a:ext>
          </a:extLst>
        </xdr:cNvPr>
        <xdr:cNvPicPr>
          <a:picLocks noChangeAspect="1"/>
        </xdr:cNvPicPr>
      </xdr:nvPicPr>
      <xdr:blipFill>
        <a:blip xmlns:r="http://schemas.openxmlformats.org/officeDocument/2006/relationships" r:embed="rId8"/>
        <a:stretch>
          <a:fillRect/>
        </a:stretch>
      </xdr:blipFill>
      <xdr:spPr>
        <a:xfrm>
          <a:off x="0" y="25031700"/>
          <a:ext cx="5200000" cy="4466667"/>
        </a:xfrm>
        <a:prstGeom prst="rect">
          <a:avLst/>
        </a:prstGeom>
      </xdr:spPr>
    </xdr:pic>
    <xdr:clientData/>
  </xdr:twoCellAnchor>
  <xdr:twoCellAnchor editAs="oneCell">
    <xdr:from>
      <xdr:col>8</xdr:col>
      <xdr:colOff>0</xdr:colOff>
      <xdr:row>0</xdr:row>
      <xdr:rowOff>0</xdr:rowOff>
    </xdr:from>
    <xdr:to>
      <xdr:col>15</xdr:col>
      <xdr:colOff>361305</xdr:colOff>
      <xdr:row>25</xdr:row>
      <xdr:rowOff>18512</xdr:rowOff>
    </xdr:to>
    <xdr:pic>
      <xdr:nvPicPr>
        <xdr:cNvPr id="10" name="图片 9">
          <a:extLst>
            <a:ext uri="{FF2B5EF4-FFF2-40B4-BE49-F238E27FC236}">
              <a16:creationId xmlns:a16="http://schemas.microsoft.com/office/drawing/2014/main" xmlns="" id="{445D9312-C4EC-47A4-B2BA-E9E035F92A7C}"/>
            </a:ext>
          </a:extLst>
        </xdr:cNvPr>
        <xdr:cNvPicPr>
          <a:picLocks noChangeAspect="1"/>
        </xdr:cNvPicPr>
      </xdr:nvPicPr>
      <xdr:blipFill>
        <a:blip xmlns:r="http://schemas.openxmlformats.org/officeDocument/2006/relationships" r:embed="rId9"/>
        <a:stretch>
          <a:fillRect/>
        </a:stretch>
      </xdr:blipFill>
      <xdr:spPr>
        <a:xfrm>
          <a:off x="5486400" y="0"/>
          <a:ext cx="5161905" cy="4304762"/>
        </a:xfrm>
        <a:prstGeom prst="rect">
          <a:avLst/>
        </a:prstGeom>
      </xdr:spPr>
    </xdr:pic>
    <xdr:clientData/>
  </xdr:twoCellAnchor>
  <xdr:twoCellAnchor editAs="oneCell">
    <xdr:from>
      <xdr:col>8</xdr:col>
      <xdr:colOff>0</xdr:colOff>
      <xdr:row>26</xdr:row>
      <xdr:rowOff>0</xdr:rowOff>
    </xdr:from>
    <xdr:to>
      <xdr:col>15</xdr:col>
      <xdr:colOff>380352</xdr:colOff>
      <xdr:row>51</xdr:row>
      <xdr:rowOff>151845</xdr:rowOff>
    </xdr:to>
    <xdr:pic>
      <xdr:nvPicPr>
        <xdr:cNvPr id="11" name="图片 10">
          <a:extLst>
            <a:ext uri="{FF2B5EF4-FFF2-40B4-BE49-F238E27FC236}">
              <a16:creationId xmlns:a16="http://schemas.microsoft.com/office/drawing/2014/main" xmlns="" id="{3BB0D1A1-46A3-401E-A4EC-C47C9C669ADA}"/>
            </a:ext>
          </a:extLst>
        </xdr:cNvPr>
        <xdr:cNvPicPr>
          <a:picLocks noChangeAspect="1"/>
        </xdr:cNvPicPr>
      </xdr:nvPicPr>
      <xdr:blipFill>
        <a:blip xmlns:r="http://schemas.openxmlformats.org/officeDocument/2006/relationships" r:embed="rId10"/>
        <a:stretch>
          <a:fillRect/>
        </a:stretch>
      </xdr:blipFill>
      <xdr:spPr>
        <a:xfrm>
          <a:off x="5486400" y="4457700"/>
          <a:ext cx="5180952" cy="4438095"/>
        </a:xfrm>
        <a:prstGeom prst="rect">
          <a:avLst/>
        </a:prstGeom>
      </xdr:spPr>
    </xdr:pic>
    <xdr:clientData/>
  </xdr:twoCellAnchor>
  <xdr:twoCellAnchor editAs="oneCell">
    <xdr:from>
      <xdr:col>8</xdr:col>
      <xdr:colOff>0</xdr:colOff>
      <xdr:row>53</xdr:row>
      <xdr:rowOff>0</xdr:rowOff>
    </xdr:from>
    <xdr:to>
      <xdr:col>15</xdr:col>
      <xdr:colOff>361305</xdr:colOff>
      <xdr:row>78</xdr:row>
      <xdr:rowOff>142321</xdr:rowOff>
    </xdr:to>
    <xdr:pic>
      <xdr:nvPicPr>
        <xdr:cNvPr id="12" name="图片 11">
          <a:extLst>
            <a:ext uri="{FF2B5EF4-FFF2-40B4-BE49-F238E27FC236}">
              <a16:creationId xmlns:a16="http://schemas.microsoft.com/office/drawing/2014/main" xmlns="" id="{961797FC-E761-4FD0-A0B3-3B8E7BB30EB2}"/>
            </a:ext>
          </a:extLst>
        </xdr:cNvPr>
        <xdr:cNvPicPr>
          <a:picLocks noChangeAspect="1"/>
        </xdr:cNvPicPr>
      </xdr:nvPicPr>
      <xdr:blipFill>
        <a:blip xmlns:r="http://schemas.openxmlformats.org/officeDocument/2006/relationships" r:embed="rId11"/>
        <a:stretch>
          <a:fillRect/>
        </a:stretch>
      </xdr:blipFill>
      <xdr:spPr>
        <a:xfrm>
          <a:off x="5486400" y="9086850"/>
          <a:ext cx="5161905" cy="4428571"/>
        </a:xfrm>
        <a:prstGeom prst="rect">
          <a:avLst/>
        </a:prstGeom>
      </xdr:spPr>
    </xdr:pic>
    <xdr:clientData/>
  </xdr:twoCellAnchor>
  <xdr:twoCellAnchor editAs="oneCell">
    <xdr:from>
      <xdr:col>8</xdr:col>
      <xdr:colOff>0</xdr:colOff>
      <xdr:row>81</xdr:row>
      <xdr:rowOff>0</xdr:rowOff>
    </xdr:from>
    <xdr:to>
      <xdr:col>15</xdr:col>
      <xdr:colOff>418448</xdr:colOff>
      <xdr:row>106</xdr:row>
      <xdr:rowOff>142321</xdr:rowOff>
    </xdr:to>
    <xdr:pic>
      <xdr:nvPicPr>
        <xdr:cNvPr id="13" name="图片 12">
          <a:extLst>
            <a:ext uri="{FF2B5EF4-FFF2-40B4-BE49-F238E27FC236}">
              <a16:creationId xmlns:a16="http://schemas.microsoft.com/office/drawing/2014/main" xmlns="" id="{093C076F-E8C6-4A77-9E3E-2F85BA6C6BFA}"/>
            </a:ext>
          </a:extLst>
        </xdr:cNvPr>
        <xdr:cNvPicPr>
          <a:picLocks noChangeAspect="1"/>
        </xdr:cNvPicPr>
      </xdr:nvPicPr>
      <xdr:blipFill>
        <a:blip xmlns:r="http://schemas.openxmlformats.org/officeDocument/2006/relationships" r:embed="rId12"/>
        <a:stretch>
          <a:fillRect/>
        </a:stretch>
      </xdr:blipFill>
      <xdr:spPr>
        <a:xfrm>
          <a:off x="5486400" y="13887450"/>
          <a:ext cx="5219048" cy="4428571"/>
        </a:xfrm>
        <a:prstGeom prst="rect">
          <a:avLst/>
        </a:prstGeom>
      </xdr:spPr>
    </xdr:pic>
    <xdr:clientData/>
  </xdr:twoCellAnchor>
  <xdr:twoCellAnchor editAs="oneCell">
    <xdr:from>
      <xdr:col>4</xdr:col>
      <xdr:colOff>254000</xdr:colOff>
      <xdr:row>8</xdr:row>
      <xdr:rowOff>105833</xdr:rowOff>
    </xdr:from>
    <xdr:to>
      <xdr:col>12</xdr:col>
      <xdr:colOff>226857</xdr:colOff>
      <xdr:row>35</xdr:row>
      <xdr:rowOff>143357</xdr:rowOff>
    </xdr:to>
    <xdr:pic>
      <xdr:nvPicPr>
        <xdr:cNvPr id="14" name="图片 13">
          <a:extLst>
            <a:ext uri="{FF2B5EF4-FFF2-40B4-BE49-F238E27FC236}">
              <a16:creationId xmlns:a16="http://schemas.microsoft.com/office/drawing/2014/main" xmlns="" id="{5C00D740-3520-40DD-8D38-A7EEB64F57D1}"/>
            </a:ext>
          </a:extLst>
        </xdr:cNvPr>
        <xdr:cNvPicPr>
          <a:picLocks noChangeAspect="1"/>
        </xdr:cNvPicPr>
      </xdr:nvPicPr>
      <xdr:blipFill>
        <a:blip xmlns:r="http://schemas.openxmlformats.org/officeDocument/2006/relationships" r:embed="rId13"/>
        <a:stretch>
          <a:fillRect/>
        </a:stretch>
      </xdr:blipFill>
      <xdr:spPr>
        <a:xfrm>
          <a:off x="3005667" y="1460500"/>
          <a:ext cx="5476190" cy="4609524"/>
        </a:xfrm>
        <a:prstGeom prst="rect">
          <a:avLst/>
        </a:prstGeom>
      </xdr:spPr>
    </xdr:pic>
    <xdr:clientData/>
  </xdr:twoCellAnchor>
  <xdr:twoCellAnchor editAs="oneCell">
    <xdr:from>
      <xdr:col>6</xdr:col>
      <xdr:colOff>497416</xdr:colOff>
      <xdr:row>11</xdr:row>
      <xdr:rowOff>169332</xdr:rowOff>
    </xdr:from>
    <xdr:to>
      <xdr:col>14</xdr:col>
      <xdr:colOff>251226</xdr:colOff>
      <xdr:row>38</xdr:row>
      <xdr:rowOff>92570</xdr:rowOff>
    </xdr:to>
    <xdr:pic>
      <xdr:nvPicPr>
        <xdr:cNvPr id="15" name="图片 14">
          <a:extLst>
            <a:ext uri="{FF2B5EF4-FFF2-40B4-BE49-F238E27FC236}">
              <a16:creationId xmlns:a16="http://schemas.microsoft.com/office/drawing/2014/main" xmlns="" id="{62769306-4E71-423C-9FFC-FADC26013FAA}"/>
            </a:ext>
          </a:extLst>
        </xdr:cNvPr>
        <xdr:cNvPicPr>
          <a:picLocks noChangeAspect="1"/>
        </xdr:cNvPicPr>
      </xdr:nvPicPr>
      <xdr:blipFill>
        <a:blip xmlns:r="http://schemas.openxmlformats.org/officeDocument/2006/relationships" r:embed="rId14"/>
        <a:stretch>
          <a:fillRect/>
        </a:stretch>
      </xdr:blipFill>
      <xdr:spPr>
        <a:xfrm>
          <a:off x="4624916" y="2031999"/>
          <a:ext cx="5257143" cy="4495238"/>
        </a:xfrm>
        <a:prstGeom prst="rect">
          <a:avLst/>
        </a:prstGeom>
      </xdr:spPr>
    </xdr:pic>
    <xdr:clientData/>
  </xdr:twoCellAnchor>
  <xdr:twoCellAnchor editAs="oneCell">
    <xdr:from>
      <xdr:col>6</xdr:col>
      <xdr:colOff>317500</xdr:colOff>
      <xdr:row>6</xdr:row>
      <xdr:rowOff>95249</xdr:rowOff>
    </xdr:from>
    <xdr:to>
      <xdr:col>13</xdr:col>
      <xdr:colOff>635416</xdr:colOff>
      <xdr:row>32</xdr:row>
      <xdr:rowOff>149725</xdr:rowOff>
    </xdr:to>
    <xdr:pic>
      <xdr:nvPicPr>
        <xdr:cNvPr id="16" name="图片 15">
          <a:extLst>
            <a:ext uri="{FF2B5EF4-FFF2-40B4-BE49-F238E27FC236}">
              <a16:creationId xmlns:a16="http://schemas.microsoft.com/office/drawing/2014/main" xmlns="" id="{84DA39C7-DDE5-48B0-90F6-DB022AB2E912}"/>
            </a:ext>
          </a:extLst>
        </xdr:cNvPr>
        <xdr:cNvPicPr>
          <a:picLocks noChangeAspect="1"/>
        </xdr:cNvPicPr>
      </xdr:nvPicPr>
      <xdr:blipFill>
        <a:blip xmlns:r="http://schemas.openxmlformats.org/officeDocument/2006/relationships" r:embed="rId15"/>
        <a:stretch>
          <a:fillRect/>
        </a:stretch>
      </xdr:blipFill>
      <xdr:spPr>
        <a:xfrm>
          <a:off x="4445000" y="1111249"/>
          <a:ext cx="5133333" cy="4457143"/>
        </a:xfrm>
        <a:prstGeom prst="rect">
          <a:avLst/>
        </a:prstGeom>
      </xdr:spPr>
    </xdr:pic>
    <xdr:clientData/>
  </xdr:twoCellAnchor>
  <xdr:twoCellAnchor editAs="oneCell">
    <xdr:from>
      <xdr:col>6</xdr:col>
      <xdr:colOff>571500</xdr:colOff>
      <xdr:row>8</xdr:row>
      <xdr:rowOff>42333</xdr:rowOff>
    </xdr:from>
    <xdr:to>
      <xdr:col>14</xdr:col>
      <xdr:colOff>382453</xdr:colOff>
      <xdr:row>34</xdr:row>
      <xdr:rowOff>144429</xdr:rowOff>
    </xdr:to>
    <xdr:pic>
      <xdr:nvPicPr>
        <xdr:cNvPr id="17" name="图片 16">
          <a:extLst>
            <a:ext uri="{FF2B5EF4-FFF2-40B4-BE49-F238E27FC236}">
              <a16:creationId xmlns:a16="http://schemas.microsoft.com/office/drawing/2014/main" xmlns="" id="{B3FABCBD-1FFD-4CF5-AB27-E0ECFB2E0F33}"/>
            </a:ext>
          </a:extLst>
        </xdr:cNvPr>
        <xdr:cNvPicPr>
          <a:picLocks noChangeAspect="1"/>
        </xdr:cNvPicPr>
      </xdr:nvPicPr>
      <xdr:blipFill>
        <a:blip xmlns:r="http://schemas.openxmlformats.org/officeDocument/2006/relationships" r:embed="rId16"/>
        <a:stretch>
          <a:fillRect/>
        </a:stretch>
      </xdr:blipFill>
      <xdr:spPr>
        <a:xfrm>
          <a:off x="4699000" y="1397000"/>
          <a:ext cx="5314286"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esktop\&#27979;&#31639;&#34920;-&#22825;&#24658;&#27700;&#23736;-&#38889;&#20339;&#30591;20230621-1011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土地比较法-住宅、综合"/>
      <sheetName val="基准地价修正"/>
      <sheetName val="比较法-住宅-叠拼"/>
      <sheetName val="比较法-住宅-洋房"/>
      <sheetName val="比较法-住宅-高层"/>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
      <sheetName val="房号明细-已售均价计算"/>
      <sheetName val="房号明细"/>
      <sheetName val="信息"/>
      <sheetName val="土地案例"/>
      <sheetName val="住宅案例"/>
      <sheetName val="中指成交统计"/>
      <sheetName val="建委成交均价"/>
      <sheetName val="叠拼-洋房-小高层价格比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0">
          <cell r="C100" t="str">
            <v>叠拼</v>
          </cell>
          <cell r="D100">
            <v>0</v>
          </cell>
          <cell r="E100" t="str">
            <v>洋房</v>
          </cell>
        </row>
        <row r="126">
          <cell r="C126" t="str">
            <v>叠拼</v>
          </cell>
          <cell r="D126" t="str">
            <v>洋房</v>
          </cell>
          <cell r="E126" t="str">
            <v>小高层</v>
          </cell>
        </row>
        <row r="127">
          <cell r="C127">
            <v>122</v>
          </cell>
          <cell r="D127">
            <v>102</v>
          </cell>
          <cell r="E127">
            <v>100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 ca="1">'预评函-封皮'!B46</f>
        <v>梁津（注册号：1119970066)、叶凌（注册号：1119970111)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估价对象为北京市房地产，为所有。根据《国有土地使用证》[]，估价对象（分摊）出让国有建设用地使用权面积为111411.25平方米，建筑面积为178258平方米。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估价对象为北京市房地产,属开发建设的居住项目，该项目尚在开发建设中。根据《国有土地使用证》[]，估价对象（分摊）出让国有建设用地使用权面积为111411.25平方米，规划建筑面积为178258平方米。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2023年8月21日（评估专业人员实地查勘之日）</v>
      </c>
    </row>
    <row r="13" spans="1:2" s="1199" customFormat="1">
      <c r="A13" s="1197" t="s">
        <v>529</v>
      </c>
      <c r="B13" s="1198"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5" thickBot="1">
      <c r="A18" s="1200" t="s">
        <v>534</v>
      </c>
      <c r="B18" s="1201" t="str">
        <f>'预评函-1'!A24</f>
        <v>本次评估采用的主估价方法为比较法和成本法。</v>
      </c>
    </row>
    <row r="19" spans="1:2" s="1196" customFormat="1" ht="1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178258</v>
      </c>
    </row>
    <row r="44" spans="1:2" s="1199" customFormat="1">
      <c r="A44" s="1197" t="s">
        <v>575</v>
      </c>
      <c r="B44" s="1198" t="str">
        <f>'预评函-3'!C2</f>
        <v>(分摊)土地面积</v>
      </c>
    </row>
    <row r="45" spans="1:2" s="1199" customFormat="1">
      <c r="A45" s="1197" t="s">
        <v>547</v>
      </c>
      <c r="B45" s="1198">
        <f>'预评函-3'!C4</f>
        <v>111411.25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
      </c>
    </row>
    <row r="58" spans="1:2" s="1196" customFormat="1" ht="1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梁津</v>
      </c>
    </row>
    <row r="71" spans="1:2">
      <c r="A71" s="1197" t="s">
        <v>563</v>
      </c>
      <c r="B71" s="1198">
        <f ca="1">'预评函-4'!B4</f>
        <v>1119970066</v>
      </c>
    </row>
    <row r="72" spans="1:2">
      <c r="A72" s="1197" t="s">
        <v>564</v>
      </c>
      <c r="B72" s="1206" t="str">
        <f>'预评函-4'!A5</f>
        <v>叶凌</v>
      </c>
    </row>
    <row r="73" spans="1:2" s="1193" customFormat="1" ht="15" thickBot="1">
      <c r="A73" s="1200" t="s">
        <v>565</v>
      </c>
      <c r="B73" s="1201">
        <f ca="1">'预评函-4'!B5</f>
        <v>1119970111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2580</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2581</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2436</v>
      </c>
      <c r="C18" s="1543"/>
    </row>
    <row r="19" spans="1:3">
      <c r="A19" s="1542" t="s">
        <v>1047</v>
      </c>
      <c r="B19" s="1542" t="s">
        <v>8719</v>
      </c>
      <c r="C19" s="1543"/>
    </row>
    <row r="20" spans="1:3">
      <c r="A20" s="1542" t="s">
        <v>1048</v>
      </c>
      <c r="B20" s="1542" t="s">
        <v>8721</v>
      </c>
      <c r="C20" s="1543"/>
    </row>
    <row r="21" spans="1:3">
      <c r="A21" s="1542" t="s">
        <v>1049</v>
      </c>
      <c r="B21" s="1542" t="s">
        <v>8729</v>
      </c>
      <c r="C21" s="1543"/>
    </row>
    <row r="22" spans="1:3">
      <c r="A22" s="1542" t="s">
        <v>1050</v>
      </c>
      <c r="B22" s="1542" t="s">
        <v>8731</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6742</v>
      </c>
      <c r="B27" s="1542" t="s">
        <v>313</v>
      </c>
      <c r="C27" s="1543"/>
    </row>
    <row r="28" spans="1:3">
      <c r="A28" s="1542" t="s">
        <v>6743</v>
      </c>
      <c r="B28" s="1542" t="s">
        <v>313</v>
      </c>
      <c r="C28" s="1543"/>
    </row>
    <row r="29" spans="1:3">
      <c r="A29" s="1542" t="s">
        <v>6745</v>
      </c>
      <c r="B29" s="1542" t="s">
        <v>313</v>
      </c>
      <c r="C29" s="1543"/>
    </row>
    <row r="30" spans="1:3">
      <c r="A30" s="1542" t="s">
        <v>6747</v>
      </c>
      <c r="B30" s="1542" t="s">
        <v>313</v>
      </c>
      <c r="C30" s="1543"/>
    </row>
    <row r="31" spans="1:3">
      <c r="A31" s="1542" t="s">
        <v>6749</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0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1550" t="s">
        <v>385</v>
      </c>
      <c r="C54" s="1547" t="s">
        <v>583</v>
      </c>
    </row>
    <row r="55" spans="1:4">
      <c r="A55" s="3601"/>
      <c r="B55" s="1550" t="s">
        <v>386</v>
      </c>
      <c r="C55" s="1547" t="s">
        <v>584</v>
      </c>
    </row>
    <row r="56" spans="1:4">
      <c r="A56" s="3601"/>
      <c r="B56" s="1550" t="s">
        <v>387</v>
      </c>
      <c r="C56" s="1547" t="s">
        <v>588</v>
      </c>
    </row>
    <row r="57" spans="1:4">
      <c r="A57" s="360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4" sqref="F1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2" t="s">
        <v>2596</v>
      </c>
      <c r="J1" s="3222"/>
      <c r="K1" s="3222"/>
      <c r="L1" s="3222"/>
      <c r="M1" s="3222"/>
      <c r="N1" s="3433"/>
      <c r="O1" s="3433"/>
      <c r="P1" s="3433"/>
      <c r="Q1" s="3433"/>
      <c r="R1" s="3433"/>
    </row>
    <row r="2" spans="1:18">
      <c r="A2" s="3013"/>
      <c r="B2" s="3014"/>
      <c r="C2" s="3014"/>
      <c r="D2" s="3014"/>
      <c r="E2" s="3014"/>
      <c r="F2" s="3015"/>
      <c r="I2" s="3602" t="s">
        <v>2583</v>
      </c>
      <c r="J2" s="3602"/>
      <c r="K2" s="3602"/>
      <c r="L2" s="3602"/>
      <c r="M2" s="3602"/>
      <c r="N2" s="3602"/>
      <c r="O2" s="3602"/>
      <c r="P2" s="3602"/>
      <c r="Q2" s="3602"/>
      <c r="R2" s="3602"/>
    </row>
    <row r="3" spans="1:18">
      <c r="A3" s="3016" t="s">
        <v>2504</v>
      </c>
      <c r="B3" s="3017">
        <f>项目基本情况!D3</f>
        <v>45159</v>
      </c>
      <c r="C3" s="3019"/>
      <c r="D3" s="3019"/>
      <c r="E3" s="3019"/>
      <c r="F3" s="3015"/>
      <c r="I3" s="3434"/>
      <c r="J3" s="3434" t="s">
        <v>2587</v>
      </c>
      <c r="K3" s="3434" t="s">
        <v>2588</v>
      </c>
      <c r="L3" s="3434" t="s">
        <v>2589</v>
      </c>
      <c r="M3" s="3434" t="s">
        <v>2590</v>
      </c>
      <c r="N3" s="3435" t="s">
        <v>2591</v>
      </c>
      <c r="O3" s="3435" t="s">
        <v>2592</v>
      </c>
      <c r="P3" s="3435" t="s">
        <v>2593</v>
      </c>
      <c r="Q3" s="3435" t="s">
        <v>2594</v>
      </c>
      <c r="R3" s="3435" t="s">
        <v>2595</v>
      </c>
    </row>
    <row r="4" spans="1:18">
      <c r="A4" s="3016" t="s">
        <v>2505</v>
      </c>
      <c r="B4" s="3019" t="s">
        <v>2506</v>
      </c>
      <c r="C4" s="3019" t="s">
        <v>2507</v>
      </c>
      <c r="D4" s="3019" t="s">
        <v>2508</v>
      </c>
      <c r="E4" s="3019" t="s">
        <v>2509</v>
      </c>
      <c r="F4" s="3015"/>
      <c r="I4" s="3434" t="s">
        <v>2584</v>
      </c>
      <c r="J4" s="3434">
        <v>80</v>
      </c>
      <c r="K4" s="3434">
        <v>70</v>
      </c>
      <c r="L4" s="3434">
        <v>20</v>
      </c>
      <c r="M4" s="3434">
        <v>30</v>
      </c>
      <c r="N4" s="3019">
        <v>45</v>
      </c>
      <c r="O4" s="3019">
        <v>60</v>
      </c>
      <c r="P4" s="3019">
        <v>50</v>
      </c>
      <c r="Q4" s="3019">
        <v>20</v>
      </c>
      <c r="R4" s="3019">
        <v>375</v>
      </c>
    </row>
    <row r="5" spans="1:18">
      <c r="A5" s="3020">
        <v>40</v>
      </c>
      <c r="B5" s="3017">
        <v>46375</v>
      </c>
      <c r="C5" s="3019">
        <f>ROUNDDOWN(MIN((B5-B3)/365,A5),2)</f>
        <v>3.33</v>
      </c>
      <c r="D5" s="3021">
        <f>IF(ISERROR(ROUND(POWER(1+E5,A5-C5)*(POWER(1+E5,C5)-1)/(POWER(1+E5,A5)-1),3)),0,ROUND(POWER(1+E5,A5-C5)*(POWER(1+E5,C5)-1)/(POWER(1+E5,A5)-1),4))</f>
        <v>0.15459999999999999</v>
      </c>
      <c r="E5" s="3022">
        <v>0.04</v>
      </c>
      <c r="F5" s="3015"/>
      <c r="I5" s="3434" t="s">
        <v>2585</v>
      </c>
      <c r="J5" s="3434">
        <v>70</v>
      </c>
      <c r="K5" s="3434">
        <v>60</v>
      </c>
      <c r="L5" s="3434">
        <v>15</v>
      </c>
      <c r="M5" s="3434">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4" t="s">
        <v>2586</v>
      </c>
      <c r="J6" s="3434">
        <v>60</v>
      </c>
      <c r="K6" s="3434">
        <v>50</v>
      </c>
      <c r="L6" s="3434">
        <v>10</v>
      </c>
      <c r="M6" s="3434">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2347"/>
  <sheetViews>
    <sheetView workbookViewId="0">
      <selection activeCell="L6" sqref="L6"/>
    </sheetView>
  </sheetViews>
  <sheetFormatPr defaultColWidth="9" defaultRowHeight="13.5"/>
  <cols>
    <col min="1" max="1" width="9" style="3536"/>
    <col min="2" max="2" width="14.125" style="3536" customWidth="1"/>
    <col min="3" max="4" width="9" style="3536"/>
    <col min="5" max="5" width="9" style="3519"/>
    <col min="6" max="6" width="9" style="3536"/>
    <col min="7" max="7" width="12.375" style="3536" customWidth="1"/>
  </cols>
  <sheetData>
    <row r="1" spans="1:7" ht="30.95" customHeight="1">
      <c r="A1" s="3536" t="s">
        <v>3402</v>
      </c>
      <c r="B1" s="3536" t="s">
        <v>3403</v>
      </c>
      <c r="C1" s="3536" t="s">
        <v>3404</v>
      </c>
      <c r="D1" s="3536" t="s">
        <v>3405</v>
      </c>
      <c r="E1" s="3536" t="s">
        <v>3391</v>
      </c>
      <c r="F1" s="3536" t="s">
        <v>3392</v>
      </c>
      <c r="G1" s="3536" t="s">
        <v>3406</v>
      </c>
    </row>
    <row r="2" spans="1:7">
      <c r="A2" s="3536">
        <v>1</v>
      </c>
      <c r="B2" s="3481" t="s">
        <v>8040</v>
      </c>
      <c r="C2" s="3481" t="s">
        <v>5318</v>
      </c>
      <c r="D2" s="3482">
        <v>169.07</v>
      </c>
      <c r="E2" s="3519">
        <f>F2/D2</f>
        <v>30446.85633169693</v>
      </c>
      <c r="F2" s="3481">
        <f>5127650+20000</f>
        <v>5147650</v>
      </c>
      <c r="G2" s="3482" t="s">
        <v>4084</v>
      </c>
    </row>
    <row r="3" spans="1:7">
      <c r="A3" s="3536">
        <v>2</v>
      </c>
      <c r="B3" s="3481" t="s">
        <v>4083</v>
      </c>
      <c r="C3" s="3481" t="s">
        <v>3338</v>
      </c>
      <c r="D3" s="3482">
        <v>12.49</v>
      </c>
      <c r="E3" s="3519">
        <f t="shared" ref="E3:E66" si="0">F3/D3</f>
        <v>3002.4019215372296</v>
      </c>
      <c r="F3" s="3481">
        <v>37500</v>
      </c>
      <c r="G3" s="3482" t="s">
        <v>4084</v>
      </c>
    </row>
    <row r="4" spans="1:7">
      <c r="A4" s="3536">
        <v>3</v>
      </c>
      <c r="B4" s="3481" t="s">
        <v>8017</v>
      </c>
      <c r="C4" s="3481" t="s">
        <v>5305</v>
      </c>
      <c r="D4" s="3482">
        <v>73.42</v>
      </c>
      <c r="E4" s="3519">
        <f t="shared" si="0"/>
        <v>37223.71288477254</v>
      </c>
      <c r="F4" s="3481">
        <v>2732965</v>
      </c>
      <c r="G4" s="3482" t="s">
        <v>4072</v>
      </c>
    </row>
    <row r="5" spans="1:7">
      <c r="A5" s="3536">
        <v>4</v>
      </c>
      <c r="B5" s="3481" t="s">
        <v>4071</v>
      </c>
      <c r="C5" s="3481" t="s">
        <v>3338</v>
      </c>
      <c r="D5" s="3482">
        <v>98.2</v>
      </c>
      <c r="E5" s="3519">
        <f t="shared" si="0"/>
        <v>13876.405295315682</v>
      </c>
      <c r="F5" s="3481">
        <v>1362663</v>
      </c>
      <c r="G5" s="3482" t="s">
        <v>4072</v>
      </c>
    </row>
    <row r="6" spans="1:7">
      <c r="A6" s="3536">
        <v>5</v>
      </c>
      <c r="B6" s="3481" t="s">
        <v>7937</v>
      </c>
      <c r="C6" s="3481" t="s">
        <v>5305</v>
      </c>
      <c r="D6" s="3482">
        <v>73.040000000000006</v>
      </c>
      <c r="E6" s="3519">
        <f t="shared" si="0"/>
        <v>37223.603504928804</v>
      </c>
      <c r="F6" s="3481">
        <v>2718812</v>
      </c>
      <c r="G6" s="3482" t="s">
        <v>4014</v>
      </c>
    </row>
    <row r="7" spans="1:7">
      <c r="A7" s="3536">
        <v>6</v>
      </c>
      <c r="B7" s="3481" t="s">
        <v>4013</v>
      </c>
      <c r="C7" s="3481" t="s">
        <v>3338</v>
      </c>
      <c r="D7" s="3482">
        <v>96.81</v>
      </c>
      <c r="E7" s="3519">
        <f t="shared" si="0"/>
        <v>13192.046276211135</v>
      </c>
      <c r="F7" s="3481">
        <v>1277122</v>
      </c>
      <c r="G7" s="3482" t="s">
        <v>4014</v>
      </c>
    </row>
    <row r="8" spans="1:7">
      <c r="A8" s="3536">
        <v>7</v>
      </c>
      <c r="B8" s="3481" t="s">
        <v>8031</v>
      </c>
      <c r="C8" s="3481" t="s">
        <v>5318</v>
      </c>
      <c r="D8" s="3482">
        <v>189.04</v>
      </c>
      <c r="E8" s="3519">
        <f t="shared" si="0"/>
        <v>26467.943292424883</v>
      </c>
      <c r="F8" s="3481">
        <v>5003500</v>
      </c>
      <c r="G8" s="3482" t="s">
        <v>4072</v>
      </c>
    </row>
    <row r="9" spans="1:7">
      <c r="A9" s="3536">
        <v>8</v>
      </c>
      <c r="B9" s="3481" t="s">
        <v>4073</v>
      </c>
      <c r="C9" s="3481" t="s">
        <v>3338</v>
      </c>
      <c r="D9" s="3482">
        <v>12.49</v>
      </c>
      <c r="E9" s="3519">
        <f t="shared" si="0"/>
        <v>3002.4019215372296</v>
      </c>
      <c r="F9" s="3481">
        <v>37500</v>
      </c>
      <c r="G9" s="3482" t="s">
        <v>4072</v>
      </c>
    </row>
    <row r="10" spans="1:7">
      <c r="A10" s="3536">
        <v>9</v>
      </c>
      <c r="B10" s="3481" t="s">
        <v>4085</v>
      </c>
      <c r="C10" s="3481" t="s">
        <v>3338</v>
      </c>
      <c r="D10" s="3482">
        <v>44.94</v>
      </c>
      <c r="E10" s="3519">
        <f t="shared" si="0"/>
        <v>3000.6675567423231</v>
      </c>
      <c r="F10" s="3481">
        <v>134850</v>
      </c>
      <c r="G10" s="3482" t="s">
        <v>4084</v>
      </c>
    </row>
    <row r="11" spans="1:7">
      <c r="A11" s="3536">
        <v>10</v>
      </c>
      <c r="B11" s="3481" t="s">
        <v>4074</v>
      </c>
      <c r="C11" s="3481" t="s">
        <v>3338</v>
      </c>
      <c r="D11" s="3482">
        <v>187.73</v>
      </c>
      <c r="E11" s="3519">
        <f t="shared" si="0"/>
        <v>13872.971821232622</v>
      </c>
      <c r="F11" s="3481">
        <v>2604373</v>
      </c>
      <c r="G11" s="3482" t="s">
        <v>4072</v>
      </c>
    </row>
    <row r="12" spans="1:7">
      <c r="A12" s="3536">
        <v>11</v>
      </c>
      <c r="B12" s="3481" t="s">
        <v>4015</v>
      </c>
      <c r="C12" s="3481" t="s">
        <v>3338</v>
      </c>
      <c r="D12" s="3482">
        <v>186.34</v>
      </c>
      <c r="E12" s="3519">
        <f t="shared" si="0"/>
        <v>13706.482773424921</v>
      </c>
      <c r="F12" s="3481">
        <v>2554066</v>
      </c>
      <c r="G12" s="3482" t="s">
        <v>4014</v>
      </c>
    </row>
    <row r="13" spans="1:7">
      <c r="A13" s="3536">
        <v>12</v>
      </c>
      <c r="B13" s="3481" t="s">
        <v>4075</v>
      </c>
      <c r="C13" s="3481" t="s">
        <v>3338</v>
      </c>
      <c r="D13" s="3482">
        <v>52.96</v>
      </c>
      <c r="E13" s="3519">
        <f t="shared" si="0"/>
        <v>3002.2658610271901</v>
      </c>
      <c r="F13" s="3481">
        <v>159000</v>
      </c>
      <c r="G13" s="3482" t="s">
        <v>4072</v>
      </c>
    </row>
    <row r="14" spans="1:7">
      <c r="A14" s="3536">
        <v>13</v>
      </c>
      <c r="B14" s="3481" t="s">
        <v>8159</v>
      </c>
      <c r="C14" s="3481" t="s">
        <v>3395</v>
      </c>
      <c r="D14" s="3482">
        <v>83.91</v>
      </c>
      <c r="E14" s="3519">
        <f t="shared" si="0"/>
        <v>33123.870813967347</v>
      </c>
      <c r="F14" s="3481">
        <v>2779424</v>
      </c>
      <c r="G14" s="3482" t="s">
        <v>4185</v>
      </c>
    </row>
    <row r="15" spans="1:7">
      <c r="A15" s="3536">
        <v>14</v>
      </c>
      <c r="B15" s="3481" t="s">
        <v>8120</v>
      </c>
      <c r="C15" s="3481" t="s">
        <v>3395</v>
      </c>
      <c r="D15" s="3482">
        <v>83.53</v>
      </c>
      <c r="E15" s="3519">
        <f t="shared" si="0"/>
        <v>33610.666826289955</v>
      </c>
      <c r="F15" s="3481">
        <v>2807499</v>
      </c>
      <c r="G15" s="3482" t="s">
        <v>4156</v>
      </c>
    </row>
    <row r="16" spans="1:7">
      <c r="A16" s="3536">
        <v>15</v>
      </c>
      <c r="B16" s="3481" t="s">
        <v>8167</v>
      </c>
      <c r="C16" s="3481" t="s">
        <v>3395</v>
      </c>
      <c r="D16" s="3482">
        <v>83.91</v>
      </c>
      <c r="E16" s="3519">
        <f t="shared" si="0"/>
        <v>33458.455488022882</v>
      </c>
      <c r="F16" s="3481">
        <v>2807499</v>
      </c>
      <c r="G16" s="3482" t="s">
        <v>8168</v>
      </c>
    </row>
    <row r="17" spans="1:7">
      <c r="A17" s="3536">
        <v>16</v>
      </c>
      <c r="B17" s="3481" t="s">
        <v>8187</v>
      </c>
      <c r="C17" s="3481" t="s">
        <v>3395</v>
      </c>
      <c r="D17" s="3482">
        <v>83.53</v>
      </c>
      <c r="E17" s="3519">
        <f t="shared" si="0"/>
        <v>33610.666826289955</v>
      </c>
      <c r="F17" s="3481">
        <v>2807499</v>
      </c>
      <c r="G17" s="3482" t="s">
        <v>8188</v>
      </c>
    </row>
    <row r="18" spans="1:7">
      <c r="A18" s="3536">
        <v>17</v>
      </c>
      <c r="B18" s="3481" t="s">
        <v>8205</v>
      </c>
      <c r="C18" s="3481" t="s">
        <v>3395</v>
      </c>
      <c r="D18" s="3482">
        <v>83.91</v>
      </c>
      <c r="E18" s="3519">
        <f t="shared" si="0"/>
        <v>33458.455488022882</v>
      </c>
      <c r="F18" s="3481">
        <v>2807499</v>
      </c>
      <c r="G18" s="3482" t="s">
        <v>8206</v>
      </c>
    </row>
    <row r="19" spans="1:7">
      <c r="A19" s="3536">
        <v>18</v>
      </c>
      <c r="B19" s="3481" t="s">
        <v>8181</v>
      </c>
      <c r="C19" s="3481" t="s">
        <v>3395</v>
      </c>
      <c r="D19" s="3482">
        <v>83.53</v>
      </c>
      <c r="E19" s="3519">
        <f t="shared" si="0"/>
        <v>33610.666826289955</v>
      </c>
      <c r="F19" s="3481">
        <v>2807499</v>
      </c>
      <c r="G19" s="3482" t="s">
        <v>8182</v>
      </c>
    </row>
    <row r="20" spans="1:7">
      <c r="A20" s="3536">
        <v>19</v>
      </c>
      <c r="B20" s="3481" t="s">
        <v>8207</v>
      </c>
      <c r="C20" s="3481" t="s">
        <v>3395</v>
      </c>
      <c r="D20" s="3482">
        <v>74.209999999999994</v>
      </c>
      <c r="E20" s="3519">
        <f t="shared" si="0"/>
        <v>35462.565691955264</v>
      </c>
      <c r="F20" s="3481">
        <v>2631677</v>
      </c>
      <c r="G20" s="3482" t="s">
        <v>8206</v>
      </c>
    </row>
    <row r="21" spans="1:7">
      <c r="A21" s="3536">
        <v>20</v>
      </c>
      <c r="B21" s="3481" t="s">
        <v>8189</v>
      </c>
      <c r="C21" s="3481" t="s">
        <v>3395</v>
      </c>
      <c r="D21" s="3482">
        <v>73.75</v>
      </c>
      <c r="E21" s="3519">
        <f t="shared" si="0"/>
        <v>35107.579661016949</v>
      </c>
      <c r="F21" s="3481">
        <v>2589184</v>
      </c>
      <c r="G21" s="3482" t="s">
        <v>8190</v>
      </c>
    </row>
    <row r="22" spans="1:7">
      <c r="A22" s="3536">
        <v>21</v>
      </c>
      <c r="B22" s="3481" t="s">
        <v>8053</v>
      </c>
      <c r="C22" s="3481" t="s">
        <v>5318</v>
      </c>
      <c r="D22" s="3482">
        <v>178.25</v>
      </c>
      <c r="E22" s="3519">
        <f t="shared" si="0"/>
        <v>28971.220196353435</v>
      </c>
      <c r="F22" s="3481">
        <v>5164120</v>
      </c>
      <c r="G22" s="3482" t="s">
        <v>4099</v>
      </c>
    </row>
    <row r="23" spans="1:7">
      <c r="A23" s="3536">
        <v>22</v>
      </c>
      <c r="B23" s="3481" t="s">
        <v>4098</v>
      </c>
      <c r="C23" s="3481" t="s">
        <v>3338</v>
      </c>
      <c r="D23" s="3482">
        <v>23.69</v>
      </c>
      <c r="E23" s="3519">
        <f t="shared" si="0"/>
        <v>3000</v>
      </c>
      <c r="F23" s="3481">
        <v>71070</v>
      </c>
      <c r="G23" s="3482" t="s">
        <v>4099</v>
      </c>
    </row>
    <row r="24" spans="1:7">
      <c r="A24" s="3536">
        <v>23</v>
      </c>
      <c r="B24" s="3481" t="s">
        <v>8018</v>
      </c>
      <c r="C24" s="3481" t="s">
        <v>5305</v>
      </c>
      <c r="D24" s="3482">
        <v>73.040000000000006</v>
      </c>
      <c r="E24" s="3519">
        <f t="shared" si="0"/>
        <v>36482.858707557498</v>
      </c>
      <c r="F24" s="3481">
        <v>2664708</v>
      </c>
      <c r="G24" s="3482" t="s">
        <v>4072</v>
      </c>
    </row>
    <row r="25" spans="1:7">
      <c r="A25" s="3536">
        <v>24</v>
      </c>
      <c r="B25" s="3481" t="s">
        <v>4076</v>
      </c>
      <c r="C25" s="3481" t="s">
        <v>3338</v>
      </c>
      <c r="D25" s="3482">
        <v>96.91</v>
      </c>
      <c r="E25" s="3519">
        <f t="shared" si="0"/>
        <v>13934.857083892271</v>
      </c>
      <c r="F25" s="3481">
        <v>1350427</v>
      </c>
      <c r="G25" s="3482" t="s">
        <v>4072</v>
      </c>
    </row>
    <row r="26" spans="1:7">
      <c r="A26" s="3536">
        <v>25</v>
      </c>
      <c r="B26" s="3481" t="s">
        <v>6796</v>
      </c>
      <c r="C26" s="3481" t="s">
        <v>5305</v>
      </c>
      <c r="D26" s="3482">
        <v>67.27</v>
      </c>
      <c r="E26" s="3519">
        <f t="shared" si="0"/>
        <v>37221.852237252861</v>
      </c>
      <c r="F26" s="3481">
        <v>2503914</v>
      </c>
      <c r="G26" s="3482" t="s">
        <v>3810</v>
      </c>
    </row>
    <row r="27" spans="1:7">
      <c r="A27" s="3536">
        <v>26</v>
      </c>
      <c r="B27" s="3481" t="s">
        <v>3414</v>
      </c>
      <c r="C27" s="3481" t="s">
        <v>3338</v>
      </c>
      <c r="D27" s="3482">
        <v>98.85</v>
      </c>
      <c r="E27" s="3519">
        <f t="shared" si="0"/>
        <v>14146.808295397068</v>
      </c>
      <c r="F27" s="3481">
        <v>1398412</v>
      </c>
      <c r="G27" s="3482" t="s">
        <v>3810</v>
      </c>
    </row>
    <row r="28" spans="1:7">
      <c r="A28" s="3536">
        <v>27</v>
      </c>
      <c r="B28" s="3481" t="s">
        <v>8012</v>
      </c>
      <c r="C28" s="3481" t="s">
        <v>5318</v>
      </c>
      <c r="D28" s="3482">
        <v>185.27</v>
      </c>
      <c r="E28" s="3519">
        <f t="shared" si="0"/>
        <v>27219.139634047606</v>
      </c>
      <c r="F28" s="3481">
        <v>5042890</v>
      </c>
      <c r="G28" s="3482" t="s">
        <v>8013</v>
      </c>
    </row>
    <row r="29" spans="1:7">
      <c r="A29" s="3536">
        <v>28</v>
      </c>
      <c r="B29" s="3481" t="s">
        <v>4063</v>
      </c>
      <c r="C29" s="3481" t="s">
        <v>3338</v>
      </c>
      <c r="D29" s="3482">
        <v>24.1</v>
      </c>
      <c r="E29" s="3519">
        <f t="shared" si="0"/>
        <v>3000</v>
      </c>
      <c r="F29" s="3481">
        <v>72300</v>
      </c>
      <c r="G29" s="3482" t="s">
        <v>4064</v>
      </c>
    </row>
    <row r="30" spans="1:7">
      <c r="A30" s="3536">
        <v>29</v>
      </c>
      <c r="B30" s="3481" t="s">
        <v>4100</v>
      </c>
      <c r="C30" s="3481" t="s">
        <v>3338</v>
      </c>
      <c r="D30" s="3482">
        <v>28.26</v>
      </c>
      <c r="E30" s="3519">
        <f t="shared" si="0"/>
        <v>3001.0615711252653</v>
      </c>
      <c r="F30" s="3481">
        <v>84810</v>
      </c>
      <c r="G30" s="3482" t="s">
        <v>4099</v>
      </c>
    </row>
    <row r="31" spans="1:7">
      <c r="A31" s="3536">
        <v>30</v>
      </c>
      <c r="B31" s="3481" t="s">
        <v>4077</v>
      </c>
      <c r="C31" s="3481" t="s">
        <v>3338</v>
      </c>
      <c r="D31" s="3482">
        <v>181.45</v>
      </c>
      <c r="E31" s="3519">
        <f t="shared" si="0"/>
        <v>13947.429043813723</v>
      </c>
      <c r="F31" s="3481">
        <v>2530761</v>
      </c>
      <c r="G31" s="3482" t="s">
        <v>4072</v>
      </c>
    </row>
    <row r="32" spans="1:7">
      <c r="A32" s="3536">
        <v>31</v>
      </c>
      <c r="B32" s="3481" t="s">
        <v>3809</v>
      </c>
      <c r="C32" s="3481" t="s">
        <v>3338</v>
      </c>
      <c r="D32" s="3482">
        <v>190.2</v>
      </c>
      <c r="E32" s="3519">
        <f t="shared" si="0"/>
        <v>14183.354363827551</v>
      </c>
      <c r="F32" s="3481">
        <v>2697674</v>
      </c>
      <c r="G32" s="3482" t="s">
        <v>3810</v>
      </c>
    </row>
    <row r="33" spans="1:7">
      <c r="A33" s="3536">
        <v>32</v>
      </c>
      <c r="B33" s="3481" t="s">
        <v>4065</v>
      </c>
      <c r="C33" s="3481" t="s">
        <v>3338</v>
      </c>
      <c r="D33" s="3482">
        <v>28.26</v>
      </c>
      <c r="E33" s="3519">
        <f t="shared" si="0"/>
        <v>3001.0615711252653</v>
      </c>
      <c r="F33" s="3481">
        <v>84810</v>
      </c>
      <c r="G33" s="3482" t="s">
        <v>4064</v>
      </c>
    </row>
    <row r="34" spans="1:7">
      <c r="A34" s="3536">
        <v>33</v>
      </c>
      <c r="B34" s="3481" t="s">
        <v>8194</v>
      </c>
      <c r="C34" s="3481" t="s">
        <v>3395</v>
      </c>
      <c r="D34" s="3482">
        <v>83.53</v>
      </c>
      <c r="E34" s="3519">
        <f t="shared" si="0"/>
        <v>33610.666826289955</v>
      </c>
      <c r="F34" s="3481">
        <v>2807499</v>
      </c>
      <c r="G34" s="3482" t="s">
        <v>8195</v>
      </c>
    </row>
    <row r="35" spans="1:7">
      <c r="A35" s="3536">
        <v>34</v>
      </c>
      <c r="B35" s="3481" t="s">
        <v>8122</v>
      </c>
      <c r="C35" s="3481" t="s">
        <v>3395</v>
      </c>
      <c r="D35" s="3482">
        <v>83.53</v>
      </c>
      <c r="E35" s="3519">
        <f t="shared" si="0"/>
        <v>33274.560038309588</v>
      </c>
      <c r="F35" s="3481">
        <v>2779424</v>
      </c>
      <c r="G35" s="3482" t="s">
        <v>8123</v>
      </c>
    </row>
    <row r="36" spans="1:7">
      <c r="A36" s="3536">
        <v>35</v>
      </c>
      <c r="B36" s="3481" t="s">
        <v>8175</v>
      </c>
      <c r="C36" s="3481" t="s">
        <v>3395</v>
      </c>
      <c r="D36" s="3482">
        <v>83.53</v>
      </c>
      <c r="E36" s="3519">
        <f t="shared" si="0"/>
        <v>33610.666826289955</v>
      </c>
      <c r="F36" s="3481">
        <v>2807499</v>
      </c>
      <c r="G36" s="3482" t="s">
        <v>8176</v>
      </c>
    </row>
    <row r="37" spans="1:7">
      <c r="A37" s="3536">
        <v>36</v>
      </c>
      <c r="B37" s="3481" t="s">
        <v>8082</v>
      </c>
      <c r="C37" s="3481" t="s">
        <v>3395</v>
      </c>
      <c r="D37" s="3482">
        <v>83.53</v>
      </c>
      <c r="E37" s="3519">
        <f t="shared" si="0"/>
        <v>33274.560038309588</v>
      </c>
      <c r="F37" s="3481">
        <v>2779424</v>
      </c>
      <c r="G37" s="3482" t="s">
        <v>4123</v>
      </c>
    </row>
    <row r="38" spans="1:7">
      <c r="A38" s="3536">
        <v>37</v>
      </c>
      <c r="B38" s="3481" t="s">
        <v>8192</v>
      </c>
      <c r="C38" s="3481" t="s">
        <v>3395</v>
      </c>
      <c r="D38" s="3482">
        <v>83.53</v>
      </c>
      <c r="E38" s="3519">
        <f t="shared" si="0"/>
        <v>33610.666826289955</v>
      </c>
      <c r="F38" s="3481">
        <v>2807499</v>
      </c>
      <c r="G38" s="3482" t="s">
        <v>8193</v>
      </c>
    </row>
    <row r="39" spans="1:7">
      <c r="A39" s="3536">
        <v>38</v>
      </c>
      <c r="B39" s="3481" t="s">
        <v>8191</v>
      </c>
      <c r="C39" s="3481" t="s">
        <v>3395</v>
      </c>
      <c r="D39" s="3482">
        <v>83.53</v>
      </c>
      <c r="E39" s="3519">
        <f t="shared" si="0"/>
        <v>33610.666826289955</v>
      </c>
      <c r="F39" s="3481">
        <v>2807499</v>
      </c>
      <c r="G39" s="3482" t="s">
        <v>8190</v>
      </c>
    </row>
    <row r="40" spans="1:7">
      <c r="A40" s="3536">
        <v>39</v>
      </c>
      <c r="B40" s="3481" t="s">
        <v>8196</v>
      </c>
      <c r="C40" s="3481" t="s">
        <v>3395</v>
      </c>
      <c r="D40" s="3482">
        <v>73.75</v>
      </c>
      <c r="E40" s="3519">
        <f t="shared" si="0"/>
        <v>35107.579661016949</v>
      </c>
      <c r="F40" s="3481">
        <v>2589184</v>
      </c>
      <c r="G40" s="3482" t="s">
        <v>8195</v>
      </c>
    </row>
    <row r="41" spans="1:7">
      <c r="A41" s="3536">
        <v>40</v>
      </c>
      <c r="B41" s="3481" t="s">
        <v>8198</v>
      </c>
      <c r="C41" s="3481" t="s">
        <v>3395</v>
      </c>
      <c r="D41" s="3482">
        <v>73.75</v>
      </c>
      <c r="E41" s="3519">
        <f t="shared" si="0"/>
        <v>35842.644067796609</v>
      </c>
      <c r="F41" s="3481">
        <v>2643395</v>
      </c>
      <c r="G41" s="3482" t="s">
        <v>8199</v>
      </c>
    </row>
    <row r="42" spans="1:7">
      <c r="A42" s="3536">
        <v>41</v>
      </c>
      <c r="B42" s="3481" t="s">
        <v>8041</v>
      </c>
      <c r="C42" s="3481" t="s">
        <v>5318</v>
      </c>
      <c r="D42" s="3482">
        <v>189.44</v>
      </c>
      <c r="E42" s="3519">
        <f t="shared" si="0"/>
        <v>26236.576224662163</v>
      </c>
      <c r="F42" s="3481">
        <v>4970257</v>
      </c>
      <c r="G42" s="3482" t="s">
        <v>4084</v>
      </c>
    </row>
    <row r="43" spans="1:7">
      <c r="A43" s="3536">
        <v>42</v>
      </c>
      <c r="B43" s="3481" t="s">
        <v>4086</v>
      </c>
      <c r="C43" s="3481" t="s">
        <v>3338</v>
      </c>
      <c r="D43" s="3482">
        <v>12.49</v>
      </c>
      <c r="E43" s="3519">
        <f t="shared" si="0"/>
        <v>3002.4019215372296</v>
      </c>
      <c r="F43" s="3481">
        <v>37500</v>
      </c>
      <c r="G43" s="3482" t="s">
        <v>4084</v>
      </c>
    </row>
    <row r="44" spans="1:7">
      <c r="A44" s="3536">
        <v>43</v>
      </c>
      <c r="B44" s="3481" t="s">
        <v>7800</v>
      </c>
      <c r="C44" s="3481" t="s">
        <v>5305</v>
      </c>
      <c r="D44" s="3482">
        <v>73.040000000000006</v>
      </c>
      <c r="E44" s="3519">
        <f t="shared" si="0"/>
        <v>37223.603504928804</v>
      </c>
      <c r="F44" s="3481">
        <v>2718812</v>
      </c>
      <c r="G44" s="3482" t="s">
        <v>3916</v>
      </c>
    </row>
    <row r="45" spans="1:7">
      <c r="A45" s="3536">
        <v>44</v>
      </c>
      <c r="B45" s="3481" t="s">
        <v>3915</v>
      </c>
      <c r="C45" s="3481" t="s">
        <v>3338</v>
      </c>
      <c r="D45" s="3482">
        <v>98.85</v>
      </c>
      <c r="E45" s="3519">
        <f t="shared" si="0"/>
        <v>13452.837632776935</v>
      </c>
      <c r="F45" s="3481">
        <v>1329813</v>
      </c>
      <c r="G45" s="3482" t="s">
        <v>3916</v>
      </c>
    </row>
    <row r="46" spans="1:7">
      <c r="A46" s="3536">
        <v>45</v>
      </c>
      <c r="B46" s="3481" t="s">
        <v>8019</v>
      </c>
      <c r="C46" s="3481" t="s">
        <v>5305</v>
      </c>
      <c r="D46" s="3482">
        <v>73.040000000000006</v>
      </c>
      <c r="E46" s="3519">
        <f t="shared" si="0"/>
        <v>37223.603504928804</v>
      </c>
      <c r="F46" s="3481">
        <v>2718812</v>
      </c>
      <c r="G46" s="3482" t="s">
        <v>4072</v>
      </c>
    </row>
    <row r="47" spans="1:7">
      <c r="A47" s="3536">
        <v>46</v>
      </c>
      <c r="B47" s="3481" t="s">
        <v>4078</v>
      </c>
      <c r="C47" s="3481" t="s">
        <v>3338</v>
      </c>
      <c r="D47" s="3482">
        <v>96.81</v>
      </c>
      <c r="E47" s="3519">
        <f t="shared" si="0"/>
        <v>13708.521846916641</v>
      </c>
      <c r="F47" s="3481">
        <v>1327122</v>
      </c>
      <c r="G47" s="3482" t="s">
        <v>4072</v>
      </c>
    </row>
    <row r="48" spans="1:7">
      <c r="A48" s="3536">
        <v>47</v>
      </c>
      <c r="B48" s="3481" t="s">
        <v>7924</v>
      </c>
      <c r="C48" s="3481" t="s">
        <v>5318</v>
      </c>
      <c r="D48" s="3482">
        <v>189.04</v>
      </c>
      <c r="E48" s="3519">
        <f t="shared" si="0"/>
        <v>26467.943292424883</v>
      </c>
      <c r="F48" s="3481">
        <v>5003500</v>
      </c>
      <c r="G48" s="3482" t="s">
        <v>3992</v>
      </c>
    </row>
    <row r="49" spans="1:7">
      <c r="A49" s="3536">
        <v>48</v>
      </c>
      <c r="B49" s="3481" t="s">
        <v>3991</v>
      </c>
      <c r="C49" s="3481" t="s">
        <v>3338</v>
      </c>
      <c r="D49" s="3482">
        <v>12.49</v>
      </c>
      <c r="E49" s="3519">
        <f t="shared" si="0"/>
        <v>3002.4019215372296</v>
      </c>
      <c r="F49" s="3481">
        <v>37500</v>
      </c>
      <c r="G49" s="3482" t="s">
        <v>3992</v>
      </c>
    </row>
    <row r="50" spans="1:7">
      <c r="A50" s="3536">
        <v>49</v>
      </c>
      <c r="B50" s="3481" t="s">
        <v>4087</v>
      </c>
      <c r="C50" s="3481" t="s">
        <v>3338</v>
      </c>
      <c r="D50" s="3482">
        <v>54.6</v>
      </c>
      <c r="E50" s="3519">
        <f t="shared" si="0"/>
        <v>2971.4285714285716</v>
      </c>
      <c r="F50" s="3481">
        <v>162240</v>
      </c>
      <c r="G50" s="3482" t="s">
        <v>4084</v>
      </c>
    </row>
    <row r="51" spans="1:7">
      <c r="A51" s="3536">
        <v>50</v>
      </c>
      <c r="B51" s="3481" t="s">
        <v>3917</v>
      </c>
      <c r="C51" s="3481" t="s">
        <v>3338</v>
      </c>
      <c r="D51" s="3482">
        <v>190.2</v>
      </c>
      <c r="E51" s="3519">
        <f t="shared" si="0"/>
        <v>13414.169295478445</v>
      </c>
      <c r="F51" s="3481">
        <v>2551375</v>
      </c>
      <c r="G51" s="3482" t="s">
        <v>3916</v>
      </c>
    </row>
    <row r="52" spans="1:7">
      <c r="A52" s="3536">
        <v>51</v>
      </c>
      <c r="B52" s="3481" t="s">
        <v>4079</v>
      </c>
      <c r="C52" s="3481" t="s">
        <v>3338</v>
      </c>
      <c r="D52" s="3482">
        <v>186.34</v>
      </c>
      <c r="E52" s="3519">
        <f t="shared" si="0"/>
        <v>13706.482773424921</v>
      </c>
      <c r="F52" s="3481">
        <v>2554066</v>
      </c>
      <c r="G52" s="3482" t="s">
        <v>4072</v>
      </c>
    </row>
    <row r="53" spans="1:7">
      <c r="A53" s="3536">
        <v>52</v>
      </c>
      <c r="B53" s="3481" t="s">
        <v>3993</v>
      </c>
      <c r="C53" s="3481" t="s">
        <v>3338</v>
      </c>
      <c r="D53" s="3482">
        <v>52.96</v>
      </c>
      <c r="E53" s="3519">
        <f t="shared" si="0"/>
        <v>3002.2658610271901</v>
      </c>
      <c r="F53" s="3481">
        <v>159000</v>
      </c>
      <c r="G53" s="3482" t="s">
        <v>3992</v>
      </c>
    </row>
    <row r="54" spans="1:7">
      <c r="A54" s="3536">
        <v>53</v>
      </c>
      <c r="B54" s="3481" t="s">
        <v>7720</v>
      </c>
      <c r="C54" s="3481" t="s">
        <v>3395</v>
      </c>
      <c r="D54" s="3482">
        <v>83.53</v>
      </c>
      <c r="E54" s="3519">
        <f t="shared" si="0"/>
        <v>33473.003711241472</v>
      </c>
      <c r="F54" s="3481">
        <v>2796000</v>
      </c>
      <c r="G54" s="3482" t="s">
        <v>7721</v>
      </c>
    </row>
    <row r="55" spans="1:7">
      <c r="A55" s="3536">
        <v>54</v>
      </c>
      <c r="B55" s="3481" t="s">
        <v>7775</v>
      </c>
      <c r="C55" s="3481" t="s">
        <v>3395</v>
      </c>
      <c r="D55" s="3482">
        <v>83.53</v>
      </c>
      <c r="E55" s="3519">
        <f t="shared" si="0"/>
        <v>33610.666826289955</v>
      </c>
      <c r="F55" s="3481">
        <v>2807499</v>
      </c>
      <c r="G55" s="3482" t="s">
        <v>3896</v>
      </c>
    </row>
    <row r="56" spans="1:7">
      <c r="A56" s="3536">
        <v>55</v>
      </c>
      <c r="B56" s="3481" t="s">
        <v>8151</v>
      </c>
      <c r="C56" s="3481" t="s">
        <v>3395</v>
      </c>
      <c r="D56" s="3482">
        <v>83.53</v>
      </c>
      <c r="E56" s="3519">
        <f t="shared" si="0"/>
        <v>33274.560038309588</v>
      </c>
      <c r="F56" s="3481">
        <v>2779424</v>
      </c>
      <c r="G56" s="3482" t="s">
        <v>4178</v>
      </c>
    </row>
    <row r="57" spans="1:7">
      <c r="A57" s="3536">
        <v>56</v>
      </c>
      <c r="B57" s="3481" t="s">
        <v>8152</v>
      </c>
      <c r="C57" s="3481" t="s">
        <v>3395</v>
      </c>
      <c r="D57" s="3482">
        <v>83.53</v>
      </c>
      <c r="E57" s="3519">
        <f t="shared" si="0"/>
        <v>33610.666826289955</v>
      </c>
      <c r="F57" s="3481">
        <v>2807499</v>
      </c>
      <c r="G57" s="3482" t="s">
        <v>4178</v>
      </c>
    </row>
    <row r="58" spans="1:7">
      <c r="A58" s="3536">
        <v>57</v>
      </c>
      <c r="B58" s="3481" t="s">
        <v>8183</v>
      </c>
      <c r="C58" s="3481" t="s">
        <v>3395</v>
      </c>
      <c r="D58" s="3482">
        <v>83.53</v>
      </c>
      <c r="E58" s="3519">
        <f t="shared" si="0"/>
        <v>33610.666826289955</v>
      </c>
      <c r="F58" s="3481">
        <v>2807499</v>
      </c>
      <c r="G58" s="3482" t="s">
        <v>8182</v>
      </c>
    </row>
    <row r="59" spans="1:7">
      <c r="A59" s="3536">
        <v>58</v>
      </c>
      <c r="B59" s="3481" t="s">
        <v>8165</v>
      </c>
      <c r="C59" s="3481" t="s">
        <v>3395</v>
      </c>
      <c r="D59" s="3482">
        <v>83.53</v>
      </c>
      <c r="E59" s="3519">
        <f t="shared" si="0"/>
        <v>33610.666826289955</v>
      </c>
      <c r="F59" s="3481">
        <v>2807499</v>
      </c>
      <c r="G59" s="3482" t="s">
        <v>8166</v>
      </c>
    </row>
    <row r="60" spans="1:7">
      <c r="A60" s="3536">
        <v>59</v>
      </c>
      <c r="B60" s="3481" t="s">
        <v>8208</v>
      </c>
      <c r="C60" s="3481" t="s">
        <v>3395</v>
      </c>
      <c r="D60" s="3482">
        <v>73.75</v>
      </c>
      <c r="E60" s="3519">
        <f t="shared" si="0"/>
        <v>35118.549152542371</v>
      </c>
      <c r="F60" s="3481">
        <v>2589993</v>
      </c>
      <c r="G60" s="3482" t="s">
        <v>8206</v>
      </c>
    </row>
    <row r="61" spans="1:7">
      <c r="A61" s="3536">
        <v>60</v>
      </c>
      <c r="B61" s="3481" t="s">
        <v>8220</v>
      </c>
      <c r="C61" s="3481" t="s">
        <v>3395</v>
      </c>
      <c r="D61" s="3482">
        <v>73.75</v>
      </c>
      <c r="E61" s="3519">
        <f t="shared" si="0"/>
        <v>35107.579661016949</v>
      </c>
      <c r="F61" s="3481">
        <v>2589184</v>
      </c>
      <c r="G61" s="3482" t="s">
        <v>8221</v>
      </c>
    </row>
    <row r="62" spans="1:7">
      <c r="A62" s="3536">
        <v>61</v>
      </c>
      <c r="B62" s="3481" t="s">
        <v>8042</v>
      </c>
      <c r="C62" s="3481" t="s">
        <v>5318</v>
      </c>
      <c r="D62" s="3482">
        <v>189.04</v>
      </c>
      <c r="E62" s="3519">
        <f t="shared" si="0"/>
        <v>26309.061574269996</v>
      </c>
      <c r="F62" s="3481">
        <v>4973465</v>
      </c>
      <c r="G62" s="3482" t="s">
        <v>4084</v>
      </c>
    </row>
    <row r="63" spans="1:7">
      <c r="A63" s="3536">
        <v>62</v>
      </c>
      <c r="B63" s="3481" t="s">
        <v>4088</v>
      </c>
      <c r="C63" s="3481" t="s">
        <v>3338</v>
      </c>
      <c r="D63" s="3482">
        <v>12.49</v>
      </c>
      <c r="E63" s="3519">
        <f t="shared" si="0"/>
        <v>3002.4019215372296</v>
      </c>
      <c r="F63" s="3481">
        <v>37500</v>
      </c>
      <c r="G63" s="3482" t="s">
        <v>4084</v>
      </c>
    </row>
    <row r="64" spans="1:7">
      <c r="A64" s="3536">
        <v>63</v>
      </c>
      <c r="B64" s="3481" t="s">
        <v>7731</v>
      </c>
      <c r="C64" s="3481" t="s">
        <v>5305</v>
      </c>
      <c r="D64" s="3482">
        <v>73.040000000000006</v>
      </c>
      <c r="E64" s="3519">
        <f t="shared" si="0"/>
        <v>37223.603504928804</v>
      </c>
      <c r="F64" s="3481">
        <v>2718812</v>
      </c>
      <c r="G64" s="3482" t="s">
        <v>3847</v>
      </c>
    </row>
    <row r="65" spans="1:7">
      <c r="A65" s="3536">
        <v>64</v>
      </c>
      <c r="B65" s="3481" t="s">
        <v>3846</v>
      </c>
      <c r="C65" s="3481" t="s">
        <v>3338</v>
      </c>
      <c r="D65" s="3482">
        <v>96.81</v>
      </c>
      <c r="E65" s="3519">
        <f t="shared" si="0"/>
        <v>13708.521846916641</v>
      </c>
      <c r="F65" s="3481">
        <v>1327122</v>
      </c>
      <c r="G65" s="3482" t="s">
        <v>3847</v>
      </c>
    </row>
    <row r="66" spans="1:7">
      <c r="A66" s="3536">
        <v>65</v>
      </c>
      <c r="B66" s="3481" t="s">
        <v>7709</v>
      </c>
      <c r="C66" s="3481" t="s">
        <v>5305</v>
      </c>
      <c r="D66" s="3482">
        <v>73.040000000000006</v>
      </c>
      <c r="E66" s="3519">
        <f t="shared" si="0"/>
        <v>37223.603504928804</v>
      </c>
      <c r="F66" s="3481">
        <v>2718812</v>
      </c>
      <c r="G66" s="3482" t="s">
        <v>3824</v>
      </c>
    </row>
    <row r="67" spans="1:7">
      <c r="A67" s="3536">
        <v>66</v>
      </c>
      <c r="B67" s="3481" t="s">
        <v>3823</v>
      </c>
      <c r="C67" s="3481" t="s">
        <v>3338</v>
      </c>
      <c r="D67" s="3482">
        <v>96.81</v>
      </c>
      <c r="E67" s="3519">
        <f t="shared" ref="E67:E130" si="1">F67/D67</f>
        <v>13435.719450469993</v>
      </c>
      <c r="F67" s="3481">
        <v>1300712</v>
      </c>
      <c r="G67" s="3482" t="s">
        <v>3824</v>
      </c>
    </row>
    <row r="68" spans="1:7">
      <c r="A68" s="3536">
        <v>67</v>
      </c>
      <c r="B68" s="3481" t="s">
        <v>8032</v>
      </c>
      <c r="C68" s="3481" t="s">
        <v>5318</v>
      </c>
      <c r="D68" s="3482">
        <v>189.04</v>
      </c>
      <c r="E68" s="3519">
        <f t="shared" si="1"/>
        <v>26467.943292424883</v>
      </c>
      <c r="F68" s="3481">
        <v>5003500</v>
      </c>
      <c r="G68" s="3482" t="s">
        <v>4072</v>
      </c>
    </row>
    <row r="69" spans="1:7">
      <c r="A69" s="3536">
        <v>68</v>
      </c>
      <c r="B69" s="3481" t="s">
        <v>4080</v>
      </c>
      <c r="C69" s="3481" t="s">
        <v>3338</v>
      </c>
      <c r="D69" s="3482">
        <v>12.49</v>
      </c>
      <c r="E69" s="3519">
        <f t="shared" si="1"/>
        <v>3002.4019215372296</v>
      </c>
      <c r="F69" s="3481">
        <v>37500</v>
      </c>
      <c r="G69" s="3482" t="s">
        <v>4072</v>
      </c>
    </row>
    <row r="70" spans="1:7">
      <c r="A70" s="3536">
        <v>69</v>
      </c>
      <c r="B70" s="3481" t="s">
        <v>4089</v>
      </c>
      <c r="C70" s="3481" t="s">
        <v>3338</v>
      </c>
      <c r="D70" s="3482">
        <v>52.96</v>
      </c>
      <c r="E70" s="3519">
        <f t="shared" si="1"/>
        <v>3002.2658610271901</v>
      </c>
      <c r="F70" s="3481">
        <v>159000</v>
      </c>
      <c r="G70" s="3482" t="s">
        <v>4084</v>
      </c>
    </row>
    <row r="71" spans="1:7">
      <c r="A71" s="3536">
        <v>70</v>
      </c>
      <c r="B71" s="3481" t="s">
        <v>3848</v>
      </c>
      <c r="C71" s="3481" t="s">
        <v>3338</v>
      </c>
      <c r="D71" s="3482">
        <v>186.34</v>
      </c>
      <c r="E71" s="3519">
        <f t="shared" si="1"/>
        <v>13438.156058817216</v>
      </c>
      <c r="F71" s="3481">
        <v>2504066</v>
      </c>
      <c r="G71" s="3482" t="s">
        <v>3847</v>
      </c>
    </row>
    <row r="72" spans="1:7">
      <c r="A72" s="3536">
        <v>71</v>
      </c>
      <c r="B72" s="3481" t="s">
        <v>3825</v>
      </c>
      <c r="C72" s="3481" t="s">
        <v>3338</v>
      </c>
      <c r="D72" s="3482">
        <v>186.34</v>
      </c>
      <c r="E72" s="3519">
        <f t="shared" si="1"/>
        <v>13433.723301491897</v>
      </c>
      <c r="F72" s="3481">
        <v>2503240</v>
      </c>
      <c r="G72" s="3482" t="s">
        <v>3824</v>
      </c>
    </row>
    <row r="73" spans="1:7">
      <c r="A73" s="3536">
        <v>72</v>
      </c>
      <c r="B73" s="3481" t="s">
        <v>4081</v>
      </c>
      <c r="C73" s="3481" t="s">
        <v>3338</v>
      </c>
      <c r="D73" s="3482">
        <v>52.96</v>
      </c>
      <c r="E73" s="3519">
        <f t="shared" si="1"/>
        <v>3002.2658610271901</v>
      </c>
      <c r="F73" s="3481">
        <v>159000</v>
      </c>
      <c r="G73" s="3482" t="s">
        <v>4072</v>
      </c>
    </row>
    <row r="74" spans="1:7">
      <c r="A74" s="3536">
        <v>73</v>
      </c>
      <c r="B74" s="3481" t="s">
        <v>8200</v>
      </c>
      <c r="C74" s="3481" t="s">
        <v>3395</v>
      </c>
      <c r="D74" s="3482">
        <v>83.53</v>
      </c>
      <c r="E74" s="3519">
        <f t="shared" si="1"/>
        <v>33274.560038309588</v>
      </c>
      <c r="F74" s="3481">
        <v>2779424</v>
      </c>
      <c r="G74" s="3482" t="s">
        <v>8199</v>
      </c>
    </row>
    <row r="75" spans="1:7">
      <c r="A75" s="3536">
        <v>74</v>
      </c>
      <c r="B75" s="3481" t="s">
        <v>8201</v>
      </c>
      <c r="C75" s="3481" t="s">
        <v>3395</v>
      </c>
      <c r="D75" s="3482">
        <v>83.53</v>
      </c>
      <c r="E75" s="3519">
        <f t="shared" si="1"/>
        <v>33610.666826289955</v>
      </c>
      <c r="F75" s="3481">
        <v>2807499</v>
      </c>
      <c r="G75" s="3482" t="s">
        <v>8199</v>
      </c>
    </row>
    <row r="76" spans="1:7">
      <c r="A76" s="3536">
        <v>75</v>
      </c>
      <c r="B76" s="3481" t="s">
        <v>8153</v>
      </c>
      <c r="C76" s="3481" t="s">
        <v>3395</v>
      </c>
      <c r="D76" s="3482">
        <v>83.53</v>
      </c>
      <c r="E76" s="3519">
        <f t="shared" si="1"/>
        <v>33610.666826289955</v>
      </c>
      <c r="F76" s="3481">
        <v>2807499</v>
      </c>
      <c r="G76" s="3482" t="s">
        <v>4178</v>
      </c>
    </row>
    <row r="77" spans="1:7">
      <c r="A77" s="3536">
        <v>76</v>
      </c>
      <c r="B77" s="3481" t="s">
        <v>8131</v>
      </c>
      <c r="C77" s="3481" t="s">
        <v>3395</v>
      </c>
      <c r="D77" s="3482">
        <v>83.53</v>
      </c>
      <c r="E77" s="3519">
        <f t="shared" si="1"/>
        <v>33610.666826289955</v>
      </c>
      <c r="F77" s="3481">
        <v>2807499</v>
      </c>
      <c r="G77" s="3482" t="s">
        <v>8132</v>
      </c>
    </row>
    <row r="78" spans="1:7">
      <c r="A78" s="3536">
        <v>77</v>
      </c>
      <c r="B78" s="3481" t="s">
        <v>8184</v>
      </c>
      <c r="C78" s="3481" t="s">
        <v>3395</v>
      </c>
      <c r="D78" s="3482">
        <v>83.53</v>
      </c>
      <c r="E78" s="3519">
        <f t="shared" si="1"/>
        <v>33610.666826289955</v>
      </c>
      <c r="F78" s="3481">
        <v>2807499</v>
      </c>
      <c r="G78" s="3482" t="s">
        <v>8182</v>
      </c>
    </row>
    <row r="79" spans="1:7">
      <c r="A79" s="3536">
        <v>78</v>
      </c>
      <c r="B79" s="3481" t="s">
        <v>8202</v>
      </c>
      <c r="C79" s="3481" t="s">
        <v>3395</v>
      </c>
      <c r="D79" s="3482">
        <v>83.53</v>
      </c>
      <c r="E79" s="3519">
        <f t="shared" si="1"/>
        <v>33610.666826289955</v>
      </c>
      <c r="F79" s="3481">
        <v>2807499</v>
      </c>
      <c r="G79" s="3482" t="s">
        <v>8199</v>
      </c>
    </row>
    <row r="80" spans="1:7">
      <c r="A80" s="3536">
        <v>79</v>
      </c>
      <c r="B80" s="3481" t="s">
        <v>8209</v>
      </c>
      <c r="C80" s="3481" t="s">
        <v>3395</v>
      </c>
      <c r="D80" s="3482">
        <v>73.75</v>
      </c>
      <c r="E80" s="3519">
        <f t="shared" si="1"/>
        <v>35462.210169491525</v>
      </c>
      <c r="F80" s="3481">
        <v>2615338</v>
      </c>
      <c r="G80" s="3482" t="s">
        <v>8206</v>
      </c>
    </row>
    <row r="81" spans="1:7">
      <c r="A81" s="3536">
        <v>80</v>
      </c>
      <c r="B81" s="3481" t="s">
        <v>8203</v>
      </c>
      <c r="C81" s="3481" t="s">
        <v>3395</v>
      </c>
      <c r="D81" s="3482">
        <v>73.75</v>
      </c>
      <c r="E81" s="3519">
        <f t="shared" si="1"/>
        <v>35107.579661016949</v>
      </c>
      <c r="F81" s="3481">
        <v>2589184</v>
      </c>
      <c r="G81" s="3482" t="s">
        <v>8199</v>
      </c>
    </row>
    <row r="82" spans="1:7">
      <c r="A82" s="3536">
        <v>81</v>
      </c>
      <c r="B82" s="3481" t="s">
        <v>8033</v>
      </c>
      <c r="C82" s="3481" t="s">
        <v>5318</v>
      </c>
      <c r="D82" s="3482">
        <v>219.54</v>
      </c>
      <c r="E82" s="3519">
        <f t="shared" si="1"/>
        <v>23532.932495217272</v>
      </c>
      <c r="F82" s="3481">
        <v>5166420</v>
      </c>
      <c r="G82" s="3482" t="s">
        <v>4072</v>
      </c>
    </row>
    <row r="83" spans="1:7">
      <c r="A83" s="3536">
        <v>82</v>
      </c>
      <c r="B83" s="3481" t="s">
        <v>4082</v>
      </c>
      <c r="C83" s="3481" t="s">
        <v>3338</v>
      </c>
      <c r="D83" s="3482">
        <v>17.850000000000001</v>
      </c>
      <c r="E83" s="3519">
        <f t="shared" si="1"/>
        <v>3001.6806722689075</v>
      </c>
      <c r="F83" s="3481">
        <v>53580</v>
      </c>
      <c r="G83" s="3482" t="s">
        <v>4072</v>
      </c>
    </row>
    <row r="84" spans="1:7">
      <c r="A84" s="3536">
        <v>83</v>
      </c>
      <c r="B84" s="3481" t="s">
        <v>6814</v>
      </c>
      <c r="C84" s="3481" t="s">
        <v>5305</v>
      </c>
      <c r="D84" s="3482">
        <v>73.040000000000006</v>
      </c>
      <c r="E84" s="3519">
        <f t="shared" si="1"/>
        <v>37018.236582694408</v>
      </c>
      <c r="F84" s="3481">
        <v>2703812</v>
      </c>
      <c r="G84" s="3482" t="s">
        <v>3419</v>
      </c>
    </row>
    <row r="85" spans="1:7">
      <c r="A85" s="3536">
        <v>84</v>
      </c>
      <c r="B85" s="3481" t="s">
        <v>3418</v>
      </c>
      <c r="C85" s="3481" t="s">
        <v>3338</v>
      </c>
      <c r="D85" s="3482">
        <v>96.81</v>
      </c>
      <c r="E85" s="3519">
        <f t="shared" si="1"/>
        <v>13863.464518128292</v>
      </c>
      <c r="F85" s="3481">
        <v>1342122</v>
      </c>
      <c r="G85" s="3482" t="s">
        <v>3419</v>
      </c>
    </row>
    <row r="86" spans="1:7">
      <c r="A86" s="3536">
        <v>85</v>
      </c>
      <c r="B86" s="3481" t="s">
        <v>7450</v>
      </c>
      <c r="C86" s="3481" t="s">
        <v>5305</v>
      </c>
      <c r="D86" s="3482">
        <v>73.42</v>
      </c>
      <c r="E86" s="3519">
        <f t="shared" si="1"/>
        <v>32327.240533914464</v>
      </c>
      <c r="F86" s="3481">
        <v>2373466</v>
      </c>
      <c r="G86" s="3482" t="s">
        <v>3565</v>
      </c>
    </row>
    <row r="87" spans="1:7">
      <c r="A87" s="3536">
        <v>86</v>
      </c>
      <c r="B87" s="3481" t="s">
        <v>3564</v>
      </c>
      <c r="C87" s="3481" t="s">
        <v>3338</v>
      </c>
      <c r="D87" s="3482">
        <v>98.2</v>
      </c>
      <c r="E87" s="3519">
        <f t="shared" si="1"/>
        <v>13347.739307535641</v>
      </c>
      <c r="F87" s="3481">
        <v>1310748</v>
      </c>
      <c r="G87" s="3482" t="s">
        <v>3565</v>
      </c>
    </row>
    <row r="88" spans="1:7">
      <c r="A88" s="3536">
        <v>87</v>
      </c>
      <c r="B88" s="3481" t="s">
        <v>8015</v>
      </c>
      <c r="C88" s="3481" t="s">
        <v>5318</v>
      </c>
      <c r="D88" s="3482">
        <v>179.45</v>
      </c>
      <c r="E88" s="3519">
        <f t="shared" si="1"/>
        <v>27698.980217330736</v>
      </c>
      <c r="F88" s="3481">
        <v>4970582</v>
      </c>
      <c r="G88" s="3482" t="s">
        <v>4067</v>
      </c>
    </row>
    <row r="89" spans="1:7">
      <c r="A89" s="3536">
        <v>88</v>
      </c>
      <c r="B89" s="3481" t="s">
        <v>4066</v>
      </c>
      <c r="C89" s="3481" t="s">
        <v>3338</v>
      </c>
      <c r="D89" s="3482">
        <v>12.49</v>
      </c>
      <c r="E89" s="3519">
        <f t="shared" si="1"/>
        <v>3002.4019215372296</v>
      </c>
      <c r="F89" s="3481">
        <v>37500</v>
      </c>
      <c r="G89" s="3482" t="s">
        <v>4067</v>
      </c>
    </row>
    <row r="90" spans="1:7">
      <c r="A90" s="3536">
        <v>89</v>
      </c>
      <c r="B90" s="3481" t="s">
        <v>3954</v>
      </c>
      <c r="C90" s="3481" t="s">
        <v>3338</v>
      </c>
      <c r="D90" s="3482">
        <v>186.34</v>
      </c>
      <c r="E90" s="3519">
        <f t="shared" si="1"/>
        <v>13706.482773424921</v>
      </c>
      <c r="F90" s="3481">
        <v>2554066</v>
      </c>
      <c r="G90" s="3482" t="s">
        <v>3955</v>
      </c>
    </row>
    <row r="91" spans="1:7">
      <c r="A91" s="3536">
        <v>90</v>
      </c>
      <c r="B91" s="3481" t="s">
        <v>3566</v>
      </c>
      <c r="C91" s="3481" t="s">
        <v>3338</v>
      </c>
      <c r="D91" s="3482">
        <v>187.73</v>
      </c>
      <c r="E91" s="3519">
        <f t="shared" si="1"/>
        <v>13927.04415916476</v>
      </c>
      <c r="F91" s="3481">
        <v>2614524</v>
      </c>
      <c r="G91" s="3482" t="s">
        <v>3565</v>
      </c>
    </row>
    <row r="92" spans="1:7">
      <c r="A92" s="3536">
        <v>91</v>
      </c>
      <c r="B92" s="3481" t="s">
        <v>4068</v>
      </c>
      <c r="C92" s="3481" t="s">
        <v>3338</v>
      </c>
      <c r="D92" s="3482">
        <v>28.26</v>
      </c>
      <c r="E92" s="3519">
        <f t="shared" si="1"/>
        <v>3001.0615711252653</v>
      </c>
      <c r="F92" s="3481">
        <v>84810</v>
      </c>
      <c r="G92" s="3482" t="s">
        <v>4067</v>
      </c>
    </row>
    <row r="93" spans="1:7">
      <c r="A93" s="3536">
        <v>92</v>
      </c>
      <c r="B93" s="3481" t="s">
        <v>8204</v>
      </c>
      <c r="C93" s="3481" t="s">
        <v>3395</v>
      </c>
      <c r="D93" s="3482">
        <v>83.53</v>
      </c>
      <c r="E93" s="3519">
        <f t="shared" si="1"/>
        <v>33274.560038309588</v>
      </c>
      <c r="F93" s="3481">
        <v>2779424</v>
      </c>
      <c r="G93" s="3482" t="s">
        <v>8199</v>
      </c>
    </row>
    <row r="94" spans="1:7">
      <c r="A94" s="3536">
        <v>93</v>
      </c>
      <c r="B94" s="3481" t="s">
        <v>8107</v>
      </c>
      <c r="C94" s="3481" t="s">
        <v>3395</v>
      </c>
      <c r="D94" s="3482">
        <v>83.91</v>
      </c>
      <c r="E94" s="3519">
        <f t="shared" si="1"/>
        <v>33123.870813967347</v>
      </c>
      <c r="F94" s="3481">
        <v>2779424</v>
      </c>
      <c r="G94" s="3482" t="s">
        <v>8108</v>
      </c>
    </row>
    <row r="95" spans="1:7">
      <c r="A95" s="3536">
        <v>94</v>
      </c>
      <c r="B95" s="3481" t="s">
        <v>8212</v>
      </c>
      <c r="C95" s="3481" t="s">
        <v>3395</v>
      </c>
      <c r="D95" s="3482">
        <v>83.53</v>
      </c>
      <c r="E95" s="3519">
        <f t="shared" si="1"/>
        <v>32941.817311145693</v>
      </c>
      <c r="F95" s="3481">
        <v>2751630</v>
      </c>
      <c r="G95" s="3482" t="s">
        <v>8213</v>
      </c>
    </row>
    <row r="96" spans="1:7">
      <c r="A96" s="3536">
        <v>95</v>
      </c>
      <c r="B96" s="3481" t="s">
        <v>8133</v>
      </c>
      <c r="C96" s="3481" t="s">
        <v>3395</v>
      </c>
      <c r="D96" s="3482">
        <v>83.91</v>
      </c>
      <c r="E96" s="3519">
        <f t="shared" si="1"/>
        <v>33450.172804194975</v>
      </c>
      <c r="F96" s="3481">
        <v>2806804</v>
      </c>
      <c r="G96" s="3482" t="s">
        <v>8132</v>
      </c>
    </row>
    <row r="97" spans="1:7">
      <c r="A97" s="3536">
        <v>96</v>
      </c>
      <c r="B97" s="3481" t="s">
        <v>8216</v>
      </c>
      <c r="C97" s="3481" t="s">
        <v>3395</v>
      </c>
      <c r="D97" s="3482">
        <v>83.53</v>
      </c>
      <c r="E97" s="3519">
        <f t="shared" si="1"/>
        <v>32941.817311145693</v>
      </c>
      <c r="F97" s="3481">
        <v>2751630</v>
      </c>
      <c r="G97" s="3482" t="s">
        <v>8217</v>
      </c>
    </row>
    <row r="98" spans="1:7">
      <c r="A98" s="3536">
        <v>97</v>
      </c>
      <c r="B98" s="3481" t="s">
        <v>8154</v>
      </c>
      <c r="C98" s="3481" t="s">
        <v>3395</v>
      </c>
      <c r="D98" s="3482">
        <v>83.91</v>
      </c>
      <c r="E98" s="3519">
        <f t="shared" si="1"/>
        <v>33223.35836014778</v>
      </c>
      <c r="F98" s="3481">
        <v>2787772</v>
      </c>
      <c r="G98" s="3482" t="s">
        <v>4178</v>
      </c>
    </row>
    <row r="99" spans="1:7">
      <c r="A99" s="3536">
        <v>98</v>
      </c>
      <c r="B99" s="3481" t="s">
        <v>8214</v>
      </c>
      <c r="C99" s="3481" t="s">
        <v>3395</v>
      </c>
      <c r="D99" s="3482">
        <v>73.75</v>
      </c>
      <c r="E99" s="3519">
        <f t="shared" si="1"/>
        <v>35831.606779661015</v>
      </c>
      <c r="F99" s="3481">
        <v>2642581</v>
      </c>
      <c r="G99" s="3482" t="s">
        <v>8213</v>
      </c>
    </row>
    <row r="100" spans="1:7">
      <c r="A100" s="3536">
        <v>99</v>
      </c>
      <c r="B100" s="3481" t="s">
        <v>7429</v>
      </c>
      <c r="C100" s="3481" t="s">
        <v>3395</v>
      </c>
      <c r="D100" s="3482">
        <v>74.209999999999994</v>
      </c>
      <c r="E100" s="3519">
        <f t="shared" si="1"/>
        <v>35889.543188249569</v>
      </c>
      <c r="F100" s="3481">
        <v>2663363</v>
      </c>
      <c r="G100" s="3482" t="s">
        <v>7430</v>
      </c>
    </row>
    <row r="101" spans="1:7">
      <c r="A101" s="3536">
        <v>100</v>
      </c>
      <c r="B101" s="3481" t="s">
        <v>7891</v>
      </c>
      <c r="C101" s="3481" t="s">
        <v>5318</v>
      </c>
      <c r="D101" s="3482">
        <v>193.76</v>
      </c>
      <c r="E101" s="3519">
        <f t="shared" si="1"/>
        <v>26172.687861271679</v>
      </c>
      <c r="F101" s="3481">
        <v>5071220</v>
      </c>
      <c r="G101" s="3482" t="s">
        <v>3968</v>
      </c>
    </row>
    <row r="102" spans="1:7">
      <c r="A102" s="3536">
        <v>101</v>
      </c>
      <c r="B102" s="3481" t="s">
        <v>3967</v>
      </c>
      <c r="C102" s="3481" t="s">
        <v>3338</v>
      </c>
      <c r="D102" s="3482">
        <v>12.54</v>
      </c>
      <c r="E102" s="3519">
        <f t="shared" si="1"/>
        <v>3000</v>
      </c>
      <c r="F102" s="3481">
        <v>37620</v>
      </c>
      <c r="G102" s="3482" t="s">
        <v>3968</v>
      </c>
    </row>
    <row r="103" spans="1:7">
      <c r="A103" s="3536">
        <v>102</v>
      </c>
      <c r="B103" s="3481" t="s">
        <v>7693</v>
      </c>
      <c r="C103" s="3481" t="s">
        <v>5305</v>
      </c>
      <c r="D103" s="3482">
        <v>73.430000000000007</v>
      </c>
      <c r="E103" s="3519">
        <f t="shared" si="1"/>
        <v>37224.690181124875</v>
      </c>
      <c r="F103" s="3481">
        <v>2733409</v>
      </c>
      <c r="G103" s="3482" t="s">
        <v>3805</v>
      </c>
    </row>
    <row r="104" spans="1:7">
      <c r="A104" s="3536">
        <v>103</v>
      </c>
      <c r="B104" s="3481" t="s">
        <v>3804</v>
      </c>
      <c r="C104" s="3481" t="s">
        <v>3338</v>
      </c>
      <c r="D104" s="3482">
        <v>98.54</v>
      </c>
      <c r="E104" s="3519">
        <f t="shared" si="1"/>
        <v>13561.203572153439</v>
      </c>
      <c r="F104" s="3481">
        <v>1336321</v>
      </c>
      <c r="G104" s="3482" t="s">
        <v>3805</v>
      </c>
    </row>
    <row r="105" spans="1:7">
      <c r="A105" s="3536">
        <v>104</v>
      </c>
      <c r="B105" s="3481" t="s">
        <v>7776</v>
      </c>
      <c r="C105" s="3481" t="s">
        <v>5318</v>
      </c>
      <c r="D105" s="3482">
        <v>192.82</v>
      </c>
      <c r="E105" s="3519">
        <f t="shared" si="1"/>
        <v>25945.653977803133</v>
      </c>
      <c r="F105" s="3481">
        <v>5002841</v>
      </c>
      <c r="G105" s="3482" t="s">
        <v>3896</v>
      </c>
    </row>
    <row r="106" spans="1:7">
      <c r="A106" s="3536">
        <v>105</v>
      </c>
      <c r="B106" s="3481" t="s">
        <v>3895</v>
      </c>
      <c r="C106" s="3481" t="s">
        <v>3338</v>
      </c>
      <c r="D106" s="3482">
        <v>12.54</v>
      </c>
      <c r="E106" s="3519">
        <f t="shared" si="1"/>
        <v>3000</v>
      </c>
      <c r="F106" s="3481">
        <v>37620</v>
      </c>
      <c r="G106" s="3482" t="s">
        <v>3896</v>
      </c>
    </row>
    <row r="107" spans="1:7">
      <c r="A107" s="3536">
        <v>106</v>
      </c>
      <c r="B107" s="3481" t="s">
        <v>3969</v>
      </c>
      <c r="C107" s="3481" t="s">
        <v>3338</v>
      </c>
      <c r="D107" s="3482">
        <v>53.69</v>
      </c>
      <c r="E107" s="3519">
        <f t="shared" si="1"/>
        <v>3001.6762898118832</v>
      </c>
      <c r="F107" s="3481">
        <v>161160</v>
      </c>
      <c r="G107" s="3482" t="s">
        <v>3968</v>
      </c>
    </row>
    <row r="108" spans="1:7">
      <c r="A108" s="3536">
        <v>107</v>
      </c>
      <c r="B108" s="3481" t="s">
        <v>3806</v>
      </c>
      <c r="C108" s="3481" t="s">
        <v>3338</v>
      </c>
      <c r="D108" s="3482">
        <v>188.39</v>
      </c>
      <c r="E108" s="3519">
        <f t="shared" si="1"/>
        <v>13926.800785604333</v>
      </c>
      <c r="F108" s="3481">
        <v>2623670</v>
      </c>
      <c r="G108" s="3482" t="s">
        <v>3805</v>
      </c>
    </row>
    <row r="109" spans="1:7">
      <c r="A109" s="3536">
        <v>108</v>
      </c>
      <c r="B109" s="3481" t="s">
        <v>3897</v>
      </c>
      <c r="C109" s="3481" t="s">
        <v>3338</v>
      </c>
      <c r="D109" s="3482">
        <v>53.15</v>
      </c>
      <c r="E109" s="3519">
        <f t="shared" si="1"/>
        <v>3001.6933207902166</v>
      </c>
      <c r="F109" s="3481">
        <v>159540</v>
      </c>
      <c r="G109" s="3482" t="s">
        <v>3896</v>
      </c>
    </row>
    <row r="110" spans="1:7">
      <c r="A110" s="3536">
        <v>109</v>
      </c>
      <c r="B110" s="3481" t="s">
        <v>7966</v>
      </c>
      <c r="C110" s="3481" t="s">
        <v>3395</v>
      </c>
      <c r="D110" s="3482">
        <v>83.92</v>
      </c>
      <c r="E110" s="3519">
        <f t="shared" si="1"/>
        <v>33326.465681601527</v>
      </c>
      <c r="F110" s="3481">
        <v>2796757</v>
      </c>
      <c r="G110" s="3482" t="s">
        <v>7967</v>
      </c>
    </row>
    <row r="111" spans="1:7">
      <c r="A111" s="3536">
        <v>110</v>
      </c>
      <c r="B111" s="3481" t="s">
        <v>7962</v>
      </c>
      <c r="C111" s="3481" t="s">
        <v>3395</v>
      </c>
      <c r="D111" s="3482">
        <v>83.54</v>
      </c>
      <c r="E111" s="3519">
        <f t="shared" si="1"/>
        <v>33275.329183624606</v>
      </c>
      <c r="F111" s="3481">
        <v>2779821</v>
      </c>
      <c r="G111" s="3482" t="s">
        <v>7963</v>
      </c>
    </row>
    <row r="112" spans="1:7">
      <c r="A112" s="3536">
        <v>111</v>
      </c>
      <c r="B112" s="3481" t="s">
        <v>7918</v>
      </c>
      <c r="C112" s="3481" t="s">
        <v>3395</v>
      </c>
      <c r="D112" s="3482">
        <v>83.92</v>
      </c>
      <c r="E112" s="3519">
        <f t="shared" si="1"/>
        <v>33663.095805529076</v>
      </c>
      <c r="F112" s="3481">
        <v>2825007</v>
      </c>
      <c r="G112" s="3482" t="s">
        <v>3992</v>
      </c>
    </row>
    <row r="113" spans="1:7">
      <c r="A113" s="3536">
        <v>112</v>
      </c>
      <c r="B113" s="3481" t="s">
        <v>7953</v>
      </c>
      <c r="C113" s="3481" t="s">
        <v>3395</v>
      </c>
      <c r="D113" s="3482">
        <v>83.54</v>
      </c>
      <c r="E113" s="3519">
        <f t="shared" si="1"/>
        <v>33611.443619822836</v>
      </c>
      <c r="F113" s="3481">
        <v>2807900</v>
      </c>
      <c r="G113" s="3482" t="s">
        <v>4022</v>
      </c>
    </row>
    <row r="114" spans="1:7">
      <c r="A114" s="3536">
        <v>113</v>
      </c>
      <c r="B114" s="3481" t="s">
        <v>7818</v>
      </c>
      <c r="C114" s="3481" t="s">
        <v>3395</v>
      </c>
      <c r="D114" s="3482">
        <v>83.92</v>
      </c>
      <c r="E114" s="3519">
        <f t="shared" si="1"/>
        <v>33663.369876072451</v>
      </c>
      <c r="F114" s="3481">
        <v>2825030</v>
      </c>
      <c r="G114" s="3482" t="s">
        <v>7819</v>
      </c>
    </row>
    <row r="115" spans="1:7">
      <c r="A115" s="3536">
        <v>114</v>
      </c>
      <c r="B115" s="3481" t="s">
        <v>7916</v>
      </c>
      <c r="C115" s="3481" t="s">
        <v>3395</v>
      </c>
      <c r="D115" s="3482">
        <v>83.54</v>
      </c>
      <c r="E115" s="3519">
        <f t="shared" si="1"/>
        <v>33275.06583672492</v>
      </c>
      <c r="F115" s="3481">
        <v>2779799</v>
      </c>
      <c r="G115" s="3482" t="s">
        <v>7917</v>
      </c>
    </row>
    <row r="116" spans="1:7">
      <c r="A116" s="3536">
        <v>115</v>
      </c>
      <c r="B116" s="3481" t="s">
        <v>8177</v>
      </c>
      <c r="C116" s="3481" t="s">
        <v>3395</v>
      </c>
      <c r="D116" s="3482">
        <v>74.22</v>
      </c>
      <c r="E116" s="3519">
        <f t="shared" si="1"/>
        <v>35107.949339800594</v>
      </c>
      <c r="F116" s="3481">
        <v>2605712</v>
      </c>
      <c r="G116" s="3482" t="s">
        <v>8176</v>
      </c>
    </row>
    <row r="117" spans="1:7">
      <c r="A117" s="3536">
        <v>116</v>
      </c>
      <c r="B117" s="3481" t="s">
        <v>8178</v>
      </c>
      <c r="C117" s="3481" t="s">
        <v>3395</v>
      </c>
      <c r="D117" s="3482">
        <v>73.760000000000005</v>
      </c>
      <c r="E117" s="3519">
        <f t="shared" si="1"/>
        <v>34408.947939262471</v>
      </c>
      <c r="F117" s="3481">
        <v>2538004</v>
      </c>
      <c r="G117" s="3482" t="s">
        <v>8176</v>
      </c>
    </row>
    <row r="118" spans="1:7">
      <c r="A118" s="3536">
        <v>117</v>
      </c>
      <c r="B118" s="3481" t="s">
        <v>7900</v>
      </c>
      <c r="C118" s="3481" t="s">
        <v>5318</v>
      </c>
      <c r="D118" s="3482">
        <v>192.82</v>
      </c>
      <c r="E118" s="3519">
        <f t="shared" si="1"/>
        <v>25945.648791619129</v>
      </c>
      <c r="F118" s="3481">
        <v>5002840</v>
      </c>
      <c r="G118" s="3482" t="s">
        <v>3986</v>
      </c>
    </row>
    <row r="119" spans="1:7">
      <c r="A119" s="3536">
        <v>118</v>
      </c>
      <c r="B119" s="3481" t="s">
        <v>3985</v>
      </c>
      <c r="C119" s="3481" t="s">
        <v>3338</v>
      </c>
      <c r="D119" s="3482">
        <v>12.54</v>
      </c>
      <c r="E119" s="3519">
        <f t="shared" si="1"/>
        <v>3000</v>
      </c>
      <c r="F119" s="3481">
        <v>37620</v>
      </c>
      <c r="G119" s="3482" t="s">
        <v>3986</v>
      </c>
    </row>
    <row r="120" spans="1:7">
      <c r="A120" s="3536">
        <v>119</v>
      </c>
      <c r="B120" s="3481" t="s">
        <v>7754</v>
      </c>
      <c r="C120" s="3481" t="s">
        <v>5305</v>
      </c>
      <c r="D120" s="3482">
        <v>73.05</v>
      </c>
      <c r="E120" s="3519">
        <f t="shared" si="1"/>
        <v>31561.300479123889</v>
      </c>
      <c r="F120" s="3481">
        <v>2305553</v>
      </c>
      <c r="G120" s="3482" t="s">
        <v>3877</v>
      </c>
    </row>
    <row r="121" spans="1:7">
      <c r="A121" s="3536">
        <v>120</v>
      </c>
      <c r="B121" s="3481" t="s">
        <v>3876</v>
      </c>
      <c r="C121" s="3481" t="s">
        <v>3338</v>
      </c>
      <c r="D121" s="3482">
        <v>97.14</v>
      </c>
      <c r="E121" s="3519">
        <f t="shared" si="1"/>
        <v>15964.515132798024</v>
      </c>
      <c r="F121" s="3481">
        <v>1550793</v>
      </c>
      <c r="G121" s="3482" t="s">
        <v>3877</v>
      </c>
    </row>
    <row r="122" spans="1:7">
      <c r="A122" s="3536">
        <v>121</v>
      </c>
      <c r="B122" s="3481" t="s">
        <v>7892</v>
      </c>
      <c r="C122" s="3481" t="s">
        <v>5318</v>
      </c>
      <c r="D122" s="3482">
        <v>192.82</v>
      </c>
      <c r="E122" s="3519">
        <f t="shared" si="1"/>
        <v>25433.513121045537</v>
      </c>
      <c r="F122" s="3481">
        <v>4904090</v>
      </c>
      <c r="G122" s="3482" t="s">
        <v>3968</v>
      </c>
    </row>
    <row r="123" spans="1:7">
      <c r="A123" s="3536">
        <v>122</v>
      </c>
      <c r="B123" s="3481" t="s">
        <v>3970</v>
      </c>
      <c r="C123" s="3481" t="s">
        <v>3338</v>
      </c>
      <c r="D123" s="3482">
        <v>12.54</v>
      </c>
      <c r="E123" s="3519">
        <f t="shared" si="1"/>
        <v>3000</v>
      </c>
      <c r="F123" s="3481">
        <v>37620</v>
      </c>
      <c r="G123" s="3482" t="s">
        <v>3968</v>
      </c>
    </row>
    <row r="124" spans="1:7">
      <c r="A124" s="3536">
        <v>123</v>
      </c>
      <c r="B124" s="3481" t="s">
        <v>3987</v>
      </c>
      <c r="C124" s="3481" t="s">
        <v>3338</v>
      </c>
      <c r="D124" s="3482">
        <v>53.15</v>
      </c>
      <c r="E124" s="3519">
        <f t="shared" si="1"/>
        <v>3001.6933207902166</v>
      </c>
      <c r="F124" s="3481">
        <v>159540</v>
      </c>
      <c r="G124" s="3482" t="s">
        <v>3986</v>
      </c>
    </row>
    <row r="125" spans="1:7">
      <c r="A125" s="3536">
        <v>124</v>
      </c>
      <c r="B125" s="3481" t="s">
        <v>3878</v>
      </c>
      <c r="C125" s="3481" t="s">
        <v>3338</v>
      </c>
      <c r="D125" s="3482">
        <v>186.99</v>
      </c>
      <c r="E125" s="3519">
        <f t="shared" si="1"/>
        <v>15022.503877212685</v>
      </c>
      <c r="F125" s="3481">
        <v>2809058</v>
      </c>
      <c r="G125" s="3482" t="s">
        <v>3877</v>
      </c>
    </row>
    <row r="126" spans="1:7">
      <c r="A126" s="3536">
        <v>125</v>
      </c>
      <c r="B126" s="3481" t="s">
        <v>3971</v>
      </c>
      <c r="C126" s="3481" t="s">
        <v>3338</v>
      </c>
      <c r="D126" s="3482">
        <v>53.15</v>
      </c>
      <c r="E126" s="3519">
        <f t="shared" si="1"/>
        <v>3001.6933207902166</v>
      </c>
      <c r="F126" s="3481">
        <v>159540</v>
      </c>
      <c r="G126" s="3482" t="s">
        <v>3968</v>
      </c>
    </row>
    <row r="127" spans="1:7">
      <c r="A127" s="3536">
        <v>126</v>
      </c>
      <c r="B127" s="3481" t="s">
        <v>8034</v>
      </c>
      <c r="C127" s="3481" t="s">
        <v>3395</v>
      </c>
      <c r="D127" s="3482">
        <v>83.54</v>
      </c>
      <c r="E127" s="3519">
        <f t="shared" si="1"/>
        <v>33611.443619822836</v>
      </c>
      <c r="F127" s="3481">
        <v>2807900</v>
      </c>
      <c r="G127" s="3482" t="s">
        <v>4084</v>
      </c>
    </row>
    <row r="128" spans="1:7">
      <c r="A128" s="3536">
        <v>127</v>
      </c>
      <c r="B128" s="3481" t="s">
        <v>7954</v>
      </c>
      <c r="C128" s="3481" t="s">
        <v>3395</v>
      </c>
      <c r="D128" s="3482">
        <v>83.54</v>
      </c>
      <c r="E128" s="3519">
        <f t="shared" si="1"/>
        <v>33275.329183624606</v>
      </c>
      <c r="F128" s="3481">
        <v>2779821</v>
      </c>
      <c r="G128" s="3482" t="s">
        <v>4022</v>
      </c>
    </row>
    <row r="129" spans="1:7">
      <c r="A129" s="3536">
        <v>128</v>
      </c>
      <c r="B129" s="3481" t="s">
        <v>7955</v>
      </c>
      <c r="C129" s="3481" t="s">
        <v>3395</v>
      </c>
      <c r="D129" s="3482">
        <v>83.54</v>
      </c>
      <c r="E129" s="3519">
        <f t="shared" si="1"/>
        <v>33611.180272923149</v>
      </c>
      <c r="F129" s="3481">
        <v>2807878</v>
      </c>
      <c r="G129" s="3482" t="s">
        <v>4022</v>
      </c>
    </row>
    <row r="130" spans="1:7">
      <c r="A130" s="3536">
        <v>129</v>
      </c>
      <c r="B130" s="3481" t="s">
        <v>7964</v>
      </c>
      <c r="C130" s="3481" t="s">
        <v>3395</v>
      </c>
      <c r="D130" s="3482">
        <v>83.54</v>
      </c>
      <c r="E130" s="3519">
        <f t="shared" si="1"/>
        <v>33275.329183624606</v>
      </c>
      <c r="F130" s="3481">
        <v>2779821</v>
      </c>
      <c r="G130" s="3482" t="s">
        <v>7965</v>
      </c>
    </row>
    <row r="131" spans="1:7">
      <c r="A131" s="3536">
        <v>130</v>
      </c>
      <c r="B131" s="3481" t="s">
        <v>7959</v>
      </c>
      <c r="C131" s="3481" t="s">
        <v>3395</v>
      </c>
      <c r="D131" s="3482">
        <v>83.54</v>
      </c>
      <c r="E131" s="3519">
        <f t="shared" ref="E131:E194" si="2">F131/D131</f>
        <v>33275.06583672492</v>
      </c>
      <c r="F131" s="3481">
        <v>2779799</v>
      </c>
      <c r="G131" s="3482" t="s">
        <v>4025</v>
      </c>
    </row>
    <row r="132" spans="1:7">
      <c r="A132" s="3536">
        <v>131</v>
      </c>
      <c r="B132" s="3481" t="s">
        <v>7930</v>
      </c>
      <c r="C132" s="3481" t="s">
        <v>3395</v>
      </c>
      <c r="D132" s="3482">
        <v>83.54</v>
      </c>
      <c r="E132" s="3519">
        <f t="shared" si="2"/>
        <v>32932.164232702897</v>
      </c>
      <c r="F132" s="3481">
        <v>2751153</v>
      </c>
      <c r="G132" s="3482" t="s">
        <v>4005</v>
      </c>
    </row>
    <row r="133" spans="1:7">
      <c r="A133" s="3536">
        <v>132</v>
      </c>
      <c r="B133" s="3481" t="s">
        <v>8172</v>
      </c>
      <c r="C133" s="3481" t="s">
        <v>3395</v>
      </c>
      <c r="D133" s="3482">
        <v>73.760000000000005</v>
      </c>
      <c r="E133" s="3519">
        <f t="shared" si="2"/>
        <v>35831.616052060737</v>
      </c>
      <c r="F133" s="3481">
        <v>2642940</v>
      </c>
      <c r="G133" s="3482" t="s">
        <v>8173</v>
      </c>
    </row>
    <row r="134" spans="1:7">
      <c r="A134" s="3536">
        <v>133</v>
      </c>
      <c r="B134" s="3481" t="s">
        <v>8155</v>
      </c>
      <c r="C134" s="3481" t="s">
        <v>3395</v>
      </c>
      <c r="D134" s="3482">
        <v>73.760000000000005</v>
      </c>
      <c r="E134" s="3519">
        <f t="shared" si="2"/>
        <v>35473.29175704989</v>
      </c>
      <c r="F134" s="3481">
        <v>2616510</v>
      </c>
      <c r="G134" s="3482" t="s">
        <v>4178</v>
      </c>
    </row>
    <row r="135" spans="1:7">
      <c r="A135" s="3536">
        <v>134</v>
      </c>
      <c r="B135" s="3481" t="s">
        <v>7893</v>
      </c>
      <c r="C135" s="3481" t="s">
        <v>5318</v>
      </c>
      <c r="D135" s="3482">
        <v>178.28</v>
      </c>
      <c r="E135" s="3519">
        <f t="shared" si="2"/>
        <v>28424.50078528158</v>
      </c>
      <c r="F135" s="3481">
        <v>5067520</v>
      </c>
      <c r="G135" s="3482" t="s">
        <v>3968</v>
      </c>
    </row>
    <row r="136" spans="1:7">
      <c r="A136" s="3536">
        <v>135</v>
      </c>
      <c r="B136" s="3481" t="s">
        <v>3972</v>
      </c>
      <c r="C136" s="3481" t="s">
        <v>3338</v>
      </c>
      <c r="D136" s="3482">
        <v>25.8</v>
      </c>
      <c r="E136" s="3519">
        <f t="shared" si="2"/>
        <v>3000</v>
      </c>
      <c r="F136" s="3481">
        <v>77400</v>
      </c>
      <c r="G136" s="3482" t="s">
        <v>3968</v>
      </c>
    </row>
    <row r="137" spans="1:7">
      <c r="A137" s="3536">
        <v>136</v>
      </c>
      <c r="B137" s="3481" t="s">
        <v>7700</v>
      </c>
      <c r="C137" s="3481" t="s">
        <v>5305</v>
      </c>
      <c r="D137" s="3482">
        <v>73.05</v>
      </c>
      <c r="E137" s="3519">
        <f t="shared" si="2"/>
        <v>31880.109514031486</v>
      </c>
      <c r="F137" s="3481">
        <v>2328842</v>
      </c>
      <c r="G137" s="3482" t="s">
        <v>3810</v>
      </c>
    </row>
    <row r="138" spans="1:7">
      <c r="A138" s="3536">
        <v>137</v>
      </c>
      <c r="B138" s="3481" t="s">
        <v>3811</v>
      </c>
      <c r="C138" s="3481" t="s">
        <v>3338</v>
      </c>
      <c r="D138" s="3482">
        <v>97.24</v>
      </c>
      <c r="E138" s="3519">
        <f t="shared" si="2"/>
        <v>15962.505141916907</v>
      </c>
      <c r="F138" s="3481">
        <v>1552194</v>
      </c>
      <c r="G138" s="3482" t="s">
        <v>3810</v>
      </c>
    </row>
    <row r="139" spans="1:7">
      <c r="A139" s="3536">
        <v>138</v>
      </c>
      <c r="B139" s="3481" t="s">
        <v>7526</v>
      </c>
      <c r="C139" s="3481" t="s">
        <v>5305</v>
      </c>
      <c r="D139" s="3482">
        <v>73.430000000000007</v>
      </c>
      <c r="E139" s="3519">
        <f t="shared" si="2"/>
        <v>32027.155113713739</v>
      </c>
      <c r="F139" s="3481">
        <v>2351754</v>
      </c>
      <c r="G139" s="3482" t="s">
        <v>3645</v>
      </c>
    </row>
    <row r="140" spans="1:7">
      <c r="A140" s="3536">
        <v>139</v>
      </c>
      <c r="B140" s="3481" t="s">
        <v>3644</v>
      </c>
      <c r="C140" s="3481" t="s">
        <v>3338</v>
      </c>
      <c r="D140" s="3482">
        <v>98.54</v>
      </c>
      <c r="E140" s="3519">
        <f t="shared" si="2"/>
        <v>13336.24923888776</v>
      </c>
      <c r="F140" s="3481">
        <v>1314154</v>
      </c>
      <c r="G140" s="3482" t="s">
        <v>3645</v>
      </c>
    </row>
    <row r="141" spans="1:7">
      <c r="A141" s="3536">
        <v>140</v>
      </c>
      <c r="B141" s="3481" t="s">
        <v>7906</v>
      </c>
      <c r="C141" s="3481" t="s">
        <v>5318</v>
      </c>
      <c r="D141" s="3482">
        <v>179.48</v>
      </c>
      <c r="E141" s="3519">
        <f t="shared" si="2"/>
        <v>28064.631156674841</v>
      </c>
      <c r="F141" s="3481">
        <v>5037040</v>
      </c>
      <c r="G141" s="3482" t="s">
        <v>3989</v>
      </c>
    </row>
    <row r="142" spans="1:7">
      <c r="A142" s="3536">
        <v>141</v>
      </c>
      <c r="B142" s="3481" t="s">
        <v>3988</v>
      </c>
      <c r="C142" s="3481" t="s">
        <v>3338</v>
      </c>
      <c r="D142" s="3482">
        <v>25.96</v>
      </c>
      <c r="E142" s="3519">
        <f t="shared" si="2"/>
        <v>3000</v>
      </c>
      <c r="F142" s="3481">
        <v>77880</v>
      </c>
      <c r="G142" s="3482" t="s">
        <v>3989</v>
      </c>
    </row>
    <row r="143" spans="1:7">
      <c r="A143" s="3536">
        <v>142</v>
      </c>
      <c r="B143" s="3481" t="s">
        <v>3973</v>
      </c>
      <c r="C143" s="3481" t="s">
        <v>3338</v>
      </c>
      <c r="D143" s="3482">
        <v>28.35</v>
      </c>
      <c r="E143" s="3519">
        <f t="shared" si="2"/>
        <v>3001.0582010582011</v>
      </c>
      <c r="F143" s="3481">
        <v>85080</v>
      </c>
      <c r="G143" s="3482" t="s">
        <v>3968</v>
      </c>
    </row>
    <row r="144" spans="1:7">
      <c r="A144" s="3536">
        <v>143</v>
      </c>
      <c r="B144" s="3481" t="s">
        <v>3812</v>
      </c>
      <c r="C144" s="3481" t="s">
        <v>3338</v>
      </c>
      <c r="D144" s="3482">
        <v>182.08</v>
      </c>
      <c r="E144" s="3519">
        <f t="shared" si="2"/>
        <v>15215.971001757469</v>
      </c>
      <c r="F144" s="3481">
        <v>2770524</v>
      </c>
      <c r="G144" s="3482" t="s">
        <v>3810</v>
      </c>
    </row>
    <row r="145" spans="1:7">
      <c r="A145" s="3536">
        <v>144</v>
      </c>
      <c r="B145" s="3481" t="s">
        <v>3646</v>
      </c>
      <c r="C145" s="3481" t="s">
        <v>3338</v>
      </c>
      <c r="D145" s="3482">
        <v>188.39</v>
      </c>
      <c r="E145" s="3519">
        <f t="shared" si="2"/>
        <v>13475.343701895006</v>
      </c>
      <c r="F145" s="3481">
        <v>2538620</v>
      </c>
      <c r="G145" s="3482" t="s">
        <v>3645</v>
      </c>
    </row>
    <row r="146" spans="1:7">
      <c r="A146" s="3536">
        <v>145</v>
      </c>
      <c r="B146" s="3481" t="s">
        <v>3990</v>
      </c>
      <c r="C146" s="3481" t="s">
        <v>3338</v>
      </c>
      <c r="D146" s="3482">
        <v>28.35</v>
      </c>
      <c r="E146" s="3519">
        <f t="shared" si="2"/>
        <v>3001.0582010582011</v>
      </c>
      <c r="F146" s="3481">
        <v>85080</v>
      </c>
      <c r="G146" s="3482" t="s">
        <v>3989</v>
      </c>
    </row>
    <row r="147" spans="1:7">
      <c r="A147" s="3536">
        <v>146</v>
      </c>
      <c r="B147" s="3481" t="s">
        <v>8109</v>
      </c>
      <c r="C147" s="3481" t="s">
        <v>3395</v>
      </c>
      <c r="D147" s="3482">
        <v>83.54</v>
      </c>
      <c r="E147" s="3519">
        <f t="shared" si="2"/>
        <v>33275.329183624606</v>
      </c>
      <c r="F147" s="3481">
        <v>2779821</v>
      </c>
      <c r="G147" s="3482" t="s">
        <v>8108</v>
      </c>
    </row>
    <row r="148" spans="1:7">
      <c r="A148" s="3536">
        <v>147</v>
      </c>
      <c r="B148" s="3481" t="s">
        <v>8111</v>
      </c>
      <c r="C148" s="3481" t="s">
        <v>3395</v>
      </c>
      <c r="D148" s="3482">
        <v>83.92</v>
      </c>
      <c r="E148" s="3519">
        <f t="shared" si="2"/>
        <v>33326.739752144902</v>
      </c>
      <c r="F148" s="3481">
        <v>2796780</v>
      </c>
      <c r="G148" s="3482" t="s">
        <v>4147</v>
      </c>
    </row>
    <row r="149" spans="1:7">
      <c r="A149" s="3536">
        <v>148</v>
      </c>
      <c r="B149" s="3481" t="s">
        <v>7993</v>
      </c>
      <c r="C149" s="3481" t="s">
        <v>3395</v>
      </c>
      <c r="D149" s="3482">
        <v>83.54</v>
      </c>
      <c r="E149" s="3519">
        <f t="shared" si="2"/>
        <v>33275.329183624606</v>
      </c>
      <c r="F149" s="3481">
        <v>2779821</v>
      </c>
      <c r="G149" s="3482" t="s">
        <v>7994</v>
      </c>
    </row>
    <row r="150" spans="1:7">
      <c r="A150" s="3536">
        <v>149</v>
      </c>
      <c r="B150" s="3481" t="s">
        <v>7919</v>
      </c>
      <c r="C150" s="3481" t="s">
        <v>3395</v>
      </c>
      <c r="D150" s="3482">
        <v>83.92</v>
      </c>
      <c r="E150" s="3519">
        <f t="shared" si="2"/>
        <v>32983.031458531936</v>
      </c>
      <c r="F150" s="3481">
        <v>2767936</v>
      </c>
      <c r="G150" s="3482" t="s">
        <v>3992</v>
      </c>
    </row>
    <row r="151" spans="1:7">
      <c r="A151" s="3536">
        <v>150</v>
      </c>
      <c r="B151" s="3481" t="s">
        <v>7895</v>
      </c>
      <c r="C151" s="3481" t="s">
        <v>3395</v>
      </c>
      <c r="D151" s="3482">
        <v>83.54</v>
      </c>
      <c r="E151" s="3519">
        <f t="shared" si="2"/>
        <v>33611.180272923149</v>
      </c>
      <c r="F151" s="3481">
        <v>2807878</v>
      </c>
      <c r="G151" s="3482" t="s">
        <v>7896</v>
      </c>
    </row>
    <row r="152" spans="1:7">
      <c r="A152" s="3536">
        <v>151</v>
      </c>
      <c r="B152" s="3481" t="s">
        <v>7842</v>
      </c>
      <c r="C152" s="3481" t="s">
        <v>3395</v>
      </c>
      <c r="D152" s="3482">
        <v>83.92</v>
      </c>
      <c r="E152" s="3519">
        <f t="shared" si="2"/>
        <v>33316.193994280264</v>
      </c>
      <c r="F152" s="3481">
        <v>2795895</v>
      </c>
      <c r="G152" s="3482" t="s">
        <v>7843</v>
      </c>
    </row>
    <row r="153" spans="1:7">
      <c r="A153" s="3536">
        <v>152</v>
      </c>
      <c r="B153" s="3481" t="s">
        <v>8136</v>
      </c>
      <c r="C153" s="3481" t="s">
        <v>3395</v>
      </c>
      <c r="D153" s="3482">
        <v>73.760000000000005</v>
      </c>
      <c r="E153" s="3519">
        <f t="shared" si="2"/>
        <v>35462.215292841647</v>
      </c>
      <c r="F153" s="3481">
        <v>2615693</v>
      </c>
      <c r="G153" s="3482" t="s">
        <v>4159</v>
      </c>
    </row>
    <row r="154" spans="1:7">
      <c r="A154" s="3536">
        <v>153</v>
      </c>
      <c r="B154" s="3481" t="s">
        <v>8137</v>
      </c>
      <c r="C154" s="3481" t="s">
        <v>3395</v>
      </c>
      <c r="D154" s="3482">
        <v>74.22</v>
      </c>
      <c r="E154" s="3519">
        <f t="shared" si="2"/>
        <v>35843.020749124225</v>
      </c>
      <c r="F154" s="3481">
        <v>2660269</v>
      </c>
      <c r="G154" s="3482" t="s">
        <v>4159</v>
      </c>
    </row>
    <row r="155" spans="1:7">
      <c r="A155" s="3536">
        <v>154</v>
      </c>
      <c r="B155" s="3481" t="s">
        <v>7851</v>
      </c>
      <c r="C155" s="3481" t="s">
        <v>5318</v>
      </c>
      <c r="D155" s="3482">
        <v>193.76</v>
      </c>
      <c r="E155" s="3519">
        <f t="shared" si="2"/>
        <v>24882.586705202313</v>
      </c>
      <c r="F155" s="3481">
        <v>4821250</v>
      </c>
      <c r="G155" s="3482" t="s">
        <v>3960</v>
      </c>
    </row>
    <row r="156" spans="1:7">
      <c r="A156" s="3536">
        <v>155</v>
      </c>
      <c r="B156" s="3481" t="s">
        <v>3959</v>
      </c>
      <c r="C156" s="3481" t="s">
        <v>3338</v>
      </c>
      <c r="D156" s="3482">
        <v>12.54</v>
      </c>
      <c r="E156" s="3519">
        <f t="shared" si="2"/>
        <v>3000</v>
      </c>
      <c r="F156" s="3481">
        <v>37620</v>
      </c>
      <c r="G156" s="3482" t="s">
        <v>3960</v>
      </c>
    </row>
    <row r="157" spans="1:7">
      <c r="A157" s="3536">
        <v>156</v>
      </c>
      <c r="B157" s="3481" t="s">
        <v>7536</v>
      </c>
      <c r="C157" s="3481" t="s">
        <v>5305</v>
      </c>
      <c r="D157" s="3482">
        <v>73.430000000000007</v>
      </c>
      <c r="E157" s="3519">
        <f t="shared" si="2"/>
        <v>32027.155113713739</v>
      </c>
      <c r="F157" s="3481">
        <v>2351754</v>
      </c>
      <c r="G157" s="3482" t="s">
        <v>3657</v>
      </c>
    </row>
    <row r="158" spans="1:7">
      <c r="A158" s="3536">
        <v>157</v>
      </c>
      <c r="B158" s="3481" t="s">
        <v>3656</v>
      </c>
      <c r="C158" s="3481" t="s">
        <v>3338</v>
      </c>
      <c r="D158" s="3482">
        <v>98.52</v>
      </c>
      <c r="E158" s="3519">
        <f t="shared" si="2"/>
        <v>13338.956557044256</v>
      </c>
      <c r="F158" s="3481">
        <v>1314154</v>
      </c>
      <c r="G158" s="3482" t="s">
        <v>3657</v>
      </c>
    </row>
    <row r="159" spans="1:7">
      <c r="A159" s="3536">
        <v>158</v>
      </c>
      <c r="B159" s="3481" t="s">
        <v>7813</v>
      </c>
      <c r="C159" s="3481" t="s">
        <v>5318</v>
      </c>
      <c r="D159" s="3482">
        <v>192.82</v>
      </c>
      <c r="E159" s="3519">
        <f t="shared" si="2"/>
        <v>26360.699097603985</v>
      </c>
      <c r="F159" s="3481">
        <v>5082870</v>
      </c>
      <c r="G159" s="3482" t="s">
        <v>3930</v>
      </c>
    </row>
    <row r="160" spans="1:7">
      <c r="A160" s="3536">
        <v>159</v>
      </c>
      <c r="B160" s="3481" t="s">
        <v>3929</v>
      </c>
      <c r="C160" s="3481" t="s">
        <v>3338</v>
      </c>
      <c r="D160" s="3482">
        <v>12.54</v>
      </c>
      <c r="E160" s="3519">
        <f t="shared" si="2"/>
        <v>3000</v>
      </c>
      <c r="F160" s="3481">
        <v>37620</v>
      </c>
      <c r="G160" s="3482" t="s">
        <v>3930</v>
      </c>
    </row>
    <row r="161" spans="1:7">
      <c r="A161" s="3536">
        <v>160</v>
      </c>
      <c r="B161" s="3481" t="s">
        <v>3961</v>
      </c>
      <c r="C161" s="3481" t="s">
        <v>3338</v>
      </c>
      <c r="D161" s="3482">
        <v>53.68</v>
      </c>
      <c r="E161" s="3519">
        <f t="shared" si="2"/>
        <v>3001.6766020864384</v>
      </c>
      <c r="F161" s="3481">
        <v>161130</v>
      </c>
      <c r="G161" s="3482" t="s">
        <v>3960</v>
      </c>
    </row>
    <row r="162" spans="1:7">
      <c r="A162" s="3536">
        <v>161</v>
      </c>
      <c r="B162" s="3481" t="s">
        <v>3658</v>
      </c>
      <c r="C162" s="3481" t="s">
        <v>3338</v>
      </c>
      <c r="D162" s="3482">
        <v>188.35</v>
      </c>
      <c r="E162" s="3519">
        <f t="shared" si="2"/>
        <v>13478.205468542606</v>
      </c>
      <c r="F162" s="3481">
        <v>2538620</v>
      </c>
      <c r="G162" s="3482" t="s">
        <v>3657</v>
      </c>
    </row>
    <row r="163" spans="1:7">
      <c r="A163" s="3536">
        <v>162</v>
      </c>
      <c r="B163" s="3481" t="s">
        <v>3931</v>
      </c>
      <c r="C163" s="3481" t="s">
        <v>3338</v>
      </c>
      <c r="D163" s="3482">
        <v>53.14</v>
      </c>
      <c r="E163" s="3519">
        <f t="shared" si="2"/>
        <v>3001.6936394429808</v>
      </c>
      <c r="F163" s="3481">
        <v>159510</v>
      </c>
      <c r="G163" s="3482" t="s">
        <v>3930</v>
      </c>
    </row>
    <row r="164" spans="1:7">
      <c r="A164" s="3536">
        <v>163</v>
      </c>
      <c r="B164" s="3481" t="s">
        <v>7946</v>
      </c>
      <c r="C164" s="3481" t="s">
        <v>3395</v>
      </c>
      <c r="D164" s="3482">
        <v>83.92</v>
      </c>
      <c r="E164" s="3519">
        <f t="shared" si="2"/>
        <v>33663.095805529076</v>
      </c>
      <c r="F164" s="3481">
        <v>2825007</v>
      </c>
      <c r="G164" s="3482" t="s">
        <v>7947</v>
      </c>
    </row>
    <row r="165" spans="1:7">
      <c r="A165" s="3536">
        <v>164</v>
      </c>
      <c r="B165" s="3481" t="s">
        <v>7956</v>
      </c>
      <c r="C165" s="3481" t="s">
        <v>3395</v>
      </c>
      <c r="D165" s="3482">
        <v>83.54</v>
      </c>
      <c r="E165" s="3519">
        <f t="shared" si="2"/>
        <v>33275.06583672492</v>
      </c>
      <c r="F165" s="3481">
        <v>2779799</v>
      </c>
      <c r="G165" s="3482" t="s">
        <v>4022</v>
      </c>
    </row>
    <row r="166" spans="1:7">
      <c r="A166" s="3536">
        <v>165</v>
      </c>
      <c r="B166" s="3481" t="s">
        <v>7960</v>
      </c>
      <c r="C166" s="3481" t="s">
        <v>3395</v>
      </c>
      <c r="D166" s="3482">
        <v>83.92</v>
      </c>
      <c r="E166" s="3519">
        <f t="shared" si="2"/>
        <v>33326.465681601527</v>
      </c>
      <c r="F166" s="3481">
        <v>2796757</v>
      </c>
      <c r="G166" s="3482" t="s">
        <v>4025</v>
      </c>
    </row>
    <row r="167" spans="1:7">
      <c r="A167" s="3536">
        <v>166</v>
      </c>
      <c r="B167" s="3481" t="s">
        <v>7920</v>
      </c>
      <c r="C167" s="3481" t="s">
        <v>3395</v>
      </c>
      <c r="D167" s="3482">
        <v>83.54</v>
      </c>
      <c r="E167" s="3519">
        <f t="shared" si="2"/>
        <v>33264.807277950677</v>
      </c>
      <c r="F167" s="3481">
        <v>2778942</v>
      </c>
      <c r="G167" s="3482" t="s">
        <v>3992</v>
      </c>
    </row>
    <row r="168" spans="1:7">
      <c r="A168" s="3536">
        <v>167</v>
      </c>
      <c r="B168" s="3481" t="s">
        <v>7921</v>
      </c>
      <c r="C168" s="3481" t="s">
        <v>3395</v>
      </c>
      <c r="D168" s="3482">
        <v>83.92</v>
      </c>
      <c r="E168" s="3519">
        <f t="shared" si="2"/>
        <v>32653.193517635842</v>
      </c>
      <c r="F168" s="3481">
        <v>2740256</v>
      </c>
      <c r="G168" s="3482" t="s">
        <v>3992</v>
      </c>
    </row>
    <row r="169" spans="1:7">
      <c r="A169" s="3536">
        <v>168</v>
      </c>
      <c r="B169" s="3481" t="s">
        <v>7922</v>
      </c>
      <c r="C169" s="3481" t="s">
        <v>3395</v>
      </c>
      <c r="D169" s="3482">
        <v>83.54</v>
      </c>
      <c r="E169" s="3519">
        <f t="shared" si="2"/>
        <v>33611.180272923149</v>
      </c>
      <c r="F169" s="3481">
        <v>2807878</v>
      </c>
      <c r="G169" s="3482" t="s">
        <v>3992</v>
      </c>
    </row>
    <row r="170" spans="1:7">
      <c r="A170" s="3536">
        <v>169</v>
      </c>
      <c r="B170" s="3481" t="s">
        <v>8185</v>
      </c>
      <c r="C170" s="3481" t="s">
        <v>3395</v>
      </c>
      <c r="D170" s="3482">
        <v>74.22</v>
      </c>
      <c r="E170" s="3519">
        <f t="shared" si="2"/>
        <v>35473.659390999732</v>
      </c>
      <c r="F170" s="3481">
        <v>2632855</v>
      </c>
      <c r="G170" s="3482" t="s">
        <v>8182</v>
      </c>
    </row>
    <row r="171" spans="1:7">
      <c r="A171" s="3536">
        <v>170</v>
      </c>
      <c r="B171" s="3481" t="s">
        <v>8160</v>
      </c>
      <c r="C171" s="3481" t="s">
        <v>3395</v>
      </c>
      <c r="D171" s="3482">
        <v>73.760000000000005</v>
      </c>
      <c r="E171" s="3519">
        <f t="shared" si="2"/>
        <v>35842.651843817788</v>
      </c>
      <c r="F171" s="3481">
        <v>2643754</v>
      </c>
      <c r="G171" s="3482" t="s">
        <v>4185</v>
      </c>
    </row>
    <row r="172" spans="1:7">
      <c r="A172" s="3536">
        <v>171</v>
      </c>
      <c r="B172" s="3481" t="s">
        <v>7852</v>
      </c>
      <c r="C172" s="3481" t="s">
        <v>5318</v>
      </c>
      <c r="D172" s="3482">
        <v>192.82</v>
      </c>
      <c r="E172" s="3519">
        <f t="shared" si="2"/>
        <v>25012.291256093766</v>
      </c>
      <c r="F172" s="3481">
        <v>4822870</v>
      </c>
      <c r="G172" s="3482" t="s">
        <v>3960</v>
      </c>
    </row>
    <row r="173" spans="1:7">
      <c r="A173" s="3536">
        <v>172</v>
      </c>
      <c r="B173" s="3481" t="s">
        <v>3962</v>
      </c>
      <c r="C173" s="3481" t="s">
        <v>3338</v>
      </c>
      <c r="D173" s="3482">
        <v>12.54</v>
      </c>
      <c r="E173" s="3519">
        <f t="shared" si="2"/>
        <v>3000</v>
      </c>
      <c r="F173" s="3481">
        <v>37620</v>
      </c>
      <c r="G173" s="3482" t="s">
        <v>3960</v>
      </c>
    </row>
    <row r="174" spans="1:7">
      <c r="A174" s="3536">
        <v>173</v>
      </c>
      <c r="B174" s="3481" t="s">
        <v>7568</v>
      </c>
      <c r="C174" s="3481" t="s">
        <v>5305</v>
      </c>
      <c r="D174" s="3482">
        <v>73.05</v>
      </c>
      <c r="E174" s="3519">
        <f t="shared" si="2"/>
        <v>34245.475701574265</v>
      </c>
      <c r="F174" s="3481">
        <v>2501632</v>
      </c>
      <c r="G174" s="3482" t="s">
        <v>3679</v>
      </c>
    </row>
    <row r="175" spans="1:7">
      <c r="A175" s="3536">
        <v>174</v>
      </c>
      <c r="B175" s="3481" t="s">
        <v>3678</v>
      </c>
      <c r="C175" s="3481" t="s">
        <v>3338</v>
      </c>
      <c r="D175" s="3482">
        <v>97.12</v>
      </c>
      <c r="E175" s="3519">
        <f t="shared" si="2"/>
        <v>13949.732289950576</v>
      </c>
      <c r="F175" s="3481">
        <v>1354798</v>
      </c>
      <c r="G175" s="3482" t="s">
        <v>3679</v>
      </c>
    </row>
    <row r="176" spans="1:7">
      <c r="A176" s="3536">
        <v>175</v>
      </c>
      <c r="B176" s="3481" t="s">
        <v>7794</v>
      </c>
      <c r="C176" s="3481" t="s">
        <v>5318</v>
      </c>
      <c r="D176" s="3482">
        <v>192.82</v>
      </c>
      <c r="E176" s="3519">
        <f t="shared" si="2"/>
        <v>26906.804273415622</v>
      </c>
      <c r="F176" s="3481">
        <v>5188170</v>
      </c>
      <c r="G176" s="3482" t="s">
        <v>3907</v>
      </c>
    </row>
    <row r="177" spans="1:7">
      <c r="A177" s="3536">
        <v>176</v>
      </c>
      <c r="B177" s="3481" t="s">
        <v>3906</v>
      </c>
      <c r="C177" s="3481" t="s">
        <v>3338</v>
      </c>
      <c r="D177" s="3482">
        <v>12.54</v>
      </c>
      <c r="E177" s="3519">
        <f t="shared" si="2"/>
        <v>3000</v>
      </c>
      <c r="F177" s="3481">
        <v>37620</v>
      </c>
      <c r="G177" s="3482" t="s">
        <v>3907</v>
      </c>
    </row>
    <row r="178" spans="1:7">
      <c r="A178" s="3536">
        <v>177</v>
      </c>
      <c r="B178" s="3481" t="s">
        <v>3963</v>
      </c>
      <c r="C178" s="3481" t="s">
        <v>3338</v>
      </c>
      <c r="D178" s="3482">
        <v>53.14</v>
      </c>
      <c r="E178" s="3519">
        <f t="shared" si="2"/>
        <v>3001.6936394429808</v>
      </c>
      <c r="F178" s="3481">
        <v>159510</v>
      </c>
      <c r="G178" s="3482" t="s">
        <v>3960</v>
      </c>
    </row>
    <row r="179" spans="1:7">
      <c r="A179" s="3536">
        <v>178</v>
      </c>
      <c r="B179" s="3481" t="s">
        <v>3680</v>
      </c>
      <c r="C179" s="3481" t="s">
        <v>3338</v>
      </c>
      <c r="D179" s="3482">
        <v>186.96</v>
      </c>
      <c r="E179" s="3519">
        <f t="shared" si="2"/>
        <v>14139.762516046212</v>
      </c>
      <c r="F179" s="3481">
        <v>2643570</v>
      </c>
      <c r="G179" s="3482" t="s">
        <v>3679</v>
      </c>
    </row>
    <row r="180" spans="1:7">
      <c r="A180" s="3536">
        <v>179</v>
      </c>
      <c r="B180" s="3481" t="s">
        <v>3908</v>
      </c>
      <c r="C180" s="3481" t="s">
        <v>3338</v>
      </c>
      <c r="D180" s="3482">
        <v>53.14</v>
      </c>
      <c r="E180" s="3519">
        <f t="shared" si="2"/>
        <v>3001.6936394429808</v>
      </c>
      <c r="F180" s="3481">
        <v>159510</v>
      </c>
      <c r="G180" s="3482" t="s">
        <v>3907</v>
      </c>
    </row>
    <row r="181" spans="1:7">
      <c r="A181" s="3536">
        <v>180</v>
      </c>
      <c r="B181" s="3481" t="s">
        <v>7898</v>
      </c>
      <c r="C181" s="3481" t="s">
        <v>3395</v>
      </c>
      <c r="D181" s="3482">
        <v>83.54</v>
      </c>
      <c r="E181" s="3519">
        <f t="shared" si="2"/>
        <v>33275.06583672492</v>
      </c>
      <c r="F181" s="3481">
        <v>2779799</v>
      </c>
      <c r="G181" s="3482" t="s">
        <v>3983</v>
      </c>
    </row>
    <row r="182" spans="1:7">
      <c r="A182" s="3536">
        <v>181</v>
      </c>
      <c r="B182" s="3481" t="s">
        <v>7938</v>
      </c>
      <c r="C182" s="3481" t="s">
        <v>3395</v>
      </c>
      <c r="D182" s="3482">
        <v>83.54</v>
      </c>
      <c r="E182" s="3519">
        <f t="shared" si="2"/>
        <v>33264.807277950677</v>
      </c>
      <c r="F182" s="3481">
        <v>2778942</v>
      </c>
      <c r="G182" s="3482" t="s">
        <v>4014</v>
      </c>
    </row>
    <row r="183" spans="1:7">
      <c r="A183" s="3536">
        <v>182</v>
      </c>
      <c r="B183" s="3481" t="s">
        <v>7923</v>
      </c>
      <c r="C183" s="3481" t="s">
        <v>3395</v>
      </c>
      <c r="D183" s="3482">
        <v>83.54</v>
      </c>
      <c r="E183" s="3519">
        <f t="shared" si="2"/>
        <v>33950.682307876465</v>
      </c>
      <c r="F183" s="3481">
        <v>2836240</v>
      </c>
      <c r="G183" s="3482" t="s">
        <v>3992</v>
      </c>
    </row>
    <row r="184" spans="1:7">
      <c r="A184" s="3536">
        <v>183</v>
      </c>
      <c r="B184" s="3481" t="s">
        <v>7859</v>
      </c>
      <c r="C184" s="3481" t="s">
        <v>3395</v>
      </c>
      <c r="D184" s="3482">
        <v>83.54</v>
      </c>
      <c r="E184" s="3519">
        <f t="shared" si="2"/>
        <v>33264.807277950677</v>
      </c>
      <c r="F184" s="3481">
        <v>2778942</v>
      </c>
      <c r="G184" s="3482" t="s">
        <v>7860</v>
      </c>
    </row>
    <row r="185" spans="1:7">
      <c r="A185" s="3536">
        <v>184</v>
      </c>
      <c r="B185" s="3481" t="s">
        <v>7828</v>
      </c>
      <c r="C185" s="3481" t="s">
        <v>3395</v>
      </c>
      <c r="D185" s="3482">
        <v>83.54</v>
      </c>
      <c r="E185" s="3519">
        <f t="shared" si="2"/>
        <v>33611.180272923149</v>
      </c>
      <c r="F185" s="3481">
        <v>2807878</v>
      </c>
      <c r="G185" s="3482" t="s">
        <v>7829</v>
      </c>
    </row>
    <row r="186" spans="1:7">
      <c r="A186" s="3536">
        <v>185</v>
      </c>
      <c r="B186" s="3481" t="s">
        <v>8169</v>
      </c>
      <c r="C186" s="3481" t="s">
        <v>3395</v>
      </c>
      <c r="D186" s="3482">
        <v>73.760000000000005</v>
      </c>
      <c r="E186" s="3519">
        <f t="shared" si="2"/>
        <v>35473.29175704989</v>
      </c>
      <c r="F186" s="3481">
        <v>2616510</v>
      </c>
      <c r="G186" s="3482" t="s">
        <v>8170</v>
      </c>
    </row>
    <row r="187" spans="1:7">
      <c r="A187" s="3536">
        <v>186</v>
      </c>
      <c r="B187" s="3481" t="s">
        <v>8171</v>
      </c>
      <c r="C187" s="3481" t="s">
        <v>3395</v>
      </c>
      <c r="D187" s="3482">
        <v>73.760000000000005</v>
      </c>
      <c r="E187" s="3519">
        <f t="shared" si="2"/>
        <v>35473.29175704989</v>
      </c>
      <c r="F187" s="3481">
        <v>2616510</v>
      </c>
      <c r="G187" s="3482" t="s">
        <v>8170</v>
      </c>
    </row>
    <row r="188" spans="1:7">
      <c r="A188" s="3536">
        <v>187</v>
      </c>
      <c r="B188" s="3481" t="s">
        <v>7795</v>
      </c>
      <c r="C188" s="3481" t="s">
        <v>5318</v>
      </c>
      <c r="D188" s="3482">
        <v>178.28</v>
      </c>
      <c r="E188" s="3519">
        <f t="shared" si="2"/>
        <v>28368.57751851021</v>
      </c>
      <c r="F188" s="3481">
        <v>5057550</v>
      </c>
      <c r="G188" s="3482" t="s">
        <v>3907</v>
      </c>
    </row>
    <row r="189" spans="1:7">
      <c r="A189" s="3536">
        <v>188</v>
      </c>
      <c r="B189" s="3481" t="s">
        <v>3909</v>
      </c>
      <c r="C189" s="3481" t="s">
        <v>3338</v>
      </c>
      <c r="D189" s="3482">
        <v>25.8</v>
      </c>
      <c r="E189" s="3519">
        <f t="shared" si="2"/>
        <v>3000</v>
      </c>
      <c r="F189" s="3481">
        <v>77400</v>
      </c>
      <c r="G189" s="3482" t="s">
        <v>3907</v>
      </c>
    </row>
    <row r="190" spans="1:7">
      <c r="A190" s="3536">
        <v>189</v>
      </c>
      <c r="B190" s="3481" t="s">
        <v>7617</v>
      </c>
      <c r="C190" s="3481" t="s">
        <v>5305</v>
      </c>
      <c r="D190" s="3482">
        <v>73.05</v>
      </c>
      <c r="E190" s="3519">
        <f t="shared" si="2"/>
        <v>31904.147843942508</v>
      </c>
      <c r="F190" s="3481">
        <v>2330598</v>
      </c>
      <c r="G190" s="3482" t="s">
        <v>3751</v>
      </c>
    </row>
    <row r="191" spans="1:7">
      <c r="A191" s="3536">
        <v>190</v>
      </c>
      <c r="B191" s="3481" t="s">
        <v>3750</v>
      </c>
      <c r="C191" s="3481" t="s">
        <v>3338</v>
      </c>
      <c r="D191" s="3482">
        <v>97.22</v>
      </c>
      <c r="E191" s="3519">
        <f t="shared" si="2"/>
        <v>15215.747788520881</v>
      </c>
      <c r="F191" s="3481">
        <v>1479275</v>
      </c>
      <c r="G191" s="3482" t="s">
        <v>3751</v>
      </c>
    </row>
    <row r="192" spans="1:7">
      <c r="A192" s="3536">
        <v>191</v>
      </c>
      <c r="B192" s="3481" t="s">
        <v>7605</v>
      </c>
      <c r="C192" s="3481" t="s">
        <v>5305</v>
      </c>
      <c r="D192" s="3482">
        <v>73.430000000000007</v>
      </c>
      <c r="E192" s="3519">
        <f t="shared" si="2"/>
        <v>32212.447228653135</v>
      </c>
      <c r="F192" s="3481">
        <v>2365360</v>
      </c>
      <c r="G192" s="3482" t="s">
        <v>3732</v>
      </c>
    </row>
    <row r="193" spans="1:7">
      <c r="A193" s="3536">
        <v>192</v>
      </c>
      <c r="B193" s="3481" t="s">
        <v>3731</v>
      </c>
      <c r="C193" s="3481" t="s">
        <v>3338</v>
      </c>
      <c r="D193" s="3482">
        <v>98.52</v>
      </c>
      <c r="E193" s="3519">
        <f t="shared" si="2"/>
        <v>14933.952496954933</v>
      </c>
      <c r="F193" s="3481">
        <v>1471293</v>
      </c>
      <c r="G193" s="3482" t="s">
        <v>3732</v>
      </c>
    </row>
    <row r="194" spans="1:7">
      <c r="A194" s="3536">
        <v>193</v>
      </c>
      <c r="B194" s="3481" t="s">
        <v>7814</v>
      </c>
      <c r="C194" s="3481" t="s">
        <v>5318</v>
      </c>
      <c r="D194" s="3482">
        <v>179.48</v>
      </c>
      <c r="E194" s="3519">
        <f t="shared" si="2"/>
        <v>29736.293737463788</v>
      </c>
      <c r="F194" s="3481">
        <v>5337070</v>
      </c>
      <c r="G194" s="3482" t="s">
        <v>3930</v>
      </c>
    </row>
    <row r="195" spans="1:7">
      <c r="A195" s="3536">
        <v>194</v>
      </c>
      <c r="B195" s="3481" t="s">
        <v>3932</v>
      </c>
      <c r="C195" s="3481" t="s">
        <v>3338</v>
      </c>
      <c r="D195" s="3482">
        <v>25.96</v>
      </c>
      <c r="E195" s="3519">
        <f t="shared" ref="E195:E258" si="3">F195/D195</f>
        <v>3000</v>
      </c>
      <c r="F195" s="3481">
        <v>77880</v>
      </c>
      <c r="G195" s="3482" t="s">
        <v>3930</v>
      </c>
    </row>
    <row r="196" spans="1:7">
      <c r="A196" s="3536">
        <v>195</v>
      </c>
      <c r="B196" s="3481" t="s">
        <v>3910</v>
      </c>
      <c r="C196" s="3481" t="s">
        <v>3338</v>
      </c>
      <c r="D196" s="3482">
        <v>28.35</v>
      </c>
      <c r="E196" s="3519">
        <f t="shared" si="3"/>
        <v>3000</v>
      </c>
      <c r="F196" s="3481">
        <v>85050</v>
      </c>
      <c r="G196" s="3482" t="s">
        <v>3907</v>
      </c>
    </row>
    <row r="197" spans="1:7">
      <c r="A197" s="3536">
        <v>196</v>
      </c>
      <c r="B197" s="3481" t="s">
        <v>3752</v>
      </c>
      <c r="C197" s="3481" t="s">
        <v>3338</v>
      </c>
      <c r="D197" s="3482">
        <v>182.05</v>
      </c>
      <c r="E197" s="3519">
        <f t="shared" si="3"/>
        <v>15205.536940400987</v>
      </c>
      <c r="F197" s="3481">
        <v>2768168</v>
      </c>
      <c r="G197" s="3482" t="s">
        <v>3751</v>
      </c>
    </row>
    <row r="198" spans="1:7">
      <c r="A198" s="3536">
        <v>197</v>
      </c>
      <c r="B198" s="3481" t="s">
        <v>3733</v>
      </c>
      <c r="C198" s="3481" t="s">
        <v>3338</v>
      </c>
      <c r="D198" s="3482">
        <v>188.35</v>
      </c>
      <c r="E198" s="3519">
        <f t="shared" si="3"/>
        <v>14907.523228032918</v>
      </c>
      <c r="F198" s="3481">
        <v>2807832</v>
      </c>
      <c r="G198" s="3482" t="s">
        <v>3732</v>
      </c>
    </row>
    <row r="199" spans="1:7">
      <c r="A199" s="3536">
        <v>198</v>
      </c>
      <c r="B199" s="3481" t="s">
        <v>3933</v>
      </c>
      <c r="C199" s="3481" t="s">
        <v>3338</v>
      </c>
      <c r="D199" s="3482">
        <v>28.35</v>
      </c>
      <c r="E199" s="3519">
        <f t="shared" si="3"/>
        <v>3000</v>
      </c>
      <c r="F199" s="3481">
        <v>85050</v>
      </c>
      <c r="G199" s="3482" t="s">
        <v>3930</v>
      </c>
    </row>
    <row r="200" spans="1:7">
      <c r="A200" s="3536">
        <v>199</v>
      </c>
      <c r="B200" s="3481" t="s">
        <v>7830</v>
      </c>
      <c r="C200" s="3481" t="s">
        <v>3395</v>
      </c>
      <c r="D200" s="3482">
        <v>83.54</v>
      </c>
      <c r="E200" s="3519">
        <f t="shared" si="3"/>
        <v>33950.682307876465</v>
      </c>
      <c r="F200" s="3481">
        <v>2836240</v>
      </c>
      <c r="G200" s="3482" t="s">
        <v>7829</v>
      </c>
    </row>
    <row r="201" spans="1:7">
      <c r="A201" s="3536">
        <v>200</v>
      </c>
      <c r="B201" s="3481" t="s">
        <v>7932</v>
      </c>
      <c r="C201" s="3481" t="s">
        <v>3395</v>
      </c>
      <c r="D201" s="3482">
        <v>83.92</v>
      </c>
      <c r="E201" s="3519">
        <f t="shared" si="3"/>
        <v>32653.193517635842</v>
      </c>
      <c r="F201" s="3481">
        <v>2740256</v>
      </c>
      <c r="G201" s="3482" t="s">
        <v>4008</v>
      </c>
    </row>
    <row r="202" spans="1:7">
      <c r="A202" s="3536">
        <v>201</v>
      </c>
      <c r="B202" s="3481" t="s">
        <v>7942</v>
      </c>
      <c r="C202" s="3481" t="s">
        <v>3395</v>
      </c>
      <c r="D202" s="3482">
        <v>83.54</v>
      </c>
      <c r="E202" s="3519">
        <f t="shared" si="3"/>
        <v>33611.180272923149</v>
      </c>
      <c r="F202" s="3481">
        <v>2807878</v>
      </c>
      <c r="G202" s="3482" t="s">
        <v>7943</v>
      </c>
    </row>
    <row r="203" spans="1:7">
      <c r="A203" s="3536">
        <v>202</v>
      </c>
      <c r="B203" s="3481" t="s">
        <v>7909</v>
      </c>
      <c r="C203" s="3481" t="s">
        <v>3395</v>
      </c>
      <c r="D203" s="3482">
        <v>83.92</v>
      </c>
      <c r="E203" s="3519">
        <f t="shared" si="3"/>
        <v>33663.095805529076</v>
      </c>
      <c r="F203" s="3481">
        <v>2825007</v>
      </c>
      <c r="G203" s="3482" t="s">
        <v>7910</v>
      </c>
    </row>
    <row r="204" spans="1:7">
      <c r="A204" s="3536">
        <v>203</v>
      </c>
      <c r="B204" s="3481" t="s">
        <v>7934</v>
      </c>
      <c r="C204" s="3481" t="s">
        <v>3395</v>
      </c>
      <c r="D204" s="3482">
        <v>83.54</v>
      </c>
      <c r="E204" s="3519">
        <f t="shared" si="3"/>
        <v>33611.180272923149</v>
      </c>
      <c r="F204" s="3481">
        <v>2807878</v>
      </c>
      <c r="G204" s="3482" t="s">
        <v>7935</v>
      </c>
    </row>
    <row r="205" spans="1:7">
      <c r="A205" s="3536">
        <v>204</v>
      </c>
      <c r="B205" s="3481" t="s">
        <v>7848</v>
      </c>
      <c r="C205" s="3481" t="s">
        <v>3395</v>
      </c>
      <c r="D205" s="3482">
        <v>83.92</v>
      </c>
      <c r="E205" s="3519">
        <f t="shared" si="3"/>
        <v>33316.193994280264</v>
      </c>
      <c r="F205" s="3481">
        <v>2795895</v>
      </c>
      <c r="G205" s="3482" t="s">
        <v>7849</v>
      </c>
    </row>
    <row r="206" spans="1:7">
      <c r="A206" s="3536">
        <v>205</v>
      </c>
      <c r="B206" s="3481" t="s">
        <v>8161</v>
      </c>
      <c r="C206" s="3481" t="s">
        <v>3395</v>
      </c>
      <c r="D206" s="3482">
        <v>73.760000000000005</v>
      </c>
      <c r="E206" s="3519">
        <f t="shared" si="3"/>
        <v>35462.215292841647</v>
      </c>
      <c r="F206" s="3481">
        <v>2615693</v>
      </c>
      <c r="G206" s="3482" t="s">
        <v>4185</v>
      </c>
    </row>
    <row r="207" spans="1:7">
      <c r="A207" s="3536">
        <v>206</v>
      </c>
      <c r="B207" s="3481" t="s">
        <v>8138</v>
      </c>
      <c r="C207" s="3481" t="s">
        <v>3395</v>
      </c>
      <c r="D207" s="3482">
        <v>74.22</v>
      </c>
      <c r="E207" s="3519">
        <f t="shared" si="3"/>
        <v>35107.949339800594</v>
      </c>
      <c r="F207" s="3481">
        <v>2605712</v>
      </c>
      <c r="G207" s="3482" t="s">
        <v>4159</v>
      </c>
    </row>
    <row r="208" spans="1:7">
      <c r="A208" s="3536">
        <v>207</v>
      </c>
      <c r="B208" s="3481" t="s">
        <v>7168</v>
      </c>
      <c r="C208" s="3481" t="s">
        <v>3395</v>
      </c>
      <c r="D208" s="3482">
        <v>83.82</v>
      </c>
      <c r="E208" s="3519">
        <f t="shared" si="3"/>
        <v>28453.829634932001</v>
      </c>
      <c r="F208" s="3481">
        <v>2385000</v>
      </c>
      <c r="G208" s="3482" t="s">
        <v>7169</v>
      </c>
    </row>
    <row r="209" spans="1:7">
      <c r="A209" s="3536">
        <v>208</v>
      </c>
      <c r="B209" s="3481" t="s">
        <v>7191</v>
      </c>
      <c r="C209" s="3481" t="s">
        <v>3395</v>
      </c>
      <c r="D209" s="3482">
        <v>83.44</v>
      </c>
      <c r="E209" s="3519">
        <f t="shared" si="3"/>
        <v>28872.135666347076</v>
      </c>
      <c r="F209" s="3481">
        <v>2409091</v>
      </c>
      <c r="G209" s="3482" t="s">
        <v>7192</v>
      </c>
    </row>
    <row r="210" spans="1:7">
      <c r="A210" s="3536">
        <v>209</v>
      </c>
      <c r="B210" s="3481" t="s">
        <v>7193</v>
      </c>
      <c r="C210" s="3481" t="s">
        <v>3395</v>
      </c>
      <c r="D210" s="3482">
        <v>83.82</v>
      </c>
      <c r="E210" s="3519">
        <f t="shared" si="3"/>
        <v>28453.829634932001</v>
      </c>
      <c r="F210" s="3481">
        <v>2385000</v>
      </c>
      <c r="G210" s="3482" t="s">
        <v>7192</v>
      </c>
    </row>
    <row r="211" spans="1:7">
      <c r="A211" s="3536">
        <v>210</v>
      </c>
      <c r="B211" s="3481" t="s">
        <v>7194</v>
      </c>
      <c r="C211" s="3481" t="s">
        <v>3395</v>
      </c>
      <c r="D211" s="3482">
        <v>83.44</v>
      </c>
      <c r="E211" s="3519">
        <f t="shared" si="3"/>
        <v>28823.106423777564</v>
      </c>
      <c r="F211" s="3481">
        <v>2405000</v>
      </c>
      <c r="G211" s="3482" t="s">
        <v>7192</v>
      </c>
    </row>
    <row r="212" spans="1:7">
      <c r="A212" s="3536">
        <v>211</v>
      </c>
      <c r="B212" s="3481" t="s">
        <v>7131</v>
      </c>
      <c r="C212" s="3481" t="s">
        <v>3395</v>
      </c>
      <c r="D212" s="3482">
        <v>74.13</v>
      </c>
      <c r="E212" s="3519">
        <f t="shared" si="3"/>
        <v>28261.162822069338</v>
      </c>
      <c r="F212" s="3481">
        <v>2095000</v>
      </c>
      <c r="G212" s="3482" t="s">
        <v>7132</v>
      </c>
    </row>
    <row r="213" spans="1:7">
      <c r="A213" s="3536">
        <v>212</v>
      </c>
      <c r="B213" s="3481" t="s">
        <v>7073</v>
      </c>
      <c r="C213" s="3481" t="s">
        <v>3395</v>
      </c>
      <c r="D213" s="3482">
        <v>73.67</v>
      </c>
      <c r="E213" s="3519">
        <f t="shared" si="3"/>
        <v>28724.881227093796</v>
      </c>
      <c r="F213" s="3481">
        <v>2116162</v>
      </c>
      <c r="G213" s="3482" t="s">
        <v>7074</v>
      </c>
    </row>
    <row r="214" spans="1:7">
      <c r="A214" s="3536">
        <v>213</v>
      </c>
      <c r="B214" s="3481" t="s">
        <v>7175</v>
      </c>
      <c r="C214" s="3481" t="s">
        <v>3395</v>
      </c>
      <c r="D214" s="3482">
        <v>83.44</v>
      </c>
      <c r="E214" s="3519">
        <f t="shared" si="3"/>
        <v>28823.106423777564</v>
      </c>
      <c r="F214" s="3481">
        <v>2405000</v>
      </c>
      <c r="G214" s="3482" t="s">
        <v>7176</v>
      </c>
    </row>
    <row r="215" spans="1:7">
      <c r="A215" s="3536">
        <v>214</v>
      </c>
      <c r="B215" s="3481" t="s">
        <v>7177</v>
      </c>
      <c r="C215" s="3481" t="s">
        <v>3395</v>
      </c>
      <c r="D215" s="3482">
        <v>83.44</v>
      </c>
      <c r="E215" s="3519">
        <f t="shared" si="3"/>
        <v>28823.106423777564</v>
      </c>
      <c r="F215" s="3481">
        <v>2405000</v>
      </c>
      <c r="G215" s="3482" t="s">
        <v>7176</v>
      </c>
    </row>
    <row r="216" spans="1:7">
      <c r="A216" s="3536">
        <v>215</v>
      </c>
      <c r="B216" s="3481" t="s">
        <v>7178</v>
      </c>
      <c r="C216" s="3481" t="s">
        <v>3395</v>
      </c>
      <c r="D216" s="3482">
        <v>83.44</v>
      </c>
      <c r="E216" s="3519">
        <f t="shared" si="3"/>
        <v>28823.106423777564</v>
      </c>
      <c r="F216" s="3481">
        <v>2405000</v>
      </c>
      <c r="G216" s="3482" t="s">
        <v>7176</v>
      </c>
    </row>
    <row r="217" spans="1:7">
      <c r="A217" s="3536">
        <v>216</v>
      </c>
      <c r="B217" s="3481" t="s">
        <v>7179</v>
      </c>
      <c r="C217" s="3481" t="s">
        <v>3395</v>
      </c>
      <c r="D217" s="3482">
        <v>83.44</v>
      </c>
      <c r="E217" s="3519">
        <f t="shared" si="3"/>
        <v>28823.106423777564</v>
      </c>
      <c r="F217" s="3481">
        <v>2405000</v>
      </c>
      <c r="G217" s="3482" t="s">
        <v>7176</v>
      </c>
    </row>
    <row r="218" spans="1:7">
      <c r="A218" s="3536">
        <v>217</v>
      </c>
      <c r="B218" s="3481" t="s">
        <v>6972</v>
      </c>
      <c r="C218" s="3481" t="s">
        <v>3395</v>
      </c>
      <c r="D218" s="3482">
        <v>83.44</v>
      </c>
      <c r="E218" s="3519">
        <f t="shared" si="3"/>
        <v>28508.964525407479</v>
      </c>
      <c r="F218" s="3481">
        <v>2378788</v>
      </c>
      <c r="G218" s="3482" t="s">
        <v>6971</v>
      </c>
    </row>
    <row r="219" spans="1:7">
      <c r="A219" s="3536">
        <v>218</v>
      </c>
      <c r="B219" s="3481" t="s">
        <v>6983</v>
      </c>
      <c r="C219" s="3481" t="s">
        <v>3395</v>
      </c>
      <c r="D219" s="3482">
        <v>73.67</v>
      </c>
      <c r="E219" s="3519">
        <f t="shared" si="3"/>
        <v>28709.108185149991</v>
      </c>
      <c r="F219" s="3481">
        <v>2115000</v>
      </c>
      <c r="G219" s="3482" t="s">
        <v>3457</v>
      </c>
    </row>
    <row r="220" spans="1:7">
      <c r="A220" s="3536">
        <v>219</v>
      </c>
      <c r="B220" s="3481" t="s">
        <v>6929</v>
      </c>
      <c r="C220" s="3481" t="s">
        <v>3395</v>
      </c>
      <c r="D220" s="3482">
        <v>73.67</v>
      </c>
      <c r="E220" s="3519">
        <f t="shared" si="3"/>
        <v>28709.108185149991</v>
      </c>
      <c r="F220" s="3481">
        <v>2115000</v>
      </c>
      <c r="G220" s="3482" t="s">
        <v>6930</v>
      </c>
    </row>
    <row r="221" spans="1:7">
      <c r="A221" s="3536">
        <v>220</v>
      </c>
      <c r="B221" s="3481" t="s">
        <v>7195</v>
      </c>
      <c r="C221" s="3481" t="s">
        <v>3395</v>
      </c>
      <c r="D221" s="3482">
        <v>83.44</v>
      </c>
      <c r="E221" s="3519">
        <f t="shared" si="3"/>
        <v>28823.106423777564</v>
      </c>
      <c r="F221" s="3481">
        <v>2405000</v>
      </c>
      <c r="G221" s="3482" t="s">
        <v>7192</v>
      </c>
    </row>
    <row r="222" spans="1:7">
      <c r="A222" s="3536">
        <v>221</v>
      </c>
      <c r="B222" s="3481" t="s">
        <v>7166</v>
      </c>
      <c r="C222" s="3481" t="s">
        <v>3395</v>
      </c>
      <c r="D222" s="3482">
        <v>83.44</v>
      </c>
      <c r="E222" s="3519">
        <f t="shared" si="3"/>
        <v>28823.106423777564</v>
      </c>
      <c r="F222" s="3481">
        <v>2405000</v>
      </c>
      <c r="G222" s="3482" t="s">
        <v>3488</v>
      </c>
    </row>
    <row r="223" spans="1:7">
      <c r="A223" s="3536">
        <v>222</v>
      </c>
      <c r="B223" s="3481" t="s">
        <v>7180</v>
      </c>
      <c r="C223" s="3481" t="s">
        <v>3395</v>
      </c>
      <c r="D223" s="3482">
        <v>83.44</v>
      </c>
      <c r="E223" s="3519">
        <f t="shared" si="3"/>
        <v>29114.249760306808</v>
      </c>
      <c r="F223" s="3481">
        <v>2429293</v>
      </c>
      <c r="G223" s="3482" t="s">
        <v>7176</v>
      </c>
    </row>
    <row r="224" spans="1:7">
      <c r="A224" s="3536">
        <v>223</v>
      </c>
      <c r="B224" s="3481" t="s">
        <v>7196</v>
      </c>
      <c r="C224" s="3481" t="s">
        <v>3395</v>
      </c>
      <c r="D224" s="3482">
        <v>83.44</v>
      </c>
      <c r="E224" s="3519">
        <f t="shared" si="3"/>
        <v>28823.106423777564</v>
      </c>
      <c r="F224" s="3481">
        <v>2405000</v>
      </c>
      <c r="G224" s="3482" t="s">
        <v>7192</v>
      </c>
    </row>
    <row r="225" spans="1:7">
      <c r="A225" s="3536">
        <v>224</v>
      </c>
      <c r="B225" s="3481" t="s">
        <v>7121</v>
      </c>
      <c r="C225" s="3481" t="s">
        <v>3395</v>
      </c>
      <c r="D225" s="3482">
        <v>73.67</v>
      </c>
      <c r="E225" s="3519">
        <f t="shared" si="3"/>
        <v>28709.108185149991</v>
      </c>
      <c r="F225" s="3481">
        <v>2115000</v>
      </c>
      <c r="G225" s="3482" t="s">
        <v>7122</v>
      </c>
    </row>
    <row r="226" spans="1:7">
      <c r="A226" s="3536">
        <v>225</v>
      </c>
      <c r="B226" s="3481" t="s">
        <v>7103</v>
      </c>
      <c r="C226" s="3481" t="s">
        <v>3395</v>
      </c>
      <c r="D226" s="3482">
        <v>73.67</v>
      </c>
      <c r="E226" s="3519">
        <f t="shared" si="3"/>
        <v>28709.108185149991</v>
      </c>
      <c r="F226" s="3481">
        <v>2115000</v>
      </c>
      <c r="G226" s="3482" t="s">
        <v>3479</v>
      </c>
    </row>
    <row r="227" spans="1:7">
      <c r="A227" s="3536">
        <v>226</v>
      </c>
      <c r="B227" s="3481" t="s">
        <v>7104</v>
      </c>
      <c r="C227" s="3481" t="s">
        <v>3395</v>
      </c>
      <c r="D227" s="3482">
        <v>83.44</v>
      </c>
      <c r="E227" s="3519">
        <f t="shared" si="3"/>
        <v>29114.249760306808</v>
      </c>
      <c r="F227" s="3481">
        <v>2429293</v>
      </c>
      <c r="G227" s="3482" t="s">
        <v>3479</v>
      </c>
    </row>
    <row r="228" spans="1:7">
      <c r="A228" s="3536">
        <v>227</v>
      </c>
      <c r="B228" s="3481" t="s">
        <v>7225</v>
      </c>
      <c r="C228" s="3481" t="s">
        <v>3395</v>
      </c>
      <c r="D228" s="3482">
        <v>83.82</v>
      </c>
      <c r="E228" s="3519">
        <f t="shared" si="3"/>
        <v>28692.436172751135</v>
      </c>
      <c r="F228" s="3481">
        <v>2405000</v>
      </c>
      <c r="G228" s="3482" t="s">
        <v>7226</v>
      </c>
    </row>
    <row r="229" spans="1:7">
      <c r="A229" s="3536">
        <v>228</v>
      </c>
      <c r="B229" s="3481" t="s">
        <v>7227</v>
      </c>
      <c r="C229" s="3481" t="s">
        <v>3395</v>
      </c>
      <c r="D229" s="3482">
        <v>83.44</v>
      </c>
      <c r="E229" s="3519">
        <f t="shared" si="3"/>
        <v>28823.106423777564</v>
      </c>
      <c r="F229" s="3481">
        <v>2405000</v>
      </c>
      <c r="G229" s="3482" t="s">
        <v>7226</v>
      </c>
    </row>
    <row r="230" spans="1:7">
      <c r="A230" s="3536">
        <v>229</v>
      </c>
      <c r="B230" s="3481" t="s">
        <v>7197</v>
      </c>
      <c r="C230" s="3481" t="s">
        <v>3395</v>
      </c>
      <c r="D230" s="3482">
        <v>83.82</v>
      </c>
      <c r="E230" s="3519">
        <f t="shared" si="3"/>
        <v>28692.436172751135</v>
      </c>
      <c r="F230" s="3481">
        <v>2405000</v>
      </c>
      <c r="G230" s="3482" t="s">
        <v>7192</v>
      </c>
    </row>
    <row r="231" spans="1:7">
      <c r="A231" s="3536">
        <v>230</v>
      </c>
      <c r="B231" s="3481" t="s">
        <v>7181</v>
      </c>
      <c r="C231" s="3481" t="s">
        <v>3395</v>
      </c>
      <c r="D231" s="3482">
        <v>83.44</v>
      </c>
      <c r="E231" s="3519">
        <f t="shared" si="3"/>
        <v>28223.873441994248</v>
      </c>
      <c r="F231" s="3481">
        <v>2355000</v>
      </c>
      <c r="G231" s="3482" t="s">
        <v>7176</v>
      </c>
    </row>
    <row r="232" spans="1:7">
      <c r="A232" s="3536">
        <v>231</v>
      </c>
      <c r="B232" s="3481" t="s">
        <v>7065</v>
      </c>
      <c r="C232" s="3481" t="s">
        <v>3395</v>
      </c>
      <c r="D232" s="3482">
        <v>83.82</v>
      </c>
      <c r="E232" s="3519">
        <f t="shared" si="3"/>
        <v>28095.919828203296</v>
      </c>
      <c r="F232" s="3481">
        <v>2355000</v>
      </c>
      <c r="G232" s="3482" t="s">
        <v>7066</v>
      </c>
    </row>
    <row r="233" spans="1:7">
      <c r="A233" s="3536">
        <v>232</v>
      </c>
      <c r="B233" s="3481" t="s">
        <v>6954</v>
      </c>
      <c r="C233" s="3481" t="s">
        <v>3395</v>
      </c>
      <c r="D233" s="3482">
        <v>73.67</v>
      </c>
      <c r="E233" s="3519">
        <f t="shared" si="3"/>
        <v>28709.108185149991</v>
      </c>
      <c r="F233" s="3481">
        <v>2115000</v>
      </c>
      <c r="G233" s="3482" t="s">
        <v>6955</v>
      </c>
    </row>
    <row r="234" spans="1:7">
      <c r="A234" s="3536">
        <v>233</v>
      </c>
      <c r="B234" s="3481" t="s">
        <v>7146</v>
      </c>
      <c r="C234" s="3481" t="s">
        <v>3395</v>
      </c>
      <c r="D234" s="3482">
        <v>74.13</v>
      </c>
      <c r="E234" s="3519">
        <f t="shared" si="3"/>
        <v>28530.959125859976</v>
      </c>
      <c r="F234" s="3481">
        <v>2115000</v>
      </c>
      <c r="G234" s="3482" t="s">
        <v>7147</v>
      </c>
    </row>
    <row r="235" spans="1:7">
      <c r="A235" s="3536">
        <v>234</v>
      </c>
      <c r="B235" s="3481" t="s">
        <v>8043</v>
      </c>
      <c r="C235" s="3481" t="s">
        <v>5318</v>
      </c>
      <c r="D235" s="3482">
        <v>168.92</v>
      </c>
      <c r="E235" s="3519">
        <f t="shared" si="3"/>
        <v>29753.551977267347</v>
      </c>
      <c r="F235" s="3481">
        <v>5025970</v>
      </c>
      <c r="G235" s="3482" t="s">
        <v>4084</v>
      </c>
    </row>
    <row r="236" spans="1:7">
      <c r="A236" s="3536">
        <v>235</v>
      </c>
      <c r="B236" s="3481" t="s">
        <v>4090</v>
      </c>
      <c r="C236" s="3481" t="s">
        <v>3338</v>
      </c>
      <c r="D236" s="3482">
        <v>12.63</v>
      </c>
      <c r="E236" s="3519">
        <f t="shared" si="3"/>
        <v>3000</v>
      </c>
      <c r="F236" s="3481">
        <v>37890</v>
      </c>
      <c r="G236" s="3482" t="s">
        <v>4084</v>
      </c>
    </row>
    <row r="237" spans="1:7">
      <c r="A237" s="3536">
        <v>236</v>
      </c>
      <c r="B237" s="3481" t="s">
        <v>8048</v>
      </c>
      <c r="C237" s="3481" t="s">
        <v>5305</v>
      </c>
      <c r="D237" s="3482">
        <v>73.349999999999994</v>
      </c>
      <c r="E237" s="3519">
        <f t="shared" si="3"/>
        <v>37223.694614860258</v>
      </c>
      <c r="F237" s="3481">
        <v>2730358</v>
      </c>
      <c r="G237" s="3482" t="s">
        <v>4096</v>
      </c>
    </row>
    <row r="238" spans="1:7">
      <c r="A238" s="3536">
        <v>237</v>
      </c>
      <c r="B238" s="3481" t="s">
        <v>4095</v>
      </c>
      <c r="C238" s="3481" t="s">
        <v>3338</v>
      </c>
      <c r="D238" s="3482">
        <v>99.14</v>
      </c>
      <c r="E238" s="3519">
        <f t="shared" si="3"/>
        <v>13231.28908614081</v>
      </c>
      <c r="F238" s="3481">
        <v>1311750</v>
      </c>
      <c r="G238" s="3482" t="s">
        <v>4096</v>
      </c>
    </row>
    <row r="239" spans="1:7">
      <c r="A239" s="3536">
        <v>238</v>
      </c>
      <c r="B239" s="3481" t="s">
        <v>7694</v>
      </c>
      <c r="C239" s="3481" t="s">
        <v>5305</v>
      </c>
      <c r="D239" s="3482">
        <v>72.97</v>
      </c>
      <c r="E239" s="3519">
        <f t="shared" si="3"/>
        <v>37223.585034945871</v>
      </c>
      <c r="F239" s="3481">
        <v>2716205</v>
      </c>
      <c r="G239" s="3482" t="s">
        <v>3805</v>
      </c>
    </row>
    <row r="240" spans="1:7">
      <c r="A240" s="3536">
        <v>239</v>
      </c>
      <c r="B240" s="3481" t="s">
        <v>3807</v>
      </c>
      <c r="C240" s="3481" t="s">
        <v>3338</v>
      </c>
      <c r="D240" s="3482">
        <v>97.74</v>
      </c>
      <c r="E240" s="3519">
        <f t="shared" si="3"/>
        <v>13585.768365050133</v>
      </c>
      <c r="F240" s="3481">
        <v>1327873</v>
      </c>
      <c r="G240" s="3482" t="s">
        <v>3805</v>
      </c>
    </row>
    <row r="241" spans="1:7">
      <c r="A241" s="3536">
        <v>240</v>
      </c>
      <c r="B241" s="3481" t="s">
        <v>8045</v>
      </c>
      <c r="C241" s="3481" t="s">
        <v>5318</v>
      </c>
      <c r="D241" s="3482">
        <v>188.89</v>
      </c>
      <c r="E241" s="3519">
        <f t="shared" si="3"/>
        <v>26055.270263116101</v>
      </c>
      <c r="F241" s="3481">
        <v>4921580</v>
      </c>
      <c r="G241" s="3482" t="s">
        <v>4093</v>
      </c>
    </row>
    <row r="242" spans="1:7">
      <c r="A242" s="3536">
        <v>241</v>
      </c>
      <c r="B242" s="3481" t="s">
        <v>4092</v>
      </c>
      <c r="C242" s="3481" t="s">
        <v>3338</v>
      </c>
      <c r="D242" s="3482">
        <v>12.63</v>
      </c>
      <c r="E242" s="3519">
        <f t="shared" si="3"/>
        <v>3000</v>
      </c>
      <c r="F242" s="3481">
        <v>37890</v>
      </c>
      <c r="G242" s="3482" t="s">
        <v>4093</v>
      </c>
    </row>
    <row r="243" spans="1:7">
      <c r="A243" s="3536">
        <v>242</v>
      </c>
      <c r="B243" s="3481" t="s">
        <v>4091</v>
      </c>
      <c r="C243" s="3481" t="s">
        <v>3338</v>
      </c>
      <c r="D243" s="3482">
        <v>45.37</v>
      </c>
      <c r="E243" s="3519">
        <f t="shared" si="3"/>
        <v>3000.6612298875912</v>
      </c>
      <c r="F243" s="3481">
        <v>136140</v>
      </c>
      <c r="G243" s="3482" t="s">
        <v>4084</v>
      </c>
    </row>
    <row r="244" spans="1:7">
      <c r="A244" s="3536">
        <v>243</v>
      </c>
      <c r="B244" s="3481" t="s">
        <v>4097</v>
      </c>
      <c r="C244" s="3481" t="s">
        <v>3338</v>
      </c>
      <c r="D244" s="3482">
        <v>189.58</v>
      </c>
      <c r="E244" s="3519">
        <f t="shared" si="3"/>
        <v>13228.679185568097</v>
      </c>
      <c r="F244" s="3481">
        <v>2507893</v>
      </c>
      <c r="G244" s="3482" t="s">
        <v>4096</v>
      </c>
    </row>
    <row r="245" spans="1:7">
      <c r="A245" s="3536">
        <v>244</v>
      </c>
      <c r="B245" s="3481" t="s">
        <v>3808</v>
      </c>
      <c r="C245" s="3481" t="s">
        <v>3338</v>
      </c>
      <c r="D245" s="3482">
        <v>188.17</v>
      </c>
      <c r="E245" s="3519">
        <f t="shared" si="3"/>
        <v>13583.047244512942</v>
      </c>
      <c r="F245" s="3481">
        <v>2555922</v>
      </c>
      <c r="G245" s="3482" t="s">
        <v>3805</v>
      </c>
    </row>
    <row r="246" spans="1:7">
      <c r="A246" s="3536">
        <v>245</v>
      </c>
      <c r="B246" s="3481" t="s">
        <v>4094</v>
      </c>
      <c r="C246" s="3481" t="s">
        <v>3338</v>
      </c>
      <c r="D246" s="3482">
        <v>53.48</v>
      </c>
      <c r="E246" s="3519">
        <f t="shared" si="3"/>
        <v>3001.6828721017205</v>
      </c>
      <c r="F246" s="3481">
        <v>160530</v>
      </c>
      <c r="G246" s="3482" t="s">
        <v>4093</v>
      </c>
    </row>
    <row r="247" spans="1:7">
      <c r="A247" s="3536">
        <v>246</v>
      </c>
      <c r="B247" s="3481" t="s">
        <v>8063</v>
      </c>
      <c r="C247" s="3481" t="s">
        <v>3395</v>
      </c>
      <c r="D247" s="3482">
        <v>83.82</v>
      </c>
      <c r="E247" s="3519">
        <f t="shared" si="3"/>
        <v>32985.98186590313</v>
      </c>
      <c r="F247" s="3481">
        <v>2764885</v>
      </c>
      <c r="G247" s="3482" t="s">
        <v>4104</v>
      </c>
    </row>
    <row r="248" spans="1:7">
      <c r="A248" s="3536">
        <v>247</v>
      </c>
      <c r="B248" s="3481" t="s">
        <v>8020</v>
      </c>
      <c r="C248" s="3481" t="s">
        <v>3395</v>
      </c>
      <c r="D248" s="3482">
        <v>83.44</v>
      </c>
      <c r="E248" s="3519">
        <f t="shared" si="3"/>
        <v>33651.725790987533</v>
      </c>
      <c r="F248" s="3481">
        <v>2807900</v>
      </c>
      <c r="G248" s="3482" t="s">
        <v>4072</v>
      </c>
    </row>
    <row r="249" spans="1:7">
      <c r="A249" s="3536">
        <v>248</v>
      </c>
      <c r="B249" s="3481" t="s">
        <v>8064</v>
      </c>
      <c r="C249" s="3481" t="s">
        <v>3395</v>
      </c>
      <c r="D249" s="3482">
        <v>83.82</v>
      </c>
      <c r="E249" s="3519">
        <f t="shared" si="3"/>
        <v>32985.98186590313</v>
      </c>
      <c r="F249" s="3481">
        <v>2764885</v>
      </c>
      <c r="G249" s="3482" t="s">
        <v>4104</v>
      </c>
    </row>
    <row r="250" spans="1:7">
      <c r="A250" s="3536">
        <v>249</v>
      </c>
      <c r="B250" s="3481" t="s">
        <v>8021</v>
      </c>
      <c r="C250" s="3481" t="s">
        <v>3395</v>
      </c>
      <c r="D250" s="3482">
        <v>83.44</v>
      </c>
      <c r="E250" s="3519">
        <f t="shared" si="3"/>
        <v>33651.725790987533</v>
      </c>
      <c r="F250" s="3481">
        <v>2807900</v>
      </c>
      <c r="G250" s="3482" t="s">
        <v>4072</v>
      </c>
    </row>
    <row r="251" spans="1:7">
      <c r="A251" s="3536">
        <v>250</v>
      </c>
      <c r="B251" s="3481" t="s">
        <v>8644</v>
      </c>
      <c r="C251" s="3481" t="s">
        <v>3395</v>
      </c>
      <c r="D251" s="3482">
        <v>83.82</v>
      </c>
      <c r="E251" s="3519">
        <f t="shared" si="3"/>
        <v>32551.539012168934</v>
      </c>
      <c r="F251" s="3481">
        <v>2728470</v>
      </c>
      <c r="G251" s="3482" t="s">
        <v>8645</v>
      </c>
    </row>
    <row r="252" spans="1:7">
      <c r="A252" s="3536">
        <v>251</v>
      </c>
      <c r="B252" s="3481" t="s">
        <v>8611</v>
      </c>
      <c r="C252" s="3481" t="s">
        <v>3395</v>
      </c>
      <c r="D252" s="3482">
        <v>83.44</v>
      </c>
      <c r="E252" s="3519">
        <f t="shared" si="3"/>
        <v>32915.675934803454</v>
      </c>
      <c r="F252" s="3481">
        <v>2746484</v>
      </c>
      <c r="G252" s="3482" t="s">
        <v>4349</v>
      </c>
    </row>
    <row r="253" spans="1:7">
      <c r="A253" s="3536">
        <v>252</v>
      </c>
      <c r="B253" s="3481" t="s">
        <v>7698</v>
      </c>
      <c r="C253" s="3481" t="s">
        <v>3395</v>
      </c>
      <c r="D253" s="3482">
        <v>74.13</v>
      </c>
      <c r="E253" s="3519">
        <f t="shared" si="3"/>
        <v>36152.704707945501</v>
      </c>
      <c r="F253" s="3481">
        <v>2680000</v>
      </c>
      <c r="G253" s="3482" t="s">
        <v>7699</v>
      </c>
    </row>
    <row r="254" spans="1:7">
      <c r="A254" s="3536">
        <v>253</v>
      </c>
      <c r="B254" s="3481" t="s">
        <v>8327</v>
      </c>
      <c r="C254" s="3481" t="s">
        <v>3395</v>
      </c>
      <c r="D254" s="3482">
        <v>73.67</v>
      </c>
      <c r="E254" s="3519">
        <f t="shared" si="3"/>
        <v>34519.180127596039</v>
      </c>
      <c r="F254" s="3481">
        <v>2543028</v>
      </c>
      <c r="G254" s="3482" t="s">
        <v>8328</v>
      </c>
    </row>
    <row r="255" spans="1:7">
      <c r="A255" s="3536">
        <v>254</v>
      </c>
      <c r="B255" s="3481" t="s">
        <v>8092</v>
      </c>
      <c r="C255" s="3481" t="s">
        <v>5318</v>
      </c>
      <c r="D255" s="3482">
        <v>188.89</v>
      </c>
      <c r="E255" s="3519">
        <f t="shared" si="3"/>
        <v>26478.797183545979</v>
      </c>
      <c r="F255" s="3481">
        <v>5001580</v>
      </c>
      <c r="G255" s="3482" t="s">
        <v>4123</v>
      </c>
    </row>
    <row r="256" spans="1:7">
      <c r="A256" s="3536">
        <v>255</v>
      </c>
      <c r="B256" s="3481" t="s">
        <v>4122</v>
      </c>
      <c r="C256" s="3481" t="s">
        <v>3338</v>
      </c>
      <c r="D256" s="3482">
        <v>12.63</v>
      </c>
      <c r="E256" s="3519">
        <f t="shared" si="3"/>
        <v>3000</v>
      </c>
      <c r="F256" s="3481">
        <v>37890</v>
      </c>
      <c r="G256" s="3482" t="s">
        <v>4123</v>
      </c>
    </row>
    <row r="257" spans="1:7">
      <c r="A257" s="3536">
        <v>256</v>
      </c>
      <c r="B257" s="3481" t="s">
        <v>6903</v>
      </c>
      <c r="C257" s="3481" t="s">
        <v>5305</v>
      </c>
      <c r="D257" s="3482">
        <v>72.97</v>
      </c>
      <c r="E257" s="3519">
        <f t="shared" si="3"/>
        <v>37044.991092229684</v>
      </c>
      <c r="F257" s="3481">
        <v>2703173</v>
      </c>
      <c r="G257" s="3482" t="s">
        <v>3444</v>
      </c>
    </row>
    <row r="258" spans="1:7">
      <c r="A258" s="3536">
        <v>257</v>
      </c>
      <c r="B258" s="3481" t="s">
        <v>3865</v>
      </c>
      <c r="C258" s="3481" t="s">
        <v>3338</v>
      </c>
      <c r="D258" s="3482">
        <v>97.74</v>
      </c>
      <c r="E258" s="3519">
        <f t="shared" si="3"/>
        <v>13585.768365050133</v>
      </c>
      <c r="F258" s="3481">
        <v>1327873</v>
      </c>
      <c r="G258" s="3482" t="s">
        <v>3866</v>
      </c>
    </row>
    <row r="259" spans="1:7">
      <c r="A259" s="3536">
        <v>258</v>
      </c>
      <c r="B259" s="3481" t="s">
        <v>4124</v>
      </c>
      <c r="C259" s="3481" t="s">
        <v>3338</v>
      </c>
      <c r="D259" s="3482">
        <v>53.48</v>
      </c>
      <c r="E259" s="3519">
        <f t="shared" ref="E259:E322" si="4">F259/D259</f>
        <v>3001.6828721017205</v>
      </c>
      <c r="F259" s="3481">
        <v>160530</v>
      </c>
      <c r="G259" s="3482" t="s">
        <v>4123</v>
      </c>
    </row>
    <row r="260" spans="1:7">
      <c r="A260" s="3536">
        <v>259</v>
      </c>
      <c r="B260" s="3481" t="s">
        <v>3443</v>
      </c>
      <c r="C260" s="3481" t="s">
        <v>3338</v>
      </c>
      <c r="D260" s="3482">
        <v>188.17</v>
      </c>
      <c r="E260" s="3519">
        <f t="shared" si="4"/>
        <v>13652.30376786948</v>
      </c>
      <c r="F260" s="3481">
        <v>2568954</v>
      </c>
      <c r="G260" s="3482" t="s">
        <v>3444</v>
      </c>
    </row>
    <row r="261" spans="1:7">
      <c r="A261" s="3536">
        <v>260</v>
      </c>
      <c r="B261" s="3481" t="s">
        <v>8083</v>
      </c>
      <c r="C261" s="3481" t="s">
        <v>3395</v>
      </c>
      <c r="D261" s="3482">
        <v>83.44</v>
      </c>
      <c r="E261" s="3519">
        <f t="shared" si="4"/>
        <v>32982.058964525408</v>
      </c>
      <c r="F261" s="3481">
        <v>2752023</v>
      </c>
      <c r="G261" s="3482" t="s">
        <v>4123</v>
      </c>
    </row>
    <row r="262" spans="1:7">
      <c r="A262" s="3536">
        <v>261</v>
      </c>
      <c r="B262" s="3481" t="s">
        <v>8035</v>
      </c>
      <c r="C262" s="3481" t="s">
        <v>3395</v>
      </c>
      <c r="D262" s="3482">
        <v>83.44</v>
      </c>
      <c r="E262" s="3519">
        <f t="shared" si="4"/>
        <v>33651.725790987533</v>
      </c>
      <c r="F262" s="3481">
        <v>2807900</v>
      </c>
      <c r="G262" s="3482" t="s">
        <v>4084</v>
      </c>
    </row>
    <row r="263" spans="1:7">
      <c r="A263" s="3536">
        <v>262</v>
      </c>
      <c r="B263" s="3481" t="s">
        <v>8065</v>
      </c>
      <c r="C263" s="3481" t="s">
        <v>3395</v>
      </c>
      <c r="D263" s="3482">
        <v>83.44</v>
      </c>
      <c r="E263" s="3519">
        <f t="shared" si="4"/>
        <v>33315.208533077661</v>
      </c>
      <c r="F263" s="3481">
        <v>2779821</v>
      </c>
      <c r="G263" s="3482" t="s">
        <v>4104</v>
      </c>
    </row>
    <row r="264" spans="1:7">
      <c r="A264" s="3536">
        <v>263</v>
      </c>
      <c r="B264" s="3481" t="s">
        <v>8105</v>
      </c>
      <c r="C264" s="3481" t="s">
        <v>3395</v>
      </c>
      <c r="D264" s="3482">
        <v>83.44</v>
      </c>
      <c r="E264" s="3519">
        <f t="shared" si="4"/>
        <v>33315.208533077661</v>
      </c>
      <c r="F264" s="3481">
        <v>2779821</v>
      </c>
      <c r="G264" s="3482" t="s">
        <v>8106</v>
      </c>
    </row>
    <row r="265" spans="1:7">
      <c r="A265" s="3536">
        <v>264</v>
      </c>
      <c r="B265" s="3481" t="s">
        <v>7999</v>
      </c>
      <c r="C265" s="3481" t="s">
        <v>3395</v>
      </c>
      <c r="D265" s="3482">
        <v>83.44</v>
      </c>
      <c r="E265" s="3519">
        <f t="shared" si="4"/>
        <v>33628.751198465965</v>
      </c>
      <c r="F265" s="3481">
        <v>2805983</v>
      </c>
      <c r="G265" s="3482" t="s">
        <v>8000</v>
      </c>
    </row>
    <row r="266" spans="1:7">
      <c r="A266" s="3536">
        <v>265</v>
      </c>
      <c r="B266" s="3481" t="s">
        <v>6881</v>
      </c>
      <c r="C266" s="3481" t="s">
        <v>3395</v>
      </c>
      <c r="D266" s="3482">
        <v>83.44</v>
      </c>
      <c r="E266" s="3519">
        <f t="shared" si="4"/>
        <v>28085.258868648132</v>
      </c>
      <c r="F266" s="3481">
        <v>2343434</v>
      </c>
      <c r="G266" s="3482" t="s">
        <v>6882</v>
      </c>
    </row>
    <row r="267" spans="1:7">
      <c r="A267" s="3536">
        <v>266</v>
      </c>
      <c r="B267" s="3481" t="s">
        <v>5672</v>
      </c>
      <c r="C267" s="3481" t="s">
        <v>3395</v>
      </c>
      <c r="D267" s="3482">
        <v>73.67</v>
      </c>
      <c r="E267" s="3519">
        <f t="shared" si="4"/>
        <v>34878.607302836972</v>
      </c>
      <c r="F267" s="3481">
        <v>2569507</v>
      </c>
      <c r="G267" s="3482" t="s">
        <v>8768</v>
      </c>
    </row>
    <row r="268" spans="1:7">
      <c r="A268" s="3536">
        <v>267</v>
      </c>
      <c r="B268" s="3481" t="s">
        <v>8369</v>
      </c>
      <c r="C268" s="3481" t="s">
        <v>3395</v>
      </c>
      <c r="D268" s="3482">
        <v>73.67</v>
      </c>
      <c r="E268" s="3519">
        <f t="shared" si="4"/>
        <v>34508.402334735983</v>
      </c>
      <c r="F268" s="3481">
        <v>2542234</v>
      </c>
      <c r="G268" s="3482" t="s">
        <v>8370</v>
      </c>
    </row>
    <row r="269" spans="1:7">
      <c r="A269" s="3536">
        <v>268</v>
      </c>
      <c r="B269" s="3481" t="s">
        <v>8121</v>
      </c>
      <c r="C269" s="3481" t="s">
        <v>5318</v>
      </c>
      <c r="D269" s="3482">
        <v>178.1</v>
      </c>
      <c r="E269" s="3519">
        <f t="shared" si="4"/>
        <v>28260.303200449187</v>
      </c>
      <c r="F269" s="3481">
        <v>5033160</v>
      </c>
      <c r="G269" s="3482" t="s">
        <v>4156</v>
      </c>
    </row>
    <row r="270" spans="1:7">
      <c r="A270" s="3536">
        <v>269</v>
      </c>
      <c r="B270" s="3481" t="s">
        <v>4155</v>
      </c>
      <c r="C270" s="3481" t="s">
        <v>3338</v>
      </c>
      <c r="D270" s="3482">
        <v>23.76</v>
      </c>
      <c r="E270" s="3519">
        <f t="shared" si="4"/>
        <v>3000</v>
      </c>
      <c r="F270" s="3481">
        <v>71280</v>
      </c>
      <c r="G270" s="3482" t="s">
        <v>4156</v>
      </c>
    </row>
    <row r="271" spans="1:7">
      <c r="A271" s="3536">
        <v>270</v>
      </c>
      <c r="B271" s="3481" t="s">
        <v>4157</v>
      </c>
      <c r="C271" s="3481" t="s">
        <v>3338</v>
      </c>
      <c r="D271" s="3482">
        <v>28.51</v>
      </c>
      <c r="E271" s="3519">
        <f t="shared" si="4"/>
        <v>3001.0522623640827</v>
      </c>
      <c r="F271" s="3481">
        <v>85560</v>
      </c>
      <c r="G271" s="3482" t="s">
        <v>4156</v>
      </c>
    </row>
    <row r="272" spans="1:7">
      <c r="A272" s="3536">
        <v>271</v>
      </c>
      <c r="B272" s="3481" t="s">
        <v>8084</v>
      </c>
      <c r="C272" s="3481" t="s">
        <v>3395</v>
      </c>
      <c r="D272" s="3482">
        <v>83.44</v>
      </c>
      <c r="E272" s="3519">
        <f t="shared" si="4"/>
        <v>33651.725790987533</v>
      </c>
      <c r="F272" s="3481">
        <v>2807900</v>
      </c>
      <c r="G272" s="3482" t="s">
        <v>4123</v>
      </c>
    </row>
    <row r="273" spans="1:7">
      <c r="A273" s="3536">
        <v>272</v>
      </c>
      <c r="B273" s="3481" t="s">
        <v>8036</v>
      </c>
      <c r="C273" s="3481" t="s">
        <v>3395</v>
      </c>
      <c r="D273" s="3482">
        <v>83.44</v>
      </c>
      <c r="E273" s="3519">
        <f t="shared" si="4"/>
        <v>33651.725790987533</v>
      </c>
      <c r="F273" s="3481">
        <v>2807900</v>
      </c>
      <c r="G273" s="3482" t="s">
        <v>4084</v>
      </c>
    </row>
    <row r="274" spans="1:7">
      <c r="A274" s="3536">
        <v>273</v>
      </c>
      <c r="B274" s="3481" t="s">
        <v>8085</v>
      </c>
      <c r="C274" s="3481" t="s">
        <v>3395</v>
      </c>
      <c r="D274" s="3482">
        <v>83.44</v>
      </c>
      <c r="E274" s="3519">
        <f t="shared" si="4"/>
        <v>32982.058964525408</v>
      </c>
      <c r="F274" s="3481">
        <v>2752023</v>
      </c>
      <c r="G274" s="3482" t="s">
        <v>4123</v>
      </c>
    </row>
    <row r="275" spans="1:7">
      <c r="A275" s="3536">
        <v>274</v>
      </c>
      <c r="B275" s="3481" t="s">
        <v>8066</v>
      </c>
      <c r="C275" s="3481" t="s">
        <v>3395</v>
      </c>
      <c r="D275" s="3482">
        <v>83.44</v>
      </c>
      <c r="E275" s="3519">
        <f t="shared" si="4"/>
        <v>33651.725790987533</v>
      </c>
      <c r="F275" s="3481">
        <v>2807900</v>
      </c>
      <c r="G275" s="3482" t="s">
        <v>4104</v>
      </c>
    </row>
    <row r="276" spans="1:7">
      <c r="A276" s="3536">
        <v>275</v>
      </c>
      <c r="B276" s="3481" t="s">
        <v>5682</v>
      </c>
      <c r="C276" s="3481" t="s">
        <v>3395</v>
      </c>
      <c r="D276" s="3482">
        <v>83.39</v>
      </c>
      <c r="E276" s="3519">
        <f t="shared" si="4"/>
        <v>27821.081664468162</v>
      </c>
      <c r="F276" s="3481">
        <v>2320000</v>
      </c>
      <c r="G276" s="3482" t="s">
        <v>6870</v>
      </c>
    </row>
    <row r="277" spans="1:7">
      <c r="A277" s="3536">
        <v>276</v>
      </c>
      <c r="B277" s="3481" t="s">
        <v>8552</v>
      </c>
      <c r="C277" s="3481" t="s">
        <v>3395</v>
      </c>
      <c r="D277" s="3482">
        <v>83.44</v>
      </c>
      <c r="E277" s="3519">
        <f t="shared" si="4"/>
        <v>32922.459252157241</v>
      </c>
      <c r="F277" s="3481">
        <v>2747050</v>
      </c>
      <c r="G277" s="3482" t="s">
        <v>8553</v>
      </c>
    </row>
    <row r="278" spans="1:7">
      <c r="A278" s="3536">
        <v>277</v>
      </c>
      <c r="B278" s="3481" t="s">
        <v>8330</v>
      </c>
      <c r="C278" s="3481" t="s">
        <v>3395</v>
      </c>
      <c r="D278" s="3482">
        <v>73.67</v>
      </c>
      <c r="E278" s="3519">
        <f t="shared" si="4"/>
        <v>34163.309352517987</v>
      </c>
      <c r="F278" s="3481">
        <v>2516811</v>
      </c>
      <c r="G278" s="3482" t="s">
        <v>8331</v>
      </c>
    </row>
    <row r="279" spans="1:7">
      <c r="A279" s="3536">
        <v>278</v>
      </c>
      <c r="B279" s="3481" t="s">
        <v>8378</v>
      </c>
      <c r="C279" s="3481" t="s">
        <v>3395</v>
      </c>
      <c r="D279" s="3482">
        <v>73.67</v>
      </c>
      <c r="E279" s="3519">
        <f t="shared" si="4"/>
        <v>34867.856658069773</v>
      </c>
      <c r="F279" s="3481">
        <v>2568715</v>
      </c>
      <c r="G279" s="3482" t="s">
        <v>8379</v>
      </c>
    </row>
    <row r="280" spans="1:7">
      <c r="A280" s="3536">
        <v>279</v>
      </c>
      <c r="B280" s="3481" t="s">
        <v>8016</v>
      </c>
      <c r="C280" s="3481" t="s">
        <v>5318</v>
      </c>
      <c r="D280" s="3482">
        <v>192.4</v>
      </c>
      <c r="E280" s="3519">
        <f t="shared" si="4"/>
        <v>26169.75051975052</v>
      </c>
      <c r="F280" s="3481">
        <v>5035060</v>
      </c>
      <c r="G280" s="3482" t="s">
        <v>4070</v>
      </c>
    </row>
    <row r="281" spans="1:7">
      <c r="A281" s="3536">
        <v>280</v>
      </c>
      <c r="B281" s="3481" t="s">
        <v>4069</v>
      </c>
      <c r="C281" s="3481" t="s">
        <v>3338</v>
      </c>
      <c r="D281" s="3482">
        <v>44.98</v>
      </c>
      <c r="E281" s="3519">
        <f t="shared" si="4"/>
        <v>3000</v>
      </c>
      <c r="F281" s="3481">
        <v>134940</v>
      </c>
      <c r="G281" s="3482" t="s">
        <v>4070</v>
      </c>
    </row>
    <row r="282" spans="1:7">
      <c r="A282" s="3536">
        <v>281</v>
      </c>
      <c r="B282" s="3481" t="s">
        <v>8067</v>
      </c>
      <c r="C282" s="3481" t="s">
        <v>5305</v>
      </c>
      <c r="D282" s="3482">
        <v>73.349999999999994</v>
      </c>
      <c r="E282" s="3519">
        <f t="shared" si="4"/>
        <v>37223.694614860258</v>
      </c>
      <c r="F282" s="3481">
        <v>2730358</v>
      </c>
      <c r="G282" s="3482" t="s">
        <v>4104</v>
      </c>
    </row>
    <row r="283" spans="1:7">
      <c r="A283" s="3536">
        <v>282</v>
      </c>
      <c r="B283" s="3481" t="s">
        <v>4103</v>
      </c>
      <c r="C283" s="3481" t="s">
        <v>3338</v>
      </c>
      <c r="D283" s="3482">
        <v>99.14</v>
      </c>
      <c r="E283" s="3519">
        <f t="shared" si="4"/>
        <v>13369.840629412951</v>
      </c>
      <c r="F283" s="3481">
        <v>1325486</v>
      </c>
      <c r="G283" s="3482" t="s">
        <v>4104</v>
      </c>
    </row>
    <row r="284" spans="1:7">
      <c r="A284" s="3536">
        <v>283</v>
      </c>
      <c r="B284" s="3481" t="s">
        <v>8096</v>
      </c>
      <c r="C284" s="3481" t="s">
        <v>5318</v>
      </c>
      <c r="D284" s="3482">
        <v>179.3</v>
      </c>
      <c r="E284" s="3519">
        <f t="shared" si="4"/>
        <v>28313.162297824874</v>
      </c>
      <c r="F284" s="3481">
        <v>5076550</v>
      </c>
      <c r="G284" s="3482" t="s">
        <v>4132</v>
      </c>
    </row>
    <row r="285" spans="1:7">
      <c r="A285" s="3536">
        <v>284</v>
      </c>
      <c r="B285" s="3481" t="s">
        <v>4131</v>
      </c>
      <c r="C285" s="3481" t="s">
        <v>3338</v>
      </c>
      <c r="D285" s="3482">
        <v>12.63</v>
      </c>
      <c r="E285" s="3519">
        <f t="shared" si="4"/>
        <v>3000</v>
      </c>
      <c r="F285" s="3481">
        <v>37890</v>
      </c>
      <c r="G285" s="3482" t="s">
        <v>4132</v>
      </c>
    </row>
    <row r="286" spans="1:7">
      <c r="A286" s="3536">
        <v>285</v>
      </c>
      <c r="B286" s="3481" t="s">
        <v>4105</v>
      </c>
      <c r="C286" s="3481" t="s">
        <v>3338</v>
      </c>
      <c r="D286" s="3482">
        <v>189.58</v>
      </c>
      <c r="E286" s="3519">
        <f t="shared" si="4"/>
        <v>13367.211731195273</v>
      </c>
      <c r="F286" s="3481">
        <v>2534156</v>
      </c>
      <c r="G286" s="3482" t="s">
        <v>4104</v>
      </c>
    </row>
    <row r="287" spans="1:7">
      <c r="A287" s="3536">
        <v>286</v>
      </c>
      <c r="B287" s="3481" t="s">
        <v>4133</v>
      </c>
      <c r="C287" s="3481" t="s">
        <v>3338</v>
      </c>
      <c r="D287" s="3482">
        <v>28.51</v>
      </c>
      <c r="E287" s="3519">
        <f t="shared" si="4"/>
        <v>3001.0522623640827</v>
      </c>
      <c r="F287" s="3481">
        <v>85560</v>
      </c>
      <c r="G287" s="3482" t="s">
        <v>4132</v>
      </c>
    </row>
    <row r="288" spans="1:7">
      <c r="A288" s="3536">
        <v>287</v>
      </c>
      <c r="B288" s="3481" t="s">
        <v>8099</v>
      </c>
      <c r="C288" s="3481" t="s">
        <v>3395</v>
      </c>
      <c r="D288" s="3482">
        <v>83.44</v>
      </c>
      <c r="E288" s="3519">
        <f t="shared" si="4"/>
        <v>33315.208533077661</v>
      </c>
      <c r="F288" s="3481">
        <v>2779821</v>
      </c>
      <c r="G288" s="3482" t="s">
        <v>8100</v>
      </c>
    </row>
    <row r="289" spans="1:7">
      <c r="A289" s="3536">
        <v>288</v>
      </c>
      <c r="B289" s="3481" t="s">
        <v>8113</v>
      </c>
      <c r="C289" s="3481" t="s">
        <v>3395</v>
      </c>
      <c r="D289" s="3482">
        <v>83.82</v>
      </c>
      <c r="E289" s="3519">
        <f t="shared" si="4"/>
        <v>32985.98186590313</v>
      </c>
      <c r="F289" s="3481">
        <v>2764885</v>
      </c>
      <c r="G289" s="3482" t="s">
        <v>4150</v>
      </c>
    </row>
    <row r="290" spans="1:7">
      <c r="A290" s="3536">
        <v>289</v>
      </c>
      <c r="B290" s="3481" t="s">
        <v>8044</v>
      </c>
      <c r="C290" s="3481" t="s">
        <v>3395</v>
      </c>
      <c r="D290" s="3482">
        <v>83.44</v>
      </c>
      <c r="E290" s="3519">
        <f t="shared" si="4"/>
        <v>33315.208533077661</v>
      </c>
      <c r="F290" s="3481">
        <v>2779821</v>
      </c>
      <c r="G290" s="3482" t="s">
        <v>4093</v>
      </c>
    </row>
    <row r="291" spans="1:7">
      <c r="A291" s="3536">
        <v>290</v>
      </c>
      <c r="B291" s="3481" t="s">
        <v>8094</v>
      </c>
      <c r="C291" s="3481" t="s">
        <v>3395</v>
      </c>
      <c r="D291" s="3482">
        <v>83.82</v>
      </c>
      <c r="E291" s="3519">
        <f t="shared" si="4"/>
        <v>33319.172035313772</v>
      </c>
      <c r="F291" s="3481">
        <v>2792813</v>
      </c>
      <c r="G291" s="3482" t="s">
        <v>4132</v>
      </c>
    </row>
    <row r="292" spans="1:7">
      <c r="A292" s="3536">
        <v>291</v>
      </c>
      <c r="B292" s="3481" t="s">
        <v>8397</v>
      </c>
      <c r="C292" s="3481" t="s">
        <v>3395</v>
      </c>
      <c r="D292" s="3482">
        <v>83.44</v>
      </c>
      <c r="E292" s="3519">
        <f t="shared" si="4"/>
        <v>33292.461649089164</v>
      </c>
      <c r="F292" s="3481">
        <v>2777923</v>
      </c>
      <c r="G292" s="3482" t="s">
        <v>4290</v>
      </c>
    </row>
    <row r="293" spans="1:7">
      <c r="A293" s="3536">
        <v>292</v>
      </c>
      <c r="B293" s="3481" t="s">
        <v>8380</v>
      </c>
      <c r="C293" s="3481" t="s">
        <v>3395</v>
      </c>
      <c r="D293" s="3482">
        <v>83.82</v>
      </c>
      <c r="E293" s="3519">
        <f t="shared" si="4"/>
        <v>33296.528274874734</v>
      </c>
      <c r="F293" s="3481">
        <v>2790915</v>
      </c>
      <c r="G293" s="3482" t="s">
        <v>8379</v>
      </c>
    </row>
    <row r="294" spans="1:7">
      <c r="A294" s="3536">
        <v>293</v>
      </c>
      <c r="B294" s="3481" t="s">
        <v>8371</v>
      </c>
      <c r="C294" s="3481" t="s">
        <v>3395</v>
      </c>
      <c r="D294" s="3482">
        <v>73.67</v>
      </c>
      <c r="E294" s="3519">
        <f t="shared" si="4"/>
        <v>34878.607302836972</v>
      </c>
      <c r="F294" s="3481">
        <v>2569507</v>
      </c>
      <c r="G294" s="3482" t="s">
        <v>8370</v>
      </c>
    </row>
    <row r="295" spans="1:7">
      <c r="A295" s="3536">
        <v>294</v>
      </c>
      <c r="B295" s="3481" t="s">
        <v>8657</v>
      </c>
      <c r="C295" s="3481" t="s">
        <v>3395</v>
      </c>
      <c r="D295" s="3482">
        <v>74.13</v>
      </c>
      <c r="E295" s="3519">
        <f t="shared" si="4"/>
        <v>35568.015648185625</v>
      </c>
      <c r="F295" s="3481">
        <v>2636657</v>
      </c>
      <c r="G295" s="3482" t="s">
        <v>8658</v>
      </c>
    </row>
    <row r="296" spans="1:7">
      <c r="A296" s="3536">
        <v>295</v>
      </c>
      <c r="B296" s="3481" t="s">
        <v>8077</v>
      </c>
      <c r="C296" s="3481" t="s">
        <v>5318</v>
      </c>
      <c r="D296" s="3482">
        <v>193.76</v>
      </c>
      <c r="E296" s="3519">
        <f t="shared" si="4"/>
        <v>25759.805945499589</v>
      </c>
      <c r="F296" s="3481">
        <v>4991220</v>
      </c>
      <c r="G296" s="3482" t="s">
        <v>4104</v>
      </c>
    </row>
    <row r="297" spans="1:7">
      <c r="A297" s="3536">
        <v>296</v>
      </c>
      <c r="B297" s="3481" t="s">
        <v>4125</v>
      </c>
      <c r="C297" s="3481" t="s">
        <v>3338</v>
      </c>
      <c r="D297" s="3482">
        <v>12.54</v>
      </c>
      <c r="E297" s="3519">
        <f t="shared" si="4"/>
        <v>3000</v>
      </c>
      <c r="F297" s="3481">
        <v>37620</v>
      </c>
      <c r="G297" s="3482" t="s">
        <v>4123</v>
      </c>
    </row>
    <row r="298" spans="1:7">
      <c r="A298" s="3536">
        <v>297</v>
      </c>
      <c r="B298" s="3481" t="s">
        <v>8068</v>
      </c>
      <c r="C298" s="3481" t="s">
        <v>5305</v>
      </c>
      <c r="D298" s="3482">
        <v>73.430000000000007</v>
      </c>
      <c r="E298" s="3519">
        <f t="shared" si="4"/>
        <v>37223.709655454171</v>
      </c>
      <c r="F298" s="3481">
        <v>2733337</v>
      </c>
      <c r="G298" s="3482" t="s">
        <v>4104</v>
      </c>
    </row>
    <row r="299" spans="1:7">
      <c r="A299" s="3536">
        <v>298</v>
      </c>
      <c r="B299" s="3481" t="s">
        <v>4106</v>
      </c>
      <c r="C299" s="3481" t="s">
        <v>3338</v>
      </c>
      <c r="D299" s="3482">
        <v>98.54</v>
      </c>
      <c r="E299" s="3519">
        <f t="shared" si="4"/>
        <v>13129.175969149583</v>
      </c>
      <c r="F299" s="3481">
        <v>1293749</v>
      </c>
      <c r="G299" s="3482" t="s">
        <v>4104</v>
      </c>
    </row>
    <row r="300" spans="1:7">
      <c r="A300" s="3536">
        <v>299</v>
      </c>
      <c r="B300" s="3481" t="s">
        <v>7816</v>
      </c>
      <c r="C300" s="3481" t="s">
        <v>5305</v>
      </c>
      <c r="D300" s="3482">
        <v>73.05</v>
      </c>
      <c r="E300" s="3519">
        <f t="shared" si="4"/>
        <v>37223.600273785079</v>
      </c>
      <c r="F300" s="3481">
        <v>2719184</v>
      </c>
      <c r="G300" s="3482" t="s">
        <v>7817</v>
      </c>
    </row>
    <row r="301" spans="1:7">
      <c r="A301" s="3536">
        <v>300</v>
      </c>
      <c r="B301" s="3481" t="s">
        <v>4045</v>
      </c>
      <c r="C301" s="3481" t="s">
        <v>3338</v>
      </c>
      <c r="D301" s="3482">
        <v>97.14</v>
      </c>
      <c r="E301" s="3519">
        <f t="shared" si="4"/>
        <v>13660.407659048795</v>
      </c>
      <c r="F301" s="3481">
        <v>1326972</v>
      </c>
      <c r="G301" s="3482" t="s">
        <v>4046</v>
      </c>
    </row>
    <row r="302" spans="1:7">
      <c r="A302" s="3536">
        <v>301</v>
      </c>
      <c r="B302" s="3481" t="s">
        <v>7998</v>
      </c>
      <c r="C302" s="3481" t="s">
        <v>5318</v>
      </c>
      <c r="D302" s="3482">
        <v>192.82</v>
      </c>
      <c r="E302" s="3519">
        <f t="shared" si="4"/>
        <v>25945.648791619129</v>
      </c>
      <c r="F302" s="3481">
        <v>5002840</v>
      </c>
      <c r="G302" s="3482" t="s">
        <v>4052</v>
      </c>
    </row>
    <row r="303" spans="1:7">
      <c r="A303" s="3536">
        <v>302</v>
      </c>
      <c r="B303" s="3481" t="s">
        <v>4051</v>
      </c>
      <c r="C303" s="3481" t="s">
        <v>3338</v>
      </c>
      <c r="D303" s="3482">
        <v>12.54</v>
      </c>
      <c r="E303" s="3519">
        <f t="shared" si="4"/>
        <v>3000</v>
      </c>
      <c r="F303" s="3481">
        <v>37620</v>
      </c>
      <c r="G303" s="3482" t="s">
        <v>4052</v>
      </c>
    </row>
    <row r="304" spans="1:7">
      <c r="A304" s="3536">
        <v>303</v>
      </c>
      <c r="B304" s="3481" t="s">
        <v>4126</v>
      </c>
      <c r="C304" s="3481" t="s">
        <v>3338</v>
      </c>
      <c r="D304" s="3482">
        <v>53.69</v>
      </c>
      <c r="E304" s="3519">
        <f t="shared" si="4"/>
        <v>3001.6762898118832</v>
      </c>
      <c r="F304" s="3481">
        <v>161160</v>
      </c>
      <c r="G304" s="3482" t="s">
        <v>4123</v>
      </c>
    </row>
    <row r="305" spans="1:7">
      <c r="A305" s="3536">
        <v>304</v>
      </c>
      <c r="B305" s="3481" t="s">
        <v>4107</v>
      </c>
      <c r="C305" s="3481" t="s">
        <v>3338</v>
      </c>
      <c r="D305" s="3482">
        <v>188.39</v>
      </c>
      <c r="E305" s="3519">
        <f t="shared" si="4"/>
        <v>13126.56722755985</v>
      </c>
      <c r="F305" s="3481">
        <v>2472914</v>
      </c>
      <c r="G305" s="3482" t="s">
        <v>4104</v>
      </c>
    </row>
    <row r="306" spans="1:7">
      <c r="A306" s="3536">
        <v>305</v>
      </c>
      <c r="B306" s="3481" t="s">
        <v>4047</v>
      </c>
      <c r="C306" s="3481" t="s">
        <v>3338</v>
      </c>
      <c r="D306" s="3482">
        <v>186.99</v>
      </c>
      <c r="E306" s="3519">
        <f t="shared" si="4"/>
        <v>13657.650141718808</v>
      </c>
      <c r="F306" s="3481">
        <v>2553844</v>
      </c>
      <c r="G306" s="3482" t="s">
        <v>4046</v>
      </c>
    </row>
    <row r="307" spans="1:7">
      <c r="A307" s="3536">
        <v>306</v>
      </c>
      <c r="B307" s="3481" t="s">
        <v>4053</v>
      </c>
      <c r="C307" s="3481" t="s">
        <v>3338</v>
      </c>
      <c r="D307" s="3482">
        <v>53.15</v>
      </c>
      <c r="E307" s="3519">
        <f t="shared" si="4"/>
        <v>3001.6933207902166</v>
      </c>
      <c r="F307" s="3481">
        <v>159540</v>
      </c>
      <c r="G307" s="3482" t="s">
        <v>4052</v>
      </c>
    </row>
    <row r="308" spans="1:7">
      <c r="A308" s="3536">
        <v>307</v>
      </c>
      <c r="B308" s="3481" t="s">
        <v>8544</v>
      </c>
      <c r="C308" s="3481" t="s">
        <v>3395</v>
      </c>
      <c r="D308" s="3482">
        <v>83.92</v>
      </c>
      <c r="E308" s="3519">
        <f t="shared" si="4"/>
        <v>32178.276930409913</v>
      </c>
      <c r="F308" s="3481">
        <v>2700401</v>
      </c>
      <c r="G308" s="3482" t="s">
        <v>8545</v>
      </c>
    </row>
    <row r="309" spans="1:7">
      <c r="A309" s="3536">
        <v>308</v>
      </c>
      <c r="B309" s="3481" t="s">
        <v>7989</v>
      </c>
      <c r="C309" s="3481" t="s">
        <v>3395</v>
      </c>
      <c r="D309" s="3482">
        <v>83.54</v>
      </c>
      <c r="E309" s="3519">
        <f t="shared" si="4"/>
        <v>33611.443619822836</v>
      </c>
      <c r="F309" s="3481">
        <v>2807900</v>
      </c>
      <c r="G309" s="3482" t="s">
        <v>7990</v>
      </c>
    </row>
    <row r="310" spans="1:7">
      <c r="A310" s="3536">
        <v>309</v>
      </c>
      <c r="B310" s="3481" t="s">
        <v>8566</v>
      </c>
      <c r="C310" s="3481" t="s">
        <v>3395</v>
      </c>
      <c r="D310" s="3482">
        <v>83.92</v>
      </c>
      <c r="E310" s="3519">
        <f t="shared" si="4"/>
        <v>32841.885128693997</v>
      </c>
      <c r="F310" s="3481">
        <v>2756091</v>
      </c>
      <c r="G310" s="3482" t="s">
        <v>8567</v>
      </c>
    </row>
    <row r="311" spans="1:7">
      <c r="A311" s="3536">
        <v>310</v>
      </c>
      <c r="B311" s="3481" t="s">
        <v>7969</v>
      </c>
      <c r="C311" s="3481" t="s">
        <v>3395</v>
      </c>
      <c r="D311" s="3482">
        <v>83.54</v>
      </c>
      <c r="E311" s="3519">
        <f t="shared" si="4"/>
        <v>33611.443619822836</v>
      </c>
      <c r="F311" s="3481">
        <v>2807900</v>
      </c>
      <c r="G311" s="3482" t="s">
        <v>4031</v>
      </c>
    </row>
    <row r="312" spans="1:7">
      <c r="A312" s="3536">
        <v>311</v>
      </c>
      <c r="B312" s="3481" t="s">
        <v>8619</v>
      </c>
      <c r="C312" s="3481" t="s">
        <v>3395</v>
      </c>
      <c r="D312" s="3482">
        <v>83.92</v>
      </c>
      <c r="E312" s="3519">
        <f t="shared" si="4"/>
        <v>31863.191134413726</v>
      </c>
      <c r="F312" s="3481">
        <v>2673959</v>
      </c>
      <c r="G312" s="3482" t="s">
        <v>8620</v>
      </c>
    </row>
    <row r="313" spans="1:7">
      <c r="A313" s="3536">
        <v>312</v>
      </c>
      <c r="B313" s="3481" t="s">
        <v>8577</v>
      </c>
      <c r="C313" s="3481" t="s">
        <v>3395</v>
      </c>
      <c r="D313" s="3482">
        <v>83.54</v>
      </c>
      <c r="E313" s="3519">
        <f t="shared" si="4"/>
        <v>32876.346660282499</v>
      </c>
      <c r="F313" s="3481">
        <v>2746490</v>
      </c>
      <c r="G313" s="3482" t="s">
        <v>4343</v>
      </c>
    </row>
    <row r="314" spans="1:7">
      <c r="A314" s="3536">
        <v>313</v>
      </c>
      <c r="B314" s="3481" t="s">
        <v>8247</v>
      </c>
      <c r="C314" s="3481" t="s">
        <v>3395</v>
      </c>
      <c r="D314" s="3482">
        <v>74.22</v>
      </c>
      <c r="E314" s="3519">
        <f t="shared" si="4"/>
        <v>34863.54082457559</v>
      </c>
      <c r="F314" s="3481">
        <v>2587572</v>
      </c>
      <c r="G314" s="3482" t="s">
        <v>4210</v>
      </c>
    </row>
    <row r="315" spans="1:7">
      <c r="A315" s="3536">
        <v>314</v>
      </c>
      <c r="B315" s="3481" t="s">
        <v>8235</v>
      </c>
      <c r="C315" s="3481" t="s">
        <v>3395</v>
      </c>
      <c r="D315" s="3482">
        <v>73.760000000000005</v>
      </c>
      <c r="E315" s="3519">
        <f t="shared" si="4"/>
        <v>34873.928958785247</v>
      </c>
      <c r="F315" s="3481">
        <v>2572301</v>
      </c>
      <c r="G315" s="3482" t="s">
        <v>8236</v>
      </c>
    </row>
    <row r="316" spans="1:7">
      <c r="A316" s="3536">
        <v>315</v>
      </c>
      <c r="B316" s="3481" t="s">
        <v>8011</v>
      </c>
      <c r="C316" s="3481" t="s">
        <v>5318</v>
      </c>
      <c r="D316" s="3482">
        <v>192.82</v>
      </c>
      <c r="E316" s="3519">
        <f t="shared" si="4"/>
        <v>25945.648791619129</v>
      </c>
      <c r="F316" s="3481">
        <v>5002840</v>
      </c>
      <c r="G316" s="3482" t="s">
        <v>4061</v>
      </c>
    </row>
    <row r="317" spans="1:7">
      <c r="A317" s="3536">
        <v>316</v>
      </c>
      <c r="B317" s="3481" t="s">
        <v>4060</v>
      </c>
      <c r="C317" s="3481" t="s">
        <v>3338</v>
      </c>
      <c r="D317" s="3482">
        <v>12.54</v>
      </c>
      <c r="E317" s="3519">
        <f t="shared" si="4"/>
        <v>3000</v>
      </c>
      <c r="F317" s="3481">
        <v>37620</v>
      </c>
      <c r="G317" s="3482" t="s">
        <v>4061</v>
      </c>
    </row>
    <row r="318" spans="1:7">
      <c r="A318" s="3536">
        <v>317</v>
      </c>
      <c r="B318" s="3481" t="s">
        <v>7933</v>
      </c>
      <c r="C318" s="3481" t="s">
        <v>5305</v>
      </c>
      <c r="D318" s="3482">
        <v>73.05</v>
      </c>
      <c r="E318" s="3519">
        <f t="shared" si="4"/>
        <v>37223.600273785079</v>
      </c>
      <c r="F318" s="3481">
        <v>2719184</v>
      </c>
      <c r="G318" s="3482" t="s">
        <v>4008</v>
      </c>
    </row>
    <row r="319" spans="1:7">
      <c r="A319" s="3536">
        <v>318</v>
      </c>
      <c r="B319" s="3481" t="s">
        <v>4007</v>
      </c>
      <c r="C319" s="3481" t="s">
        <v>3338</v>
      </c>
      <c r="D319" s="3482">
        <v>97.14</v>
      </c>
      <c r="E319" s="3519">
        <f t="shared" si="4"/>
        <v>13145.686637842289</v>
      </c>
      <c r="F319" s="3481">
        <v>1276972</v>
      </c>
      <c r="G319" s="3482" t="s">
        <v>4008</v>
      </c>
    </row>
    <row r="320" spans="1:7">
      <c r="A320" s="3536">
        <v>319</v>
      </c>
      <c r="B320" s="3481" t="s">
        <v>8086</v>
      </c>
      <c r="C320" s="3481" t="s">
        <v>5305</v>
      </c>
      <c r="D320" s="3482">
        <v>73.05</v>
      </c>
      <c r="E320" s="3519">
        <f t="shared" si="4"/>
        <v>37223.600273785079</v>
      </c>
      <c r="F320" s="3481">
        <v>2719184</v>
      </c>
      <c r="G320" s="3482" t="s">
        <v>4123</v>
      </c>
    </row>
    <row r="321" spans="1:7">
      <c r="A321" s="3536">
        <v>320</v>
      </c>
      <c r="B321" s="3481" t="s">
        <v>4127</v>
      </c>
      <c r="C321" s="3481" t="s">
        <v>3338</v>
      </c>
      <c r="D321" s="3482">
        <v>97.14</v>
      </c>
      <c r="E321" s="3519">
        <f t="shared" si="4"/>
        <v>13308.410541486513</v>
      </c>
      <c r="F321" s="3481">
        <v>1292779</v>
      </c>
      <c r="G321" s="3482" t="s">
        <v>4123</v>
      </c>
    </row>
    <row r="322" spans="1:7">
      <c r="A322" s="3536">
        <v>321</v>
      </c>
      <c r="B322" s="3481" t="s">
        <v>8007</v>
      </c>
      <c r="C322" s="3481" t="s">
        <v>5318</v>
      </c>
      <c r="D322" s="3482">
        <v>192.82</v>
      </c>
      <c r="E322" s="3519">
        <f t="shared" si="4"/>
        <v>25945.648791619129</v>
      </c>
      <c r="F322" s="3481">
        <v>5002840</v>
      </c>
      <c r="G322" s="3482" t="s">
        <v>4055</v>
      </c>
    </row>
    <row r="323" spans="1:7">
      <c r="A323" s="3536">
        <v>322</v>
      </c>
      <c r="B323" s="3481" t="s">
        <v>4054</v>
      </c>
      <c r="C323" s="3481" t="s">
        <v>3338</v>
      </c>
      <c r="D323" s="3482">
        <v>12.54</v>
      </c>
      <c r="E323" s="3519">
        <f t="shared" ref="E323:E386" si="5">F323/D323</f>
        <v>3000</v>
      </c>
      <c r="F323" s="3481">
        <v>37620</v>
      </c>
      <c r="G323" s="3482" t="s">
        <v>4055</v>
      </c>
    </row>
    <row r="324" spans="1:7">
      <c r="A324" s="3536">
        <v>323</v>
      </c>
      <c r="B324" s="3481" t="s">
        <v>4062</v>
      </c>
      <c r="C324" s="3481" t="s">
        <v>3338</v>
      </c>
      <c r="D324" s="3482">
        <v>53.15</v>
      </c>
      <c r="E324" s="3519">
        <f t="shared" si="5"/>
        <v>3001.6933207902166</v>
      </c>
      <c r="F324" s="3481">
        <v>159540</v>
      </c>
      <c r="G324" s="3482" t="s">
        <v>4061</v>
      </c>
    </row>
    <row r="325" spans="1:7">
      <c r="A325" s="3536">
        <v>324</v>
      </c>
      <c r="B325" s="3481" t="s">
        <v>4009</v>
      </c>
      <c r="C325" s="3481" t="s">
        <v>3338</v>
      </c>
      <c r="D325" s="3482">
        <v>186.99</v>
      </c>
      <c r="E325" s="3519">
        <f t="shared" si="5"/>
        <v>13390.250815551633</v>
      </c>
      <c r="F325" s="3481">
        <v>2503843</v>
      </c>
      <c r="G325" s="3482" t="s">
        <v>4008</v>
      </c>
    </row>
    <row r="326" spans="1:7">
      <c r="A326" s="3536">
        <v>325</v>
      </c>
      <c r="B326" s="3481" t="s">
        <v>4128</v>
      </c>
      <c r="C326" s="3481" t="s">
        <v>3338</v>
      </c>
      <c r="D326" s="3482">
        <v>186.99</v>
      </c>
      <c r="E326" s="3519">
        <f t="shared" si="5"/>
        <v>13305.722231135354</v>
      </c>
      <c r="F326" s="3481">
        <v>2488037</v>
      </c>
      <c r="G326" s="3482" t="s">
        <v>4123</v>
      </c>
    </row>
    <row r="327" spans="1:7">
      <c r="A327" s="3536">
        <v>326</v>
      </c>
      <c r="B327" s="3481" t="s">
        <v>4056</v>
      </c>
      <c r="C327" s="3481" t="s">
        <v>3338</v>
      </c>
      <c r="D327" s="3482">
        <v>53.15</v>
      </c>
      <c r="E327" s="3519">
        <f t="shared" si="5"/>
        <v>3001.6933207902166</v>
      </c>
      <c r="F327" s="3481">
        <v>159540</v>
      </c>
      <c r="G327" s="3482" t="s">
        <v>4055</v>
      </c>
    </row>
    <row r="328" spans="1:7">
      <c r="A328" s="3536">
        <v>327</v>
      </c>
      <c r="B328" s="3481" t="s">
        <v>7985</v>
      </c>
      <c r="C328" s="3481" t="s">
        <v>3395</v>
      </c>
      <c r="D328" s="3482">
        <v>83.54</v>
      </c>
      <c r="E328" s="3519">
        <f t="shared" si="5"/>
        <v>33611.443619822836</v>
      </c>
      <c r="F328" s="3481">
        <v>2807900</v>
      </c>
      <c r="G328" s="3482" t="s">
        <v>7986</v>
      </c>
    </row>
    <row r="329" spans="1:7">
      <c r="A329" s="3536">
        <v>328</v>
      </c>
      <c r="B329" s="3481" t="s">
        <v>7724</v>
      </c>
      <c r="C329" s="3481" t="s">
        <v>3395</v>
      </c>
      <c r="D329" s="3482">
        <v>83.54</v>
      </c>
      <c r="E329" s="3519">
        <f t="shared" si="5"/>
        <v>33397.175005985155</v>
      </c>
      <c r="F329" s="3481">
        <v>2790000</v>
      </c>
      <c r="G329" s="3482" t="s">
        <v>3835</v>
      </c>
    </row>
    <row r="330" spans="1:7">
      <c r="A330" s="3536">
        <v>329</v>
      </c>
      <c r="B330" s="3481" t="s">
        <v>8549</v>
      </c>
      <c r="C330" s="3481" t="s">
        <v>3395</v>
      </c>
      <c r="D330" s="3482">
        <v>83.54</v>
      </c>
      <c r="E330" s="3519">
        <f t="shared" si="5"/>
        <v>33215.274120181944</v>
      </c>
      <c r="F330" s="3481">
        <v>2774804</v>
      </c>
      <c r="G330" s="3482" t="s">
        <v>8550</v>
      </c>
    </row>
    <row r="331" spans="1:7">
      <c r="A331" s="3536">
        <v>330</v>
      </c>
      <c r="B331" s="3481" t="s">
        <v>7991</v>
      </c>
      <c r="C331" s="3481" t="s">
        <v>3395</v>
      </c>
      <c r="D331" s="3482">
        <v>83.54</v>
      </c>
      <c r="E331" s="3519">
        <f t="shared" si="5"/>
        <v>33275.329183624606</v>
      </c>
      <c r="F331" s="3481">
        <v>2779821</v>
      </c>
      <c r="G331" s="3482" t="s">
        <v>4046</v>
      </c>
    </row>
    <row r="332" spans="1:7">
      <c r="A332" s="3536">
        <v>331</v>
      </c>
      <c r="B332" s="3481" t="s">
        <v>8621</v>
      </c>
      <c r="C332" s="3481" t="s">
        <v>3395</v>
      </c>
      <c r="D332" s="3482">
        <v>83.54</v>
      </c>
      <c r="E332" s="3519">
        <f t="shared" si="5"/>
        <v>32222.109169260231</v>
      </c>
      <c r="F332" s="3481">
        <v>2691835</v>
      </c>
      <c r="G332" s="3482" t="s">
        <v>8620</v>
      </c>
    </row>
    <row r="333" spans="1:7">
      <c r="A333" s="3536">
        <v>332</v>
      </c>
      <c r="B333" s="3481" t="s">
        <v>6887</v>
      </c>
      <c r="C333" s="3481" t="s">
        <v>3395</v>
      </c>
      <c r="D333" s="3482">
        <v>83.54</v>
      </c>
      <c r="E333" s="3519">
        <f t="shared" si="5"/>
        <v>27771.127603543209</v>
      </c>
      <c r="F333" s="3481">
        <v>2320000</v>
      </c>
      <c r="G333" s="3482" t="s">
        <v>3437</v>
      </c>
    </row>
    <row r="334" spans="1:7">
      <c r="A334" s="3536">
        <v>333</v>
      </c>
      <c r="B334" s="3481" t="s">
        <v>8237</v>
      </c>
      <c r="C334" s="3481" t="s">
        <v>3395</v>
      </c>
      <c r="D334" s="3482">
        <v>73.760000000000005</v>
      </c>
      <c r="E334" s="3519">
        <f t="shared" si="5"/>
        <v>34514.560737527114</v>
      </c>
      <c r="F334" s="3481">
        <v>2545794</v>
      </c>
      <c r="G334" s="3482" t="s">
        <v>8236</v>
      </c>
    </row>
    <row r="335" spans="1:7">
      <c r="A335" s="3536">
        <v>334</v>
      </c>
      <c r="B335" s="3481" t="s">
        <v>6764</v>
      </c>
      <c r="C335" s="3481" t="s">
        <v>3395</v>
      </c>
      <c r="D335" s="3482">
        <v>73.760000000000005</v>
      </c>
      <c r="E335" s="3519">
        <f t="shared" si="5"/>
        <v>35661.564533622557</v>
      </c>
      <c r="F335" s="3481">
        <v>2630397</v>
      </c>
      <c r="G335" s="3482" t="s">
        <v>8769</v>
      </c>
    </row>
    <row r="336" spans="1:7">
      <c r="A336" s="3536">
        <v>335</v>
      </c>
      <c r="B336" s="3481" t="s">
        <v>8146</v>
      </c>
      <c r="C336" s="3481" t="s">
        <v>5318</v>
      </c>
      <c r="D336" s="3482">
        <v>178.28</v>
      </c>
      <c r="E336" s="3519">
        <f t="shared" si="5"/>
        <v>28256.226161094906</v>
      </c>
      <c r="F336" s="3481">
        <v>5037520</v>
      </c>
      <c r="G336" s="3482" t="s">
        <v>4159</v>
      </c>
    </row>
    <row r="337" spans="1:7">
      <c r="A337" s="3536">
        <v>336</v>
      </c>
      <c r="B337" s="3481" t="s">
        <v>4158</v>
      </c>
      <c r="C337" s="3481" t="s">
        <v>3338</v>
      </c>
      <c r="D337" s="3482">
        <v>25.8</v>
      </c>
      <c r="E337" s="3519">
        <f t="shared" si="5"/>
        <v>3000</v>
      </c>
      <c r="F337" s="3481">
        <v>77400</v>
      </c>
      <c r="G337" s="3482" t="s">
        <v>4159</v>
      </c>
    </row>
    <row r="338" spans="1:7">
      <c r="A338" s="3536">
        <v>337</v>
      </c>
      <c r="B338" s="3481" t="s">
        <v>7823</v>
      </c>
      <c r="C338" s="3481" t="s">
        <v>5305</v>
      </c>
      <c r="D338" s="3482">
        <v>73.05</v>
      </c>
      <c r="E338" s="3519">
        <f t="shared" si="5"/>
        <v>37223.613963039017</v>
      </c>
      <c r="F338" s="3481">
        <v>2719185</v>
      </c>
      <c r="G338" s="3482" t="s">
        <v>3937</v>
      </c>
    </row>
    <row r="339" spans="1:7">
      <c r="A339" s="3536">
        <v>338</v>
      </c>
      <c r="B339" s="3481" t="s">
        <v>3936</v>
      </c>
      <c r="C339" s="3481" t="s">
        <v>3338</v>
      </c>
      <c r="D339" s="3482">
        <v>97.24</v>
      </c>
      <c r="E339" s="3519">
        <f t="shared" si="5"/>
        <v>13886.147675853559</v>
      </c>
      <c r="F339" s="3481">
        <v>1350289</v>
      </c>
      <c r="G339" s="3482" t="s">
        <v>3937</v>
      </c>
    </row>
    <row r="340" spans="1:7">
      <c r="A340" s="3536">
        <v>339</v>
      </c>
      <c r="B340" s="3481" t="s">
        <v>8578</v>
      </c>
      <c r="C340" s="3481" t="s">
        <v>5305</v>
      </c>
      <c r="D340" s="3482">
        <v>73.430000000000007</v>
      </c>
      <c r="E340" s="3519">
        <f t="shared" si="5"/>
        <v>37224.703799536968</v>
      </c>
      <c r="F340" s="3481">
        <v>2733410</v>
      </c>
      <c r="G340" s="3482" t="s">
        <v>4343</v>
      </c>
    </row>
    <row r="341" spans="1:7">
      <c r="A341" s="3536">
        <v>340</v>
      </c>
      <c r="B341" s="3481" t="s">
        <v>4342</v>
      </c>
      <c r="C341" s="3481" t="s">
        <v>3338</v>
      </c>
      <c r="D341" s="3482">
        <v>98.54</v>
      </c>
      <c r="E341" s="3519">
        <f t="shared" si="5"/>
        <v>17695.088289019688</v>
      </c>
      <c r="F341" s="3481">
        <v>1743674</v>
      </c>
      <c r="G341" s="3482" t="s">
        <v>4343</v>
      </c>
    </row>
    <row r="342" spans="1:7">
      <c r="A342" s="3536">
        <v>341</v>
      </c>
      <c r="B342" s="3481" t="s">
        <v>8078</v>
      </c>
      <c r="C342" s="3481" t="s">
        <v>5318</v>
      </c>
      <c r="D342" s="3482">
        <v>179.48</v>
      </c>
      <c r="E342" s="3519">
        <f t="shared" si="5"/>
        <v>27786.048584800537</v>
      </c>
      <c r="F342" s="3481">
        <v>4987040</v>
      </c>
      <c r="G342" s="3482" t="s">
        <v>4104</v>
      </c>
    </row>
    <row r="343" spans="1:7">
      <c r="A343" s="3536">
        <v>342</v>
      </c>
      <c r="B343" s="3481" t="s">
        <v>4108</v>
      </c>
      <c r="C343" s="3481" t="s">
        <v>3338</v>
      </c>
      <c r="D343" s="3482">
        <v>25.96</v>
      </c>
      <c r="E343" s="3519">
        <f t="shared" si="5"/>
        <v>3000</v>
      </c>
      <c r="F343" s="3481">
        <v>77880</v>
      </c>
      <c r="G343" s="3482" t="s">
        <v>4104</v>
      </c>
    </row>
    <row r="344" spans="1:7">
      <c r="A344" s="3536">
        <v>343</v>
      </c>
      <c r="B344" s="3481" t="s">
        <v>4160</v>
      </c>
      <c r="C344" s="3481" t="s">
        <v>3338</v>
      </c>
      <c r="D344" s="3482">
        <v>28.35</v>
      </c>
      <c r="E344" s="3519">
        <f t="shared" si="5"/>
        <v>3001.0582010582011</v>
      </c>
      <c r="F344" s="3481">
        <v>85080</v>
      </c>
      <c r="G344" s="3482" t="s">
        <v>4159</v>
      </c>
    </row>
    <row r="345" spans="1:7">
      <c r="A345" s="3536">
        <v>344</v>
      </c>
      <c r="B345" s="3481" t="s">
        <v>3938</v>
      </c>
      <c r="C345" s="3481" t="s">
        <v>3338</v>
      </c>
      <c r="D345" s="3482">
        <v>182.08</v>
      </c>
      <c r="E345" s="3519">
        <f t="shared" si="5"/>
        <v>14172.484622144111</v>
      </c>
      <c r="F345" s="3481">
        <v>2580526</v>
      </c>
      <c r="G345" s="3482" t="s">
        <v>3937</v>
      </c>
    </row>
    <row r="346" spans="1:7">
      <c r="A346" s="3536">
        <v>345</v>
      </c>
      <c r="B346" s="3481" t="s">
        <v>4344</v>
      </c>
      <c r="C346" s="3481" t="s">
        <v>3338</v>
      </c>
      <c r="D346" s="3482">
        <v>188.39</v>
      </c>
      <c r="E346" s="3519">
        <f t="shared" si="5"/>
        <v>15992.972026116036</v>
      </c>
      <c r="F346" s="3481">
        <v>3012916</v>
      </c>
      <c r="G346" s="3482" t="s">
        <v>4343</v>
      </c>
    </row>
    <row r="347" spans="1:7">
      <c r="A347" s="3536">
        <v>346</v>
      </c>
      <c r="B347" s="3481" t="s">
        <v>4109</v>
      </c>
      <c r="C347" s="3481" t="s">
        <v>3338</v>
      </c>
      <c r="D347" s="3482">
        <v>28.35</v>
      </c>
      <c r="E347" s="3519">
        <f t="shared" si="5"/>
        <v>3001.0582010582011</v>
      </c>
      <c r="F347" s="3481">
        <v>85080</v>
      </c>
      <c r="G347" s="3482" t="s">
        <v>4104</v>
      </c>
    </row>
    <row r="348" spans="1:7">
      <c r="A348" s="3536">
        <v>347</v>
      </c>
      <c r="B348" s="3481" t="s">
        <v>8002</v>
      </c>
      <c r="C348" s="3481" t="s">
        <v>3395</v>
      </c>
      <c r="D348" s="3482">
        <v>83.54</v>
      </c>
      <c r="E348" s="3519">
        <f t="shared" si="5"/>
        <v>33292.482643045245</v>
      </c>
      <c r="F348" s="3481">
        <v>2781254</v>
      </c>
      <c r="G348" s="3482" t="s">
        <v>8003</v>
      </c>
    </row>
    <row r="349" spans="1:7">
      <c r="A349" s="3536">
        <v>348</v>
      </c>
      <c r="B349" s="3481" t="s">
        <v>7995</v>
      </c>
      <c r="C349" s="3481" t="s">
        <v>3395</v>
      </c>
      <c r="D349" s="3482">
        <v>83.92</v>
      </c>
      <c r="E349" s="3519">
        <f t="shared" si="5"/>
        <v>33292.576263107723</v>
      </c>
      <c r="F349" s="3481">
        <v>2793913</v>
      </c>
      <c r="G349" s="3482" t="s">
        <v>7994</v>
      </c>
    </row>
    <row r="350" spans="1:7">
      <c r="A350" s="3536">
        <v>349</v>
      </c>
      <c r="B350" s="3481" t="s">
        <v>7996</v>
      </c>
      <c r="C350" s="3481" t="s">
        <v>3395</v>
      </c>
      <c r="D350" s="3482">
        <v>83.54</v>
      </c>
      <c r="E350" s="3519">
        <f t="shared" si="5"/>
        <v>33292.482643045245</v>
      </c>
      <c r="F350" s="3481">
        <v>2781254</v>
      </c>
      <c r="G350" s="3482" t="s">
        <v>7997</v>
      </c>
    </row>
    <row r="351" spans="1:7">
      <c r="A351" s="3536">
        <v>350</v>
      </c>
      <c r="B351" s="3481" t="s">
        <v>8659</v>
      </c>
      <c r="C351" s="3481" t="s">
        <v>3395</v>
      </c>
      <c r="D351" s="3482">
        <v>83.92</v>
      </c>
      <c r="E351" s="3519">
        <f t="shared" si="5"/>
        <v>31538.06005719733</v>
      </c>
      <c r="F351" s="3481">
        <v>2646674</v>
      </c>
      <c r="G351" s="3482" t="s">
        <v>8658</v>
      </c>
    </row>
    <row r="352" spans="1:7">
      <c r="A352" s="3536">
        <v>351</v>
      </c>
      <c r="B352" s="3481" t="s">
        <v>8626</v>
      </c>
      <c r="C352" s="3481" t="s">
        <v>3395</v>
      </c>
      <c r="D352" s="3482">
        <v>83.54</v>
      </c>
      <c r="E352" s="3519">
        <f t="shared" si="5"/>
        <v>32544.254249461334</v>
      </c>
      <c r="F352" s="3481">
        <v>2718747</v>
      </c>
      <c r="G352" s="3482" t="s">
        <v>4354</v>
      </c>
    </row>
    <row r="353" spans="1:7">
      <c r="A353" s="3536">
        <v>352</v>
      </c>
      <c r="B353" s="3481" t="s">
        <v>8646</v>
      </c>
      <c r="C353" s="3481" t="s">
        <v>3395</v>
      </c>
      <c r="D353" s="3482">
        <v>83.92</v>
      </c>
      <c r="E353" s="3519">
        <f t="shared" si="5"/>
        <v>31538.06005719733</v>
      </c>
      <c r="F353" s="3481">
        <v>2646674</v>
      </c>
      <c r="G353" s="3482" t="s">
        <v>8645</v>
      </c>
    </row>
    <row r="354" spans="1:7">
      <c r="A354" s="3536">
        <v>353</v>
      </c>
      <c r="B354" s="3481" t="s">
        <v>8238</v>
      </c>
      <c r="C354" s="3481" t="s">
        <v>3395</v>
      </c>
      <c r="D354" s="3482">
        <v>73.760000000000005</v>
      </c>
      <c r="E354" s="3519">
        <f t="shared" si="5"/>
        <v>35582.022776572667</v>
      </c>
      <c r="F354" s="3481">
        <v>2624530</v>
      </c>
      <c r="G354" s="3482" t="s">
        <v>8236</v>
      </c>
    </row>
    <row r="355" spans="1:7">
      <c r="A355" s="3536">
        <v>354</v>
      </c>
      <c r="B355" s="3481" t="s">
        <v>8612</v>
      </c>
      <c r="C355" s="3481" t="s">
        <v>3395</v>
      </c>
      <c r="D355" s="3482">
        <v>74.22</v>
      </c>
      <c r="E355" s="3519">
        <f t="shared" si="5"/>
        <v>34481.783885745084</v>
      </c>
      <c r="F355" s="3481">
        <v>2559238</v>
      </c>
      <c r="G355" s="3482" t="s">
        <v>4349</v>
      </c>
    </row>
    <row r="356" spans="1:7">
      <c r="A356" s="3536">
        <v>355</v>
      </c>
      <c r="B356" s="3481" t="s">
        <v>8010</v>
      </c>
      <c r="C356" s="3481" t="s">
        <v>5318</v>
      </c>
      <c r="D356" s="3482">
        <v>193.76</v>
      </c>
      <c r="E356" s="3519">
        <f t="shared" si="5"/>
        <v>26167.619735755576</v>
      </c>
      <c r="F356" s="3481">
        <v>5070238</v>
      </c>
      <c r="G356" s="3482" t="s">
        <v>4058</v>
      </c>
    </row>
    <row r="357" spans="1:7">
      <c r="A357" s="3536">
        <v>356</v>
      </c>
      <c r="B357" s="3481" t="s">
        <v>4057</v>
      </c>
      <c r="C357" s="3481" t="s">
        <v>3338</v>
      </c>
      <c r="D357" s="3482">
        <v>12.54</v>
      </c>
      <c r="E357" s="3519">
        <f t="shared" si="5"/>
        <v>3000</v>
      </c>
      <c r="F357" s="3481">
        <v>37620</v>
      </c>
      <c r="G357" s="3482" t="s">
        <v>4058</v>
      </c>
    </row>
    <row r="358" spans="1:7">
      <c r="A358" s="3536">
        <v>357</v>
      </c>
      <c r="B358" s="3481" t="s">
        <v>8613</v>
      </c>
      <c r="C358" s="3481" t="s">
        <v>5305</v>
      </c>
      <c r="D358" s="3482">
        <v>73.430000000000007</v>
      </c>
      <c r="E358" s="3519">
        <f t="shared" si="5"/>
        <v>37224.703799536968</v>
      </c>
      <c r="F358" s="3481">
        <v>2733410</v>
      </c>
      <c r="G358" s="3482" t="s">
        <v>4349</v>
      </c>
    </row>
    <row r="359" spans="1:7">
      <c r="A359" s="3536">
        <v>358</v>
      </c>
      <c r="B359" s="3481" t="s">
        <v>4348</v>
      </c>
      <c r="C359" s="3481" t="s">
        <v>3338</v>
      </c>
      <c r="D359" s="3482">
        <v>98.52</v>
      </c>
      <c r="E359" s="3519">
        <f t="shared" si="5"/>
        <v>13638.702801461633</v>
      </c>
      <c r="F359" s="3481">
        <v>1343685</v>
      </c>
      <c r="G359" s="3482" t="s">
        <v>4349</v>
      </c>
    </row>
    <row r="360" spans="1:7">
      <c r="A360" s="3536">
        <v>359</v>
      </c>
      <c r="B360" s="3481" t="s">
        <v>8139</v>
      </c>
      <c r="C360" s="3481" t="s">
        <v>5305</v>
      </c>
      <c r="D360" s="3482">
        <v>73.05</v>
      </c>
      <c r="E360" s="3519">
        <f t="shared" si="5"/>
        <v>37223.600273785079</v>
      </c>
      <c r="F360" s="3481">
        <v>2719184</v>
      </c>
      <c r="G360" s="3482" t="s">
        <v>4159</v>
      </c>
    </row>
    <row r="361" spans="1:7">
      <c r="A361" s="3536">
        <v>360</v>
      </c>
      <c r="B361" s="3481" t="s">
        <v>4161</v>
      </c>
      <c r="C361" s="3481" t="s">
        <v>3338</v>
      </c>
      <c r="D361" s="3482">
        <v>97.12</v>
      </c>
      <c r="E361" s="3519">
        <f t="shared" si="5"/>
        <v>13979.664332784183</v>
      </c>
      <c r="F361" s="3481">
        <v>1357705</v>
      </c>
      <c r="G361" s="3482" t="s">
        <v>4159</v>
      </c>
    </row>
    <row r="362" spans="1:7">
      <c r="A362" s="3536">
        <v>361</v>
      </c>
      <c r="B362" s="3481" t="s">
        <v>7899</v>
      </c>
      <c r="C362" s="3481" t="s">
        <v>5318</v>
      </c>
      <c r="D362" s="3482">
        <v>192.82</v>
      </c>
      <c r="E362" s="3519">
        <f t="shared" si="5"/>
        <v>25945.804377139302</v>
      </c>
      <c r="F362" s="3481">
        <v>5002870</v>
      </c>
      <c r="G362" s="3482" t="s">
        <v>3983</v>
      </c>
    </row>
    <row r="363" spans="1:7">
      <c r="A363" s="3536">
        <v>362</v>
      </c>
      <c r="B363" s="3481" t="s">
        <v>3982</v>
      </c>
      <c r="C363" s="3481" t="s">
        <v>3338</v>
      </c>
      <c r="D363" s="3482">
        <v>12.54</v>
      </c>
      <c r="E363" s="3519">
        <f t="shared" si="5"/>
        <v>3000</v>
      </c>
      <c r="F363" s="3481">
        <v>37620</v>
      </c>
      <c r="G363" s="3482" t="s">
        <v>3983</v>
      </c>
    </row>
    <row r="364" spans="1:7">
      <c r="A364" s="3536">
        <v>363</v>
      </c>
      <c r="B364" s="3481" t="s">
        <v>4059</v>
      </c>
      <c r="C364" s="3481" t="s">
        <v>3338</v>
      </c>
      <c r="D364" s="3482">
        <v>53.68</v>
      </c>
      <c r="E364" s="3519">
        <f t="shared" si="5"/>
        <v>3001.6766020864384</v>
      </c>
      <c r="F364" s="3481">
        <v>161130</v>
      </c>
      <c r="G364" s="3482" t="s">
        <v>4058</v>
      </c>
    </row>
    <row r="365" spans="1:7">
      <c r="A365" s="3536">
        <v>364</v>
      </c>
      <c r="B365" s="3481" t="s">
        <v>4350</v>
      </c>
      <c r="C365" s="3481" t="s">
        <v>3338</v>
      </c>
      <c r="D365" s="3482">
        <v>188.35</v>
      </c>
      <c r="E365" s="3519">
        <f t="shared" si="5"/>
        <v>17695.280063711176</v>
      </c>
      <c r="F365" s="3481">
        <v>3332906</v>
      </c>
      <c r="G365" s="3482" t="s">
        <v>4349</v>
      </c>
    </row>
    <row r="366" spans="1:7">
      <c r="A366" s="3536">
        <v>365</v>
      </c>
      <c r="B366" s="3481" t="s">
        <v>4162</v>
      </c>
      <c r="C366" s="3481" t="s">
        <v>3338</v>
      </c>
      <c r="D366" s="3482">
        <v>186.96</v>
      </c>
      <c r="E366" s="3519">
        <f t="shared" si="5"/>
        <v>13976.845314505776</v>
      </c>
      <c r="F366" s="3481">
        <v>2613111</v>
      </c>
      <c r="G366" s="3482" t="s">
        <v>4159</v>
      </c>
    </row>
    <row r="367" spans="1:7">
      <c r="A367" s="3536">
        <v>366</v>
      </c>
      <c r="B367" s="3481" t="s">
        <v>3984</v>
      </c>
      <c r="C367" s="3481" t="s">
        <v>3338</v>
      </c>
      <c r="D367" s="3482">
        <v>53.14</v>
      </c>
      <c r="E367" s="3519">
        <f t="shared" si="5"/>
        <v>3001.6936394429808</v>
      </c>
      <c r="F367" s="3481">
        <v>159510</v>
      </c>
      <c r="G367" s="3482" t="s">
        <v>3983</v>
      </c>
    </row>
    <row r="368" spans="1:7">
      <c r="A368" s="3536">
        <v>367</v>
      </c>
      <c r="B368" s="3481" t="s">
        <v>8248</v>
      </c>
      <c r="C368" s="3481" t="s">
        <v>3395</v>
      </c>
      <c r="D368" s="3482">
        <v>83.92</v>
      </c>
      <c r="E368" s="3519">
        <f t="shared" si="5"/>
        <v>33292.576263107723</v>
      </c>
      <c r="F368" s="3481">
        <v>2793913</v>
      </c>
      <c r="G368" s="3482" t="s">
        <v>4210</v>
      </c>
    </row>
    <row r="369" spans="1:7">
      <c r="A369" s="3536">
        <v>368</v>
      </c>
      <c r="B369" s="3481" t="s">
        <v>8249</v>
      </c>
      <c r="C369" s="3481" t="s">
        <v>3395</v>
      </c>
      <c r="D369" s="3482">
        <v>83.54</v>
      </c>
      <c r="E369" s="3519">
        <f t="shared" si="5"/>
        <v>33292.482643045245</v>
      </c>
      <c r="F369" s="3481">
        <v>2781254</v>
      </c>
      <c r="G369" s="3482" t="s">
        <v>4210</v>
      </c>
    </row>
    <row r="370" spans="1:7">
      <c r="A370" s="3536">
        <v>369</v>
      </c>
      <c r="B370" s="3481" t="s">
        <v>8633</v>
      </c>
      <c r="C370" s="3481" t="s">
        <v>3395</v>
      </c>
      <c r="D370" s="3482">
        <v>83.92</v>
      </c>
      <c r="E370" s="3519">
        <f t="shared" si="5"/>
        <v>32513.465204957101</v>
      </c>
      <c r="F370" s="3481">
        <v>2728530</v>
      </c>
      <c r="G370" s="3482" t="s">
        <v>4360</v>
      </c>
    </row>
    <row r="371" spans="1:7">
      <c r="A371" s="3536">
        <v>370</v>
      </c>
      <c r="B371" s="3481" t="s">
        <v>8570</v>
      </c>
      <c r="C371" s="3481" t="s">
        <v>3395</v>
      </c>
      <c r="D371" s="3482">
        <v>83.54</v>
      </c>
      <c r="E371" s="3519">
        <f t="shared" si="5"/>
        <v>32544.254249461334</v>
      </c>
      <c r="F371" s="3481">
        <v>2718747</v>
      </c>
      <c r="G371" s="3482" t="s">
        <v>8571</v>
      </c>
    </row>
    <row r="372" spans="1:7">
      <c r="A372" s="3536">
        <v>371</v>
      </c>
      <c r="B372" s="3481" t="s">
        <v>8562</v>
      </c>
      <c r="C372" s="3481" t="s">
        <v>3395</v>
      </c>
      <c r="D372" s="3482">
        <v>83.92</v>
      </c>
      <c r="E372" s="3519">
        <f t="shared" si="5"/>
        <v>32841.885128693997</v>
      </c>
      <c r="F372" s="3481">
        <v>2756091</v>
      </c>
      <c r="G372" s="3482" t="s">
        <v>8563</v>
      </c>
    </row>
    <row r="373" spans="1:7">
      <c r="A373" s="3536">
        <v>372</v>
      </c>
      <c r="B373" s="3481" t="s">
        <v>8622</v>
      </c>
      <c r="C373" s="3481" t="s">
        <v>3395</v>
      </c>
      <c r="D373" s="3482">
        <v>83.54</v>
      </c>
      <c r="E373" s="3519">
        <f t="shared" si="5"/>
        <v>32547.58199664831</v>
      </c>
      <c r="F373" s="3481">
        <v>2719025</v>
      </c>
      <c r="G373" s="3482" t="s">
        <v>8620</v>
      </c>
    </row>
    <row r="374" spans="1:7">
      <c r="A374" s="3536">
        <v>373</v>
      </c>
      <c r="B374" s="3481" t="s">
        <v>8647</v>
      </c>
      <c r="C374" s="3481" t="s">
        <v>3395</v>
      </c>
      <c r="D374" s="3482">
        <v>74.22</v>
      </c>
      <c r="E374" s="3519">
        <f t="shared" si="5"/>
        <v>34996.254378873622</v>
      </c>
      <c r="F374" s="3481">
        <v>2597422</v>
      </c>
      <c r="G374" s="3482" t="s">
        <v>8645</v>
      </c>
    </row>
    <row r="375" spans="1:7">
      <c r="A375" s="3536">
        <v>374</v>
      </c>
      <c r="B375" s="3481" t="s">
        <v>8223</v>
      </c>
      <c r="C375" s="3481" t="s">
        <v>3395</v>
      </c>
      <c r="D375" s="3482">
        <v>73.760000000000005</v>
      </c>
      <c r="E375" s="3519">
        <f t="shared" si="5"/>
        <v>34863.191431670282</v>
      </c>
      <c r="F375" s="3481">
        <v>2571509</v>
      </c>
      <c r="G375" s="3482" t="s">
        <v>4191</v>
      </c>
    </row>
    <row r="376" spans="1:7">
      <c r="A376" s="3536">
        <v>375</v>
      </c>
      <c r="B376" s="3481" t="s">
        <v>7961</v>
      </c>
      <c r="C376" s="3481" t="s">
        <v>5318</v>
      </c>
      <c r="D376" s="3482">
        <v>192.82</v>
      </c>
      <c r="E376" s="3519">
        <f t="shared" si="5"/>
        <v>25945.804377139302</v>
      </c>
      <c r="F376" s="3481">
        <v>5002870</v>
      </c>
      <c r="G376" s="3482" t="s">
        <v>4025</v>
      </c>
    </row>
    <row r="377" spans="1:7">
      <c r="A377" s="3536">
        <v>376</v>
      </c>
      <c r="B377" s="3481" t="s">
        <v>4024</v>
      </c>
      <c r="C377" s="3481" t="s">
        <v>3338</v>
      </c>
      <c r="D377" s="3482">
        <v>12.54</v>
      </c>
      <c r="E377" s="3519">
        <f t="shared" si="5"/>
        <v>3000</v>
      </c>
      <c r="F377" s="3481">
        <v>37620</v>
      </c>
      <c r="G377" s="3482" t="s">
        <v>4025</v>
      </c>
    </row>
    <row r="378" spans="1:7">
      <c r="A378" s="3536">
        <v>377</v>
      </c>
      <c r="B378" s="3481" t="s">
        <v>7846</v>
      </c>
      <c r="C378" s="3481" t="s">
        <v>5305</v>
      </c>
      <c r="D378" s="3482">
        <v>73.05</v>
      </c>
      <c r="E378" s="3519">
        <f t="shared" si="5"/>
        <v>37223.600273785079</v>
      </c>
      <c r="F378" s="3481">
        <v>2719184</v>
      </c>
      <c r="G378" s="3482" t="s">
        <v>3957</v>
      </c>
    </row>
    <row r="379" spans="1:7">
      <c r="A379" s="3536">
        <v>378</v>
      </c>
      <c r="B379" s="3481" t="s">
        <v>3956</v>
      </c>
      <c r="C379" s="3481" t="s">
        <v>3338</v>
      </c>
      <c r="D379" s="3482">
        <v>97.12</v>
      </c>
      <c r="E379" s="3519">
        <f t="shared" si="5"/>
        <v>13662.808896210872</v>
      </c>
      <c r="F379" s="3481">
        <v>1326932</v>
      </c>
      <c r="G379" s="3482" t="s">
        <v>3957</v>
      </c>
    </row>
    <row r="380" spans="1:7">
      <c r="A380" s="3536">
        <v>379</v>
      </c>
      <c r="B380" s="3481" t="s">
        <v>7958</v>
      </c>
      <c r="C380" s="3481" t="s">
        <v>5318</v>
      </c>
      <c r="D380" s="3482">
        <v>192.82</v>
      </c>
      <c r="E380" s="3519">
        <f t="shared" si="5"/>
        <v>25945.804377139302</v>
      </c>
      <c r="F380" s="3481">
        <v>5002870</v>
      </c>
      <c r="G380" s="3482" t="s">
        <v>4022</v>
      </c>
    </row>
    <row r="381" spans="1:7">
      <c r="A381" s="3536">
        <v>380</v>
      </c>
      <c r="B381" s="3481" t="s">
        <v>4021</v>
      </c>
      <c r="C381" s="3481" t="s">
        <v>3338</v>
      </c>
      <c r="D381" s="3482">
        <v>12.54</v>
      </c>
      <c r="E381" s="3519">
        <f t="shared" si="5"/>
        <v>3000</v>
      </c>
      <c r="F381" s="3481">
        <v>37620</v>
      </c>
      <c r="G381" s="3482" t="s">
        <v>4022</v>
      </c>
    </row>
    <row r="382" spans="1:7">
      <c r="A382" s="3536">
        <v>381</v>
      </c>
      <c r="B382" s="3481" t="s">
        <v>4026</v>
      </c>
      <c r="C382" s="3481" t="s">
        <v>3338</v>
      </c>
      <c r="D382" s="3482">
        <v>53.14</v>
      </c>
      <c r="E382" s="3519">
        <f t="shared" si="5"/>
        <v>3001.6936394429808</v>
      </c>
      <c r="F382" s="3481">
        <v>159510</v>
      </c>
      <c r="G382" s="3482" t="s">
        <v>4025</v>
      </c>
    </row>
    <row r="383" spans="1:7">
      <c r="A383" s="3536">
        <v>382</v>
      </c>
      <c r="B383" s="3481" t="s">
        <v>3958</v>
      </c>
      <c r="C383" s="3481" t="s">
        <v>3338</v>
      </c>
      <c r="D383" s="3482">
        <v>186.96</v>
      </c>
      <c r="E383" s="3519">
        <f t="shared" si="5"/>
        <v>13660.05027813436</v>
      </c>
      <c r="F383" s="3481">
        <v>2553883</v>
      </c>
      <c r="G383" s="3482" t="s">
        <v>3957</v>
      </c>
    </row>
    <row r="384" spans="1:7">
      <c r="A384" s="3536">
        <v>383</v>
      </c>
      <c r="B384" s="3481" t="s">
        <v>4023</v>
      </c>
      <c r="C384" s="3481" t="s">
        <v>3338</v>
      </c>
      <c r="D384" s="3482">
        <v>53.14</v>
      </c>
      <c r="E384" s="3519">
        <f t="shared" si="5"/>
        <v>3001.6936394429808</v>
      </c>
      <c r="F384" s="3481">
        <v>159510</v>
      </c>
      <c r="G384" s="3482" t="s">
        <v>4022</v>
      </c>
    </row>
    <row r="385" spans="1:7">
      <c r="A385" s="3536">
        <v>384</v>
      </c>
      <c r="B385" s="3481" t="s">
        <v>8660</v>
      </c>
      <c r="C385" s="3481" t="s">
        <v>3395</v>
      </c>
      <c r="D385" s="3482">
        <v>83.54</v>
      </c>
      <c r="E385" s="3519">
        <f t="shared" si="5"/>
        <v>32222.109169260231</v>
      </c>
      <c r="F385" s="3481">
        <v>2691835</v>
      </c>
      <c r="G385" s="3482" t="s">
        <v>8658</v>
      </c>
    </row>
    <row r="386" spans="1:7">
      <c r="A386" s="3536">
        <v>385</v>
      </c>
      <c r="B386" s="3481" t="s">
        <v>8597</v>
      </c>
      <c r="C386" s="3481" t="s">
        <v>3395</v>
      </c>
      <c r="D386" s="3482">
        <v>83.54</v>
      </c>
      <c r="E386" s="3519">
        <f t="shared" si="5"/>
        <v>32218.817333014122</v>
      </c>
      <c r="F386" s="3481">
        <v>2691560</v>
      </c>
      <c r="G386" s="3482" t="s">
        <v>8598</v>
      </c>
    </row>
    <row r="387" spans="1:7">
      <c r="A387" s="3536">
        <v>386</v>
      </c>
      <c r="B387" s="3481" t="s">
        <v>8580</v>
      </c>
      <c r="C387" s="3481" t="s">
        <v>3395</v>
      </c>
      <c r="D387" s="3482">
        <v>83.54</v>
      </c>
      <c r="E387" s="3519">
        <f t="shared" ref="E387:E450" si="6">F387/D387</f>
        <v>32544.254249461334</v>
      </c>
      <c r="F387" s="3481">
        <v>2718747</v>
      </c>
      <c r="G387" s="3482" t="s">
        <v>8581</v>
      </c>
    </row>
    <row r="388" spans="1:7">
      <c r="A388" s="3536">
        <v>387</v>
      </c>
      <c r="B388" s="3481" t="s">
        <v>8560</v>
      </c>
      <c r="C388" s="3481" t="s">
        <v>3395</v>
      </c>
      <c r="D388" s="3482">
        <v>83.54</v>
      </c>
      <c r="E388" s="3519">
        <f t="shared" si="6"/>
        <v>33554.201580081397</v>
      </c>
      <c r="F388" s="3481">
        <v>2803118</v>
      </c>
      <c r="G388" s="3482" t="s">
        <v>8561</v>
      </c>
    </row>
    <row r="389" spans="1:7">
      <c r="A389" s="3536">
        <v>388</v>
      </c>
      <c r="B389" s="3481" t="s">
        <v>8665</v>
      </c>
      <c r="C389" s="3481" t="s">
        <v>3395</v>
      </c>
      <c r="D389" s="3482">
        <v>83.54</v>
      </c>
      <c r="E389" s="3519">
        <f t="shared" si="6"/>
        <v>31245.678716782379</v>
      </c>
      <c r="F389" s="3481">
        <v>2610264</v>
      </c>
      <c r="G389" s="3482" t="s">
        <v>8666</v>
      </c>
    </row>
    <row r="390" spans="1:7">
      <c r="A390" s="3536">
        <v>389</v>
      </c>
      <c r="B390" s="3481" t="s">
        <v>8652</v>
      </c>
      <c r="C390" s="3481" t="s">
        <v>3395</v>
      </c>
      <c r="D390" s="3482">
        <v>83.54</v>
      </c>
      <c r="E390" s="3519">
        <f t="shared" si="6"/>
        <v>31571.151544170454</v>
      </c>
      <c r="F390" s="3481">
        <v>2637454</v>
      </c>
      <c r="G390" s="3482" t="s">
        <v>4363</v>
      </c>
    </row>
    <row r="391" spans="1:7">
      <c r="A391" s="3536">
        <v>390</v>
      </c>
      <c r="B391" s="3481" t="s">
        <v>8218</v>
      </c>
      <c r="C391" s="3481" t="s">
        <v>3395</v>
      </c>
      <c r="D391" s="3482">
        <v>73.760000000000005</v>
      </c>
      <c r="E391" s="3519">
        <f t="shared" si="6"/>
        <v>35941.431670281992</v>
      </c>
      <c r="F391" s="3481">
        <v>2651040</v>
      </c>
      <c r="G391" s="3482" t="s">
        <v>8219</v>
      </c>
    </row>
    <row r="392" spans="1:7">
      <c r="A392" s="3536">
        <v>391</v>
      </c>
      <c r="B392" s="3481" t="s">
        <v>8614</v>
      </c>
      <c r="C392" s="3481" t="s">
        <v>3395</v>
      </c>
      <c r="D392" s="3482">
        <v>73.760000000000005</v>
      </c>
      <c r="E392" s="3519">
        <f t="shared" si="6"/>
        <v>35672.708785249459</v>
      </c>
      <c r="F392" s="3481">
        <v>2631219</v>
      </c>
      <c r="G392" s="3482" t="s">
        <v>4349</v>
      </c>
    </row>
    <row r="393" spans="1:7">
      <c r="A393" s="3536">
        <v>392</v>
      </c>
      <c r="B393" s="3481" t="s">
        <v>8079</v>
      </c>
      <c r="C393" s="3481" t="s">
        <v>5318</v>
      </c>
      <c r="D393" s="3482">
        <v>178.28</v>
      </c>
      <c r="E393" s="3519">
        <f t="shared" si="6"/>
        <v>28365.885124523222</v>
      </c>
      <c r="F393" s="3481">
        <v>5057070</v>
      </c>
      <c r="G393" s="3482" t="s">
        <v>4104</v>
      </c>
    </row>
    <row r="394" spans="1:7">
      <c r="A394" s="3536">
        <v>393</v>
      </c>
      <c r="B394" s="3481" t="s">
        <v>4110</v>
      </c>
      <c r="C394" s="3481" t="s">
        <v>3338</v>
      </c>
      <c r="D394" s="3482">
        <v>25.8</v>
      </c>
      <c r="E394" s="3519">
        <f t="shared" si="6"/>
        <v>3018.6046511627906</v>
      </c>
      <c r="F394" s="3481">
        <v>77880</v>
      </c>
      <c r="G394" s="3482" t="s">
        <v>4104</v>
      </c>
    </row>
    <row r="395" spans="1:7">
      <c r="A395" s="3536">
        <v>394</v>
      </c>
      <c r="B395" s="3481" t="s">
        <v>7970</v>
      </c>
      <c r="C395" s="3481" t="s">
        <v>5305</v>
      </c>
      <c r="D395" s="3482">
        <v>73.05</v>
      </c>
      <c r="E395" s="3519">
        <f t="shared" si="6"/>
        <v>37223.600273785079</v>
      </c>
      <c r="F395" s="3481">
        <v>2719184</v>
      </c>
      <c r="G395" s="3482" t="s">
        <v>4031</v>
      </c>
    </row>
    <row r="396" spans="1:7">
      <c r="A396" s="3536">
        <v>395</v>
      </c>
      <c r="B396" s="3481" t="s">
        <v>4030</v>
      </c>
      <c r="C396" s="3481" t="s">
        <v>3338</v>
      </c>
      <c r="D396" s="3482">
        <v>97.22</v>
      </c>
      <c r="E396" s="3519">
        <f t="shared" si="6"/>
        <v>13888.634025920592</v>
      </c>
      <c r="F396" s="3481">
        <v>1350253</v>
      </c>
      <c r="G396" s="3482" t="s">
        <v>4031</v>
      </c>
    </row>
    <row r="397" spans="1:7">
      <c r="A397" s="3536">
        <v>396</v>
      </c>
      <c r="B397" s="3481" t="s">
        <v>8627</v>
      </c>
      <c r="C397" s="3481" t="s">
        <v>5305</v>
      </c>
      <c r="D397" s="3482">
        <v>73.430000000000007</v>
      </c>
      <c r="E397" s="3519">
        <f t="shared" si="6"/>
        <v>37224.703799536968</v>
      </c>
      <c r="F397" s="3481">
        <v>2733410</v>
      </c>
      <c r="G397" s="3482" t="s">
        <v>4354</v>
      </c>
    </row>
    <row r="398" spans="1:7">
      <c r="A398" s="3536">
        <v>397</v>
      </c>
      <c r="B398" s="3481" t="s">
        <v>4353</v>
      </c>
      <c r="C398" s="3481" t="s">
        <v>3338</v>
      </c>
      <c r="D398" s="3482">
        <v>98.52</v>
      </c>
      <c r="E398" s="3519">
        <f t="shared" si="6"/>
        <v>11481.54689403167</v>
      </c>
      <c r="F398" s="3481">
        <v>1131162</v>
      </c>
      <c r="G398" s="3482" t="s">
        <v>4354</v>
      </c>
    </row>
    <row r="399" spans="1:7">
      <c r="A399" s="3536">
        <v>398</v>
      </c>
      <c r="B399" s="3481" t="s">
        <v>7939</v>
      </c>
      <c r="C399" s="3481" t="s">
        <v>5318</v>
      </c>
      <c r="D399" s="3482">
        <v>179.48</v>
      </c>
      <c r="E399" s="3519">
        <f t="shared" si="6"/>
        <v>28621.963449966574</v>
      </c>
      <c r="F399" s="3481">
        <v>5137070</v>
      </c>
      <c r="G399" s="3482" t="s">
        <v>7940</v>
      </c>
    </row>
    <row r="400" spans="1:7">
      <c r="A400" s="3536">
        <v>399</v>
      </c>
      <c r="B400" s="3481" t="s">
        <v>4016</v>
      </c>
      <c r="C400" s="3481" t="s">
        <v>3338</v>
      </c>
      <c r="D400" s="3482">
        <v>25.96</v>
      </c>
      <c r="E400" s="3519">
        <f t="shared" si="6"/>
        <v>3000</v>
      </c>
      <c r="F400" s="3481">
        <v>77880</v>
      </c>
      <c r="G400" s="3482" t="s">
        <v>4017</v>
      </c>
    </row>
    <row r="401" spans="1:7">
      <c r="A401" s="3536">
        <v>400</v>
      </c>
      <c r="B401" s="3481" t="s">
        <v>4111</v>
      </c>
      <c r="C401" s="3481" t="s">
        <v>3338</v>
      </c>
      <c r="D401" s="3482">
        <v>28.35</v>
      </c>
      <c r="E401" s="3519">
        <f t="shared" si="6"/>
        <v>3000</v>
      </c>
      <c r="F401" s="3481">
        <v>85050</v>
      </c>
      <c r="G401" s="3482" t="s">
        <v>4104</v>
      </c>
    </row>
    <row r="402" spans="1:7">
      <c r="A402" s="3536">
        <v>401</v>
      </c>
      <c r="B402" s="3481" t="s">
        <v>4032</v>
      </c>
      <c r="C402" s="3481" t="s">
        <v>3338</v>
      </c>
      <c r="D402" s="3482">
        <v>182.05</v>
      </c>
      <c r="E402" s="3519">
        <f t="shared" si="6"/>
        <v>13900.368030760779</v>
      </c>
      <c r="F402" s="3481">
        <v>2530562</v>
      </c>
      <c r="G402" s="3482" t="s">
        <v>4031</v>
      </c>
    </row>
    <row r="403" spans="1:7">
      <c r="A403" s="3536">
        <v>402</v>
      </c>
      <c r="B403" s="3481" t="s">
        <v>4355</v>
      </c>
      <c r="C403" s="3481" t="s">
        <v>3338</v>
      </c>
      <c r="D403" s="3482">
        <v>188.35</v>
      </c>
      <c r="E403" s="3519">
        <f t="shared" si="6"/>
        <v>17974.127953278472</v>
      </c>
      <c r="F403" s="3481">
        <v>3385427</v>
      </c>
      <c r="G403" s="3482" t="s">
        <v>4354</v>
      </c>
    </row>
    <row r="404" spans="1:7">
      <c r="A404" s="3536">
        <v>403</v>
      </c>
      <c r="B404" s="3481" t="s">
        <v>4018</v>
      </c>
      <c r="C404" s="3481" t="s">
        <v>3338</v>
      </c>
      <c r="D404" s="3482">
        <v>28.35</v>
      </c>
      <c r="E404" s="3519">
        <f t="shared" si="6"/>
        <v>3000</v>
      </c>
      <c r="F404" s="3481">
        <v>85050</v>
      </c>
      <c r="G404" s="3482" t="s">
        <v>4017</v>
      </c>
    </row>
    <row r="405" spans="1:7">
      <c r="A405" s="3536">
        <v>404</v>
      </c>
      <c r="B405" s="3481" t="s">
        <v>8554</v>
      </c>
      <c r="C405" s="3481" t="s">
        <v>3395</v>
      </c>
      <c r="D405" s="3482">
        <v>83.54</v>
      </c>
      <c r="E405" s="3519">
        <f t="shared" si="6"/>
        <v>33215.274120181944</v>
      </c>
      <c r="F405" s="3481">
        <v>2774804</v>
      </c>
      <c r="G405" s="3482" t="s">
        <v>8553</v>
      </c>
    </row>
    <row r="406" spans="1:7">
      <c r="A406" s="3536">
        <v>405</v>
      </c>
      <c r="B406" s="3481" t="s">
        <v>8599</v>
      </c>
      <c r="C406" s="3481" t="s">
        <v>3395</v>
      </c>
      <c r="D406" s="3482">
        <v>83.92</v>
      </c>
      <c r="E406" s="3519">
        <f t="shared" si="6"/>
        <v>32185.045281220209</v>
      </c>
      <c r="F406" s="3481">
        <v>2700969</v>
      </c>
      <c r="G406" s="3482" t="s">
        <v>8598</v>
      </c>
    </row>
    <row r="407" spans="1:7">
      <c r="A407" s="3536">
        <v>406</v>
      </c>
      <c r="B407" s="3481" t="s">
        <v>7944</v>
      </c>
      <c r="C407" s="3481" t="s">
        <v>3395</v>
      </c>
      <c r="D407" s="3482">
        <v>83.54</v>
      </c>
      <c r="E407" s="3519">
        <f t="shared" si="6"/>
        <v>33611.180272923149</v>
      </c>
      <c r="F407" s="3481">
        <v>2807878</v>
      </c>
      <c r="G407" s="3482" t="s">
        <v>7945</v>
      </c>
    </row>
    <row r="408" spans="1:7">
      <c r="A408" s="3536">
        <v>407</v>
      </c>
      <c r="B408" s="3481" t="s">
        <v>8629</v>
      </c>
      <c r="C408" s="3481" t="s">
        <v>3395</v>
      </c>
      <c r="D408" s="3482">
        <v>83.92</v>
      </c>
      <c r="E408" s="3519">
        <f t="shared" si="6"/>
        <v>32510.14061010486</v>
      </c>
      <c r="F408" s="3481">
        <v>2728251</v>
      </c>
      <c r="G408" s="3482" t="s">
        <v>4357</v>
      </c>
    </row>
    <row r="409" spans="1:7">
      <c r="A409" s="3536">
        <v>408</v>
      </c>
      <c r="B409" s="3481" t="s">
        <v>8661</v>
      </c>
      <c r="C409" s="3481" t="s">
        <v>3395</v>
      </c>
      <c r="D409" s="3482">
        <v>83.54</v>
      </c>
      <c r="E409" s="3519">
        <f t="shared" si="6"/>
        <v>32876.346660282499</v>
      </c>
      <c r="F409" s="3481">
        <v>2746490</v>
      </c>
      <c r="G409" s="3482" t="s">
        <v>8658</v>
      </c>
    </row>
    <row r="410" spans="1:7">
      <c r="A410" s="3536">
        <v>409</v>
      </c>
      <c r="B410" s="3481" t="s">
        <v>8653</v>
      </c>
      <c r="C410" s="3481" t="s">
        <v>3395</v>
      </c>
      <c r="D410" s="3482">
        <v>83.92</v>
      </c>
      <c r="E410" s="3519">
        <f t="shared" si="6"/>
        <v>31863.191134413726</v>
      </c>
      <c r="F410" s="3481">
        <v>2673959</v>
      </c>
      <c r="G410" s="3482" t="s">
        <v>4363</v>
      </c>
    </row>
    <row r="411" spans="1:7">
      <c r="A411" s="3536">
        <v>410</v>
      </c>
      <c r="B411" s="3481" t="s">
        <v>8662</v>
      </c>
      <c r="C411" s="3481" t="s">
        <v>3395</v>
      </c>
      <c r="D411" s="3482">
        <v>73.760000000000005</v>
      </c>
      <c r="E411" s="3519">
        <f t="shared" si="6"/>
        <v>35507.199023861169</v>
      </c>
      <c r="F411" s="3481">
        <v>2619011</v>
      </c>
      <c r="G411" s="3482" t="s">
        <v>8658</v>
      </c>
    </row>
    <row r="412" spans="1:7">
      <c r="A412" s="3536">
        <v>411</v>
      </c>
      <c r="B412" s="3481" t="s">
        <v>8224</v>
      </c>
      <c r="C412" s="3481" t="s">
        <v>3395</v>
      </c>
      <c r="D412" s="3482">
        <v>74.22</v>
      </c>
      <c r="E412" s="3519">
        <f t="shared" si="6"/>
        <v>34863.54082457559</v>
      </c>
      <c r="F412" s="3481">
        <v>2587572</v>
      </c>
      <c r="G412" s="3482" t="s">
        <v>4191</v>
      </c>
    </row>
    <row r="413" spans="1:7">
      <c r="A413" s="3536">
        <v>412</v>
      </c>
      <c r="B413" s="3481" t="s">
        <v>6984</v>
      </c>
      <c r="C413" s="3481" t="s">
        <v>3395</v>
      </c>
      <c r="D413" s="3482">
        <v>83.92</v>
      </c>
      <c r="E413" s="3519">
        <f t="shared" si="6"/>
        <v>29075.309818875117</v>
      </c>
      <c r="F413" s="3481">
        <v>2440000</v>
      </c>
      <c r="G413" s="3482" t="s">
        <v>3457</v>
      </c>
    </row>
    <row r="414" spans="1:7">
      <c r="A414" s="3536">
        <v>413</v>
      </c>
      <c r="B414" s="3481" t="s">
        <v>7142</v>
      </c>
      <c r="C414" s="3481" t="s">
        <v>3395</v>
      </c>
      <c r="D414" s="3482">
        <v>83.54</v>
      </c>
      <c r="E414" s="3519">
        <f t="shared" si="6"/>
        <v>29207.565238209238</v>
      </c>
      <c r="F414" s="3481">
        <v>2440000</v>
      </c>
      <c r="G414" s="3482" t="s">
        <v>7143</v>
      </c>
    </row>
    <row r="415" spans="1:7">
      <c r="A415" s="3536">
        <v>414</v>
      </c>
      <c r="B415" s="3481" t="s">
        <v>7105</v>
      </c>
      <c r="C415" s="3481" t="s">
        <v>3395</v>
      </c>
      <c r="D415" s="3482">
        <v>83.92</v>
      </c>
      <c r="E415" s="3519">
        <f t="shared" si="6"/>
        <v>29075.309818875117</v>
      </c>
      <c r="F415" s="3481">
        <v>2440000</v>
      </c>
      <c r="G415" s="3482" t="s">
        <v>3479</v>
      </c>
    </row>
    <row r="416" spans="1:7">
      <c r="A416" s="3536">
        <v>415</v>
      </c>
      <c r="B416" s="3481" t="s">
        <v>7106</v>
      </c>
      <c r="C416" s="3481" t="s">
        <v>3395</v>
      </c>
      <c r="D416" s="3482">
        <v>83.54</v>
      </c>
      <c r="E416" s="3519">
        <f t="shared" si="6"/>
        <v>29207.565238209238</v>
      </c>
      <c r="F416" s="3481">
        <v>2440000</v>
      </c>
      <c r="G416" s="3482" t="s">
        <v>3479</v>
      </c>
    </row>
    <row r="417" spans="1:7">
      <c r="A417" s="3536">
        <v>416</v>
      </c>
      <c r="B417" s="3481" t="s">
        <v>6815</v>
      </c>
      <c r="C417" s="3481" t="s">
        <v>3395</v>
      </c>
      <c r="D417" s="3482">
        <v>83.54</v>
      </c>
      <c r="E417" s="3519">
        <f t="shared" si="6"/>
        <v>28609.049557098395</v>
      </c>
      <c r="F417" s="3481">
        <v>2390000</v>
      </c>
      <c r="G417" s="3482" t="s">
        <v>3419</v>
      </c>
    </row>
    <row r="418" spans="1:7">
      <c r="A418" s="3536">
        <v>417</v>
      </c>
      <c r="B418" s="3481" t="s">
        <v>6992</v>
      </c>
      <c r="C418" s="3481" t="s">
        <v>3395</v>
      </c>
      <c r="D418" s="3482">
        <v>74.22</v>
      </c>
      <c r="E418" s="3519">
        <f t="shared" si="6"/>
        <v>28967.933171651846</v>
      </c>
      <c r="F418" s="3481">
        <v>2150000</v>
      </c>
      <c r="G418" s="3482" t="s">
        <v>6993</v>
      </c>
    </row>
    <row r="419" spans="1:7">
      <c r="A419" s="3536">
        <v>418</v>
      </c>
      <c r="B419" s="3481" t="s">
        <v>6994</v>
      </c>
      <c r="C419" s="3481" t="s">
        <v>3395</v>
      </c>
      <c r="D419" s="3482">
        <v>73.760000000000005</v>
      </c>
      <c r="E419" s="3519">
        <f t="shared" si="6"/>
        <v>29148.590021691973</v>
      </c>
      <c r="F419" s="3481">
        <v>2150000</v>
      </c>
      <c r="G419" s="3482" t="s">
        <v>6993</v>
      </c>
    </row>
    <row r="420" spans="1:7">
      <c r="A420" s="3536">
        <v>419</v>
      </c>
      <c r="B420" s="3481" t="s">
        <v>7094</v>
      </c>
      <c r="C420" s="3481" t="s">
        <v>3395</v>
      </c>
      <c r="D420" s="3482">
        <v>83.54</v>
      </c>
      <c r="E420" s="3519">
        <f t="shared" si="6"/>
        <v>29387.119942542493</v>
      </c>
      <c r="F420" s="3481">
        <v>2455000</v>
      </c>
      <c r="G420" s="3482" t="s">
        <v>7095</v>
      </c>
    </row>
    <row r="421" spans="1:7">
      <c r="A421" s="3536">
        <v>420</v>
      </c>
      <c r="B421" s="3481" t="s">
        <v>7096</v>
      </c>
      <c r="C421" s="3481" t="s">
        <v>3395</v>
      </c>
      <c r="D421" s="3482">
        <v>83.54</v>
      </c>
      <c r="E421" s="3519">
        <f t="shared" si="6"/>
        <v>29387.119942542493</v>
      </c>
      <c r="F421" s="3481">
        <v>2455000</v>
      </c>
      <c r="G421" s="3482" t="s">
        <v>7095</v>
      </c>
    </row>
    <row r="422" spans="1:7">
      <c r="A422" s="3536">
        <v>421</v>
      </c>
      <c r="B422" s="3481" t="s">
        <v>7082</v>
      </c>
      <c r="C422" s="3481" t="s">
        <v>3395</v>
      </c>
      <c r="D422" s="3482">
        <v>83.54</v>
      </c>
      <c r="E422" s="3519">
        <f t="shared" si="6"/>
        <v>29387.119942542493</v>
      </c>
      <c r="F422" s="3481">
        <v>2455000</v>
      </c>
      <c r="G422" s="3482" t="s">
        <v>7083</v>
      </c>
    </row>
    <row r="423" spans="1:7">
      <c r="A423" s="3536">
        <v>422</v>
      </c>
      <c r="B423" s="3481" t="s">
        <v>7134</v>
      </c>
      <c r="C423" s="3481" t="s">
        <v>3395</v>
      </c>
      <c r="D423" s="3482">
        <v>83.54</v>
      </c>
      <c r="E423" s="3519">
        <f t="shared" si="6"/>
        <v>29387.119942542493</v>
      </c>
      <c r="F423" s="3481">
        <v>2455000</v>
      </c>
      <c r="G423" s="3482" t="s">
        <v>7135</v>
      </c>
    </row>
    <row r="424" spans="1:7">
      <c r="A424" s="3536">
        <v>423</v>
      </c>
      <c r="B424" s="3481" t="s">
        <v>7039</v>
      </c>
      <c r="C424" s="3481" t="s">
        <v>3395</v>
      </c>
      <c r="D424" s="3482">
        <v>83.54</v>
      </c>
      <c r="E424" s="3519">
        <f t="shared" si="6"/>
        <v>28788.604261431647</v>
      </c>
      <c r="F424" s="3481">
        <v>2405000</v>
      </c>
      <c r="G424" s="3482" t="s">
        <v>3469</v>
      </c>
    </row>
    <row r="425" spans="1:7">
      <c r="A425" s="3536">
        <v>424</v>
      </c>
      <c r="B425" s="3481" t="s">
        <v>7040</v>
      </c>
      <c r="C425" s="3481" t="s">
        <v>3395</v>
      </c>
      <c r="D425" s="3482">
        <v>83.54</v>
      </c>
      <c r="E425" s="3519">
        <f t="shared" si="6"/>
        <v>28788.604261431647</v>
      </c>
      <c r="F425" s="3481">
        <v>2405000</v>
      </c>
      <c r="G425" s="3482" t="s">
        <v>3469</v>
      </c>
    </row>
    <row r="426" spans="1:7">
      <c r="A426" s="3536">
        <v>425</v>
      </c>
      <c r="B426" s="3481" t="s">
        <v>6973</v>
      </c>
      <c r="C426" s="3481" t="s">
        <v>3395</v>
      </c>
      <c r="D426" s="3482">
        <v>73.760000000000005</v>
      </c>
      <c r="E426" s="3519">
        <f t="shared" si="6"/>
        <v>29648.44088937093</v>
      </c>
      <c r="F426" s="3481">
        <v>2186869</v>
      </c>
      <c r="G426" s="3482" t="s">
        <v>6971</v>
      </c>
    </row>
    <row r="427" spans="1:7">
      <c r="A427" s="3536">
        <v>426</v>
      </c>
      <c r="B427" s="3481" t="s">
        <v>6974</v>
      </c>
      <c r="C427" s="3481" t="s">
        <v>3395</v>
      </c>
      <c r="D427" s="3482">
        <v>73.760000000000005</v>
      </c>
      <c r="E427" s="3519">
        <f t="shared" si="6"/>
        <v>29351.952277657263</v>
      </c>
      <c r="F427" s="3481">
        <v>2165000</v>
      </c>
      <c r="G427" s="3482" t="s">
        <v>6971</v>
      </c>
    </row>
    <row r="428" spans="1:7">
      <c r="A428" s="3536">
        <v>427</v>
      </c>
      <c r="B428" s="3481" t="s">
        <v>7084</v>
      </c>
      <c r="C428" s="3481" t="s">
        <v>3395</v>
      </c>
      <c r="D428" s="3482">
        <v>83.54</v>
      </c>
      <c r="E428" s="3519">
        <f t="shared" si="6"/>
        <v>29387.119942542493</v>
      </c>
      <c r="F428" s="3481">
        <v>2455000</v>
      </c>
      <c r="G428" s="3482" t="s">
        <v>7083</v>
      </c>
    </row>
    <row r="429" spans="1:7">
      <c r="A429" s="3536">
        <v>428</v>
      </c>
      <c r="B429" s="3481" t="s">
        <v>7070</v>
      </c>
      <c r="C429" s="3481" t="s">
        <v>3395</v>
      </c>
      <c r="D429" s="3482">
        <v>83.92</v>
      </c>
      <c r="E429" s="3519">
        <f t="shared" si="6"/>
        <v>29254.05147759771</v>
      </c>
      <c r="F429" s="3481">
        <v>2455000</v>
      </c>
      <c r="G429" s="3482" t="s">
        <v>7071</v>
      </c>
    </row>
    <row r="430" spans="1:7">
      <c r="A430" s="3536">
        <v>429</v>
      </c>
      <c r="B430" s="3481" t="s">
        <v>7107</v>
      </c>
      <c r="C430" s="3481" t="s">
        <v>3395</v>
      </c>
      <c r="D430" s="3482">
        <v>83.54</v>
      </c>
      <c r="E430" s="3519">
        <f t="shared" si="6"/>
        <v>29387.119942542493</v>
      </c>
      <c r="F430" s="3481">
        <v>2455000</v>
      </c>
      <c r="G430" s="3482" t="s">
        <v>3479</v>
      </c>
    </row>
    <row r="431" spans="1:7">
      <c r="A431" s="3536">
        <v>430</v>
      </c>
      <c r="B431" s="3481" t="s">
        <v>7123</v>
      </c>
      <c r="C431" s="3481" t="s">
        <v>3395</v>
      </c>
      <c r="D431" s="3482">
        <v>83.92</v>
      </c>
      <c r="E431" s="3519">
        <f t="shared" si="6"/>
        <v>29254.05147759771</v>
      </c>
      <c r="F431" s="3481">
        <v>2455000</v>
      </c>
      <c r="G431" s="3482" t="s">
        <v>7122</v>
      </c>
    </row>
    <row r="432" spans="1:7">
      <c r="A432" s="3536">
        <v>431</v>
      </c>
      <c r="B432" s="3481" t="s">
        <v>6844</v>
      </c>
      <c r="C432" s="3481" t="s">
        <v>3395</v>
      </c>
      <c r="D432" s="3482">
        <v>83.54</v>
      </c>
      <c r="E432" s="3519">
        <f t="shared" si="6"/>
        <v>28788.604261431647</v>
      </c>
      <c r="F432" s="3481">
        <v>2405000</v>
      </c>
      <c r="G432" s="3482" t="s">
        <v>6845</v>
      </c>
    </row>
    <row r="433" spans="1:7">
      <c r="A433" s="3536">
        <v>432</v>
      </c>
      <c r="B433" s="3481" t="s">
        <v>6865</v>
      </c>
      <c r="C433" s="3481" t="s">
        <v>3395</v>
      </c>
      <c r="D433" s="3482">
        <v>83.92</v>
      </c>
      <c r="E433" s="3519">
        <f t="shared" si="6"/>
        <v>28658.245948522403</v>
      </c>
      <c r="F433" s="3481">
        <v>2405000</v>
      </c>
      <c r="G433" s="3482" t="s">
        <v>3431</v>
      </c>
    </row>
    <row r="434" spans="1:7">
      <c r="A434" s="3536">
        <v>433</v>
      </c>
      <c r="B434" s="3481" t="s">
        <v>6995</v>
      </c>
      <c r="C434" s="3481" t="s">
        <v>3395</v>
      </c>
      <c r="D434" s="3482">
        <v>73.760000000000005</v>
      </c>
      <c r="E434" s="3519">
        <f t="shared" si="6"/>
        <v>28922.857917570498</v>
      </c>
      <c r="F434" s="3481">
        <v>2133350</v>
      </c>
      <c r="G434" s="3482" t="s">
        <v>6993</v>
      </c>
    </row>
    <row r="435" spans="1:7">
      <c r="A435" s="3536">
        <v>434</v>
      </c>
      <c r="B435" s="3481" t="s">
        <v>7099</v>
      </c>
      <c r="C435" s="3481" t="s">
        <v>3395</v>
      </c>
      <c r="D435" s="3482">
        <v>74.22</v>
      </c>
      <c r="E435" s="3519">
        <f t="shared" si="6"/>
        <v>29170.035030988951</v>
      </c>
      <c r="F435" s="3481">
        <v>2165000</v>
      </c>
      <c r="G435" s="3482" t="s">
        <v>7100</v>
      </c>
    </row>
    <row r="436" spans="1:7">
      <c r="A436" s="3536">
        <v>435</v>
      </c>
      <c r="B436" s="3481" t="s">
        <v>7941</v>
      </c>
      <c r="C436" s="3481" t="s">
        <v>5318</v>
      </c>
      <c r="D436" s="3482">
        <v>189.8</v>
      </c>
      <c r="E436" s="3519">
        <f t="shared" si="6"/>
        <v>26208.008429926238</v>
      </c>
      <c r="F436" s="3481">
        <v>4974280</v>
      </c>
      <c r="G436" s="3482" t="s">
        <v>7940</v>
      </c>
    </row>
    <row r="437" spans="1:7">
      <c r="A437" s="3536">
        <v>436</v>
      </c>
      <c r="B437" s="3481" t="s">
        <v>4019</v>
      </c>
      <c r="C437" s="3481" t="s">
        <v>3338</v>
      </c>
      <c r="D437" s="3482">
        <v>12.39</v>
      </c>
      <c r="E437" s="3519">
        <f t="shared" si="6"/>
        <v>2985.4721549636802</v>
      </c>
      <c r="F437" s="3481">
        <v>36990</v>
      </c>
      <c r="G437" s="3482" t="s">
        <v>4017</v>
      </c>
    </row>
    <row r="438" spans="1:7">
      <c r="A438" s="3536">
        <v>437</v>
      </c>
      <c r="B438" s="3481" t="s">
        <v>8102</v>
      </c>
      <c r="C438" s="3481" t="s">
        <v>5305</v>
      </c>
      <c r="D438" s="3482">
        <v>73.349999999999994</v>
      </c>
      <c r="E438" s="3519">
        <f t="shared" si="6"/>
        <v>37223.694614860258</v>
      </c>
      <c r="F438" s="3481">
        <v>2730358</v>
      </c>
      <c r="G438" s="3482" t="s">
        <v>4140</v>
      </c>
    </row>
    <row r="439" spans="1:7">
      <c r="A439" s="3536">
        <v>438</v>
      </c>
      <c r="B439" s="3481" t="s">
        <v>4139</v>
      </c>
      <c r="C439" s="3481" t="s">
        <v>3338</v>
      </c>
      <c r="D439" s="3482">
        <v>97.49</v>
      </c>
      <c r="E439" s="3519">
        <f t="shared" si="6"/>
        <v>13953.892706944303</v>
      </c>
      <c r="F439" s="3481">
        <v>1360365</v>
      </c>
      <c r="G439" s="3482" t="s">
        <v>4140</v>
      </c>
    </row>
    <row r="440" spans="1:7">
      <c r="A440" s="3536">
        <v>439</v>
      </c>
      <c r="B440" s="3481" t="s">
        <v>8104</v>
      </c>
      <c r="C440" s="3481" t="s">
        <v>5318</v>
      </c>
      <c r="D440" s="3482">
        <v>188.89</v>
      </c>
      <c r="E440" s="3519">
        <f t="shared" si="6"/>
        <v>26872.094870030178</v>
      </c>
      <c r="F440" s="3481">
        <v>5075870</v>
      </c>
      <c r="G440" s="3482" t="s">
        <v>4140</v>
      </c>
    </row>
    <row r="441" spans="1:7">
      <c r="A441" s="3536">
        <v>440</v>
      </c>
      <c r="B441" s="3481" t="s">
        <v>4141</v>
      </c>
      <c r="C441" s="3481" t="s">
        <v>3338</v>
      </c>
      <c r="D441" s="3482">
        <v>12.39</v>
      </c>
      <c r="E441" s="3519">
        <f t="shared" si="6"/>
        <v>2985.4721549636802</v>
      </c>
      <c r="F441" s="3481">
        <v>36990</v>
      </c>
      <c r="G441" s="3482" t="s">
        <v>4140</v>
      </c>
    </row>
    <row r="442" spans="1:7">
      <c r="A442" s="3536">
        <v>441</v>
      </c>
      <c r="B442" s="3481" t="s">
        <v>4020</v>
      </c>
      <c r="C442" s="3481" t="s">
        <v>3338</v>
      </c>
      <c r="D442" s="3482">
        <v>53.11</v>
      </c>
      <c r="E442" s="3519">
        <f t="shared" si="6"/>
        <v>2988.7026925249484</v>
      </c>
      <c r="F442" s="3481">
        <v>158730</v>
      </c>
      <c r="G442" s="3482" t="s">
        <v>4017</v>
      </c>
    </row>
    <row r="443" spans="1:7">
      <c r="A443" s="3536">
        <v>442</v>
      </c>
      <c r="B443" s="3481" t="s">
        <v>4142</v>
      </c>
      <c r="C443" s="3481" t="s">
        <v>3338</v>
      </c>
      <c r="D443" s="3482">
        <v>186.34</v>
      </c>
      <c r="E443" s="3519">
        <f t="shared" si="6"/>
        <v>13949.109155307502</v>
      </c>
      <c r="F443" s="3481">
        <v>2599277</v>
      </c>
      <c r="G443" s="3482" t="s">
        <v>4140</v>
      </c>
    </row>
    <row r="444" spans="1:7">
      <c r="A444" s="3536">
        <v>443</v>
      </c>
      <c r="B444" s="3481" t="s">
        <v>4143</v>
      </c>
      <c r="C444" s="3481" t="s">
        <v>3338</v>
      </c>
      <c r="D444" s="3482">
        <v>52.57</v>
      </c>
      <c r="E444" s="3519">
        <f t="shared" si="6"/>
        <v>2989.1573140574474</v>
      </c>
      <c r="F444" s="3481">
        <v>157140</v>
      </c>
      <c r="G444" s="3482" t="s">
        <v>4140</v>
      </c>
    </row>
    <row r="445" spans="1:7">
      <c r="A445" s="3536">
        <v>444</v>
      </c>
      <c r="B445" s="3481" t="s">
        <v>8049</v>
      </c>
      <c r="C445" s="3481" t="s">
        <v>3395</v>
      </c>
      <c r="D445" s="3482">
        <v>83.82</v>
      </c>
      <c r="E445" s="3519">
        <f t="shared" si="6"/>
        <v>33315.199236459084</v>
      </c>
      <c r="F445" s="3481">
        <v>2792480</v>
      </c>
      <c r="G445" s="3482" t="s">
        <v>8050</v>
      </c>
    </row>
    <row r="446" spans="1:7">
      <c r="A446" s="3536">
        <v>445</v>
      </c>
      <c r="B446" s="3481" t="s">
        <v>8022</v>
      </c>
      <c r="C446" s="3481" t="s">
        <v>3395</v>
      </c>
      <c r="D446" s="3482">
        <v>83.44</v>
      </c>
      <c r="E446" s="3519">
        <f t="shared" si="6"/>
        <v>33292.461649089164</v>
      </c>
      <c r="F446" s="3481">
        <v>2777923</v>
      </c>
      <c r="G446" s="3482" t="s">
        <v>4072</v>
      </c>
    </row>
    <row r="447" spans="1:7">
      <c r="A447" s="3536">
        <v>446</v>
      </c>
      <c r="B447" s="3481" t="s">
        <v>8069</v>
      </c>
      <c r="C447" s="3481" t="s">
        <v>3395</v>
      </c>
      <c r="D447" s="3482">
        <v>83.82</v>
      </c>
      <c r="E447" s="3519">
        <f t="shared" si="6"/>
        <v>33315.199236459084</v>
      </c>
      <c r="F447" s="3481">
        <v>2792480</v>
      </c>
      <c r="G447" s="3482" t="s">
        <v>4104</v>
      </c>
    </row>
    <row r="448" spans="1:7">
      <c r="A448" s="3536">
        <v>447</v>
      </c>
      <c r="B448" s="3481" t="s">
        <v>7349</v>
      </c>
      <c r="C448" s="3481" t="s">
        <v>3395</v>
      </c>
      <c r="D448" s="3482">
        <v>83.44</v>
      </c>
      <c r="E448" s="3519">
        <f t="shared" si="6"/>
        <v>29026.05465004794</v>
      </c>
      <c r="F448" s="3481">
        <v>2421934</v>
      </c>
      <c r="G448" s="3482" t="s">
        <v>7350</v>
      </c>
    </row>
    <row r="449" spans="1:7">
      <c r="A449" s="3536">
        <v>448</v>
      </c>
      <c r="B449" s="3481" t="s">
        <v>8630</v>
      </c>
      <c r="C449" s="3481" t="s">
        <v>3395</v>
      </c>
      <c r="D449" s="3482">
        <v>83.82</v>
      </c>
      <c r="E449" s="3519">
        <f t="shared" si="6"/>
        <v>31900.417561441187</v>
      </c>
      <c r="F449" s="3481">
        <v>2673893</v>
      </c>
      <c r="G449" s="3482" t="s">
        <v>4357</v>
      </c>
    </row>
    <row r="450" spans="1:7">
      <c r="A450" s="3536">
        <v>449</v>
      </c>
      <c r="B450" s="3481" t="s">
        <v>8140</v>
      </c>
      <c r="C450" s="3481" t="s">
        <v>3395</v>
      </c>
      <c r="D450" s="3482">
        <v>83.44</v>
      </c>
      <c r="E450" s="3519">
        <f t="shared" si="6"/>
        <v>33651.725790987533</v>
      </c>
      <c r="F450" s="3481">
        <v>2807900</v>
      </c>
      <c r="G450" s="3482" t="s">
        <v>4159</v>
      </c>
    </row>
    <row r="451" spans="1:7">
      <c r="A451" s="3536">
        <v>450</v>
      </c>
      <c r="B451" s="3481" t="s">
        <v>8239</v>
      </c>
      <c r="C451" s="3481" t="s">
        <v>3395</v>
      </c>
      <c r="D451" s="3482">
        <v>74.13</v>
      </c>
      <c r="E451" s="3519">
        <f t="shared" ref="E451:E514" si="7">F451/D451</f>
        <v>34863.46958046675</v>
      </c>
      <c r="F451" s="3481">
        <v>2584429</v>
      </c>
      <c r="G451" s="3482" t="s">
        <v>8236</v>
      </c>
    </row>
    <row r="452" spans="1:7">
      <c r="A452" s="3536">
        <v>451</v>
      </c>
      <c r="B452" s="3481" t="s">
        <v>8283</v>
      </c>
      <c r="C452" s="3481" t="s">
        <v>3395</v>
      </c>
      <c r="D452" s="3482">
        <v>73.67</v>
      </c>
      <c r="E452" s="3519">
        <f t="shared" si="7"/>
        <v>35226.130039364733</v>
      </c>
      <c r="F452" s="3481">
        <v>2595109</v>
      </c>
      <c r="G452" s="3482" t="s">
        <v>8284</v>
      </c>
    </row>
    <row r="453" spans="1:7">
      <c r="A453" s="3536">
        <v>452</v>
      </c>
      <c r="B453" s="3481" t="s">
        <v>7756</v>
      </c>
      <c r="C453" s="3481" t="s">
        <v>5318</v>
      </c>
      <c r="D453" s="3482">
        <v>188.89</v>
      </c>
      <c r="E453" s="3519">
        <f t="shared" si="7"/>
        <v>26607.390544761503</v>
      </c>
      <c r="F453" s="3481">
        <v>5025870</v>
      </c>
      <c r="G453" s="3482" t="s">
        <v>3877</v>
      </c>
    </row>
    <row r="454" spans="1:7">
      <c r="A454" s="3536">
        <v>453</v>
      </c>
      <c r="B454" s="3481" t="s">
        <v>3879</v>
      </c>
      <c r="C454" s="3481" t="s">
        <v>3338</v>
      </c>
      <c r="D454" s="3482">
        <v>12.39</v>
      </c>
      <c r="E454" s="3519">
        <f t="shared" si="7"/>
        <v>2985.4721549636802</v>
      </c>
      <c r="F454" s="3481">
        <v>36990</v>
      </c>
      <c r="G454" s="3482" t="s">
        <v>3877</v>
      </c>
    </row>
    <row r="455" spans="1:7">
      <c r="A455" s="3536">
        <v>454</v>
      </c>
      <c r="B455" s="3481" t="s">
        <v>8157</v>
      </c>
      <c r="C455" s="3481" t="s">
        <v>5318</v>
      </c>
      <c r="D455" s="3482">
        <v>188.89</v>
      </c>
      <c r="E455" s="3519">
        <f t="shared" si="7"/>
        <v>26501.508814654033</v>
      </c>
      <c r="F455" s="3481">
        <v>5005870</v>
      </c>
      <c r="G455" s="3482" t="s">
        <v>4178</v>
      </c>
    </row>
    <row r="456" spans="1:7">
      <c r="A456" s="3536">
        <v>455</v>
      </c>
      <c r="B456" s="3481" t="s">
        <v>4177</v>
      </c>
      <c r="C456" s="3481" t="s">
        <v>3338</v>
      </c>
      <c r="D456" s="3482">
        <v>12.39</v>
      </c>
      <c r="E456" s="3519">
        <f t="shared" si="7"/>
        <v>2985.4721549636802</v>
      </c>
      <c r="F456" s="3481">
        <v>36990</v>
      </c>
      <c r="G456" s="3482" t="s">
        <v>4178</v>
      </c>
    </row>
    <row r="457" spans="1:7">
      <c r="A457" s="3536">
        <v>456</v>
      </c>
      <c r="B457" s="3481" t="s">
        <v>3880</v>
      </c>
      <c r="C457" s="3481" t="s">
        <v>3338</v>
      </c>
      <c r="D457" s="3482">
        <v>52.57</v>
      </c>
      <c r="E457" s="3519">
        <f t="shared" si="7"/>
        <v>2989.1573140574474</v>
      </c>
      <c r="F457" s="3481">
        <v>157140</v>
      </c>
      <c r="G457" s="3482" t="s">
        <v>3877</v>
      </c>
    </row>
    <row r="458" spans="1:7">
      <c r="A458" s="3536">
        <v>457</v>
      </c>
      <c r="B458" s="3481" t="s">
        <v>4179</v>
      </c>
      <c r="C458" s="3481" t="s">
        <v>3338</v>
      </c>
      <c r="D458" s="3482">
        <v>52.57</v>
      </c>
      <c r="E458" s="3519">
        <f t="shared" si="7"/>
        <v>2989.1573140574474</v>
      </c>
      <c r="F458" s="3481">
        <v>157140</v>
      </c>
      <c r="G458" s="3482" t="s">
        <v>4178</v>
      </c>
    </row>
    <row r="459" spans="1:7">
      <c r="A459" s="3536">
        <v>458</v>
      </c>
      <c r="B459" s="3481" t="s">
        <v>8046</v>
      </c>
      <c r="C459" s="3481" t="s">
        <v>3395</v>
      </c>
      <c r="D459" s="3482">
        <v>83.44</v>
      </c>
      <c r="E459" s="3519">
        <f t="shared" si="7"/>
        <v>32959.53978906999</v>
      </c>
      <c r="F459" s="3481">
        <v>2750144</v>
      </c>
      <c r="G459" s="3482" t="s">
        <v>8047</v>
      </c>
    </row>
    <row r="460" spans="1:7">
      <c r="A460" s="3536">
        <v>459</v>
      </c>
      <c r="B460" s="3481" t="s">
        <v>8023</v>
      </c>
      <c r="C460" s="3481" t="s">
        <v>3395</v>
      </c>
      <c r="D460" s="3482">
        <v>83.44</v>
      </c>
      <c r="E460" s="3519">
        <f t="shared" si="7"/>
        <v>33628.751198465965</v>
      </c>
      <c r="F460" s="3481">
        <v>2805983</v>
      </c>
      <c r="G460" s="3482" t="s">
        <v>4072</v>
      </c>
    </row>
    <row r="461" spans="1:7">
      <c r="A461" s="3536">
        <v>460</v>
      </c>
      <c r="B461" s="3481" t="s">
        <v>8037</v>
      </c>
      <c r="C461" s="3481" t="s">
        <v>3395</v>
      </c>
      <c r="D461" s="3482">
        <v>83.44</v>
      </c>
      <c r="E461" s="3519">
        <f t="shared" si="7"/>
        <v>33315.208533077661</v>
      </c>
      <c r="F461" s="3481">
        <v>2779821</v>
      </c>
      <c r="G461" s="3482" t="s">
        <v>4084</v>
      </c>
    </row>
    <row r="462" spans="1:7">
      <c r="A462" s="3536">
        <v>461</v>
      </c>
      <c r="B462" s="3481" t="s">
        <v>7971</v>
      </c>
      <c r="C462" s="3481" t="s">
        <v>3395</v>
      </c>
      <c r="D462" s="3482">
        <v>83.44</v>
      </c>
      <c r="E462" s="3519">
        <f t="shared" si="7"/>
        <v>33651.725790987533</v>
      </c>
      <c r="F462" s="3481">
        <v>2807900</v>
      </c>
      <c r="G462" s="3482" t="s">
        <v>4031</v>
      </c>
    </row>
    <row r="463" spans="1:7">
      <c r="A463" s="3536">
        <v>462</v>
      </c>
      <c r="B463" s="3481" t="s">
        <v>8024</v>
      </c>
      <c r="C463" s="3481" t="s">
        <v>3395</v>
      </c>
      <c r="D463" s="3482">
        <v>83.44</v>
      </c>
      <c r="E463" s="3519">
        <f t="shared" si="7"/>
        <v>33315.208533077661</v>
      </c>
      <c r="F463" s="3481">
        <v>2779821</v>
      </c>
      <c r="G463" s="3482" t="s">
        <v>4072</v>
      </c>
    </row>
    <row r="464" spans="1:7">
      <c r="A464" s="3536">
        <v>463</v>
      </c>
      <c r="B464" s="3481" t="s">
        <v>8038</v>
      </c>
      <c r="C464" s="3481" t="s">
        <v>3395</v>
      </c>
      <c r="D464" s="3482">
        <v>83.44</v>
      </c>
      <c r="E464" s="3519">
        <f t="shared" si="7"/>
        <v>33651.725790987533</v>
      </c>
      <c r="F464" s="3481">
        <v>2807900</v>
      </c>
      <c r="G464" s="3482" t="s">
        <v>4084</v>
      </c>
    </row>
    <row r="465" spans="1:7">
      <c r="A465" s="3536">
        <v>464</v>
      </c>
      <c r="B465" s="3481" t="s">
        <v>8289</v>
      </c>
      <c r="C465" s="3481" t="s">
        <v>3395</v>
      </c>
      <c r="D465" s="3482">
        <v>73.67</v>
      </c>
      <c r="E465" s="3519">
        <f t="shared" si="7"/>
        <v>34863.119315868062</v>
      </c>
      <c r="F465" s="3481">
        <v>2568366</v>
      </c>
      <c r="G465" s="3482" t="s">
        <v>4232</v>
      </c>
    </row>
    <row r="466" spans="1:7">
      <c r="A466" s="3536">
        <v>465</v>
      </c>
      <c r="B466" s="3481" t="s">
        <v>8304</v>
      </c>
      <c r="C466" s="3481" t="s">
        <v>3395</v>
      </c>
      <c r="D466" s="3482">
        <v>73.67</v>
      </c>
      <c r="E466" s="3519">
        <f t="shared" si="7"/>
        <v>35226.130039364733</v>
      </c>
      <c r="F466" s="3481">
        <v>2595109</v>
      </c>
      <c r="G466" s="3482" t="s">
        <v>8305</v>
      </c>
    </row>
    <row r="467" spans="1:7">
      <c r="A467" s="3536">
        <v>466</v>
      </c>
      <c r="B467" s="3481" t="s">
        <v>8097</v>
      </c>
      <c r="C467" s="3481" t="s">
        <v>5318</v>
      </c>
      <c r="D467" s="3482">
        <v>188.89</v>
      </c>
      <c r="E467" s="3519">
        <f t="shared" si="7"/>
        <v>26183.863624331625</v>
      </c>
      <c r="F467" s="3481">
        <v>4945870</v>
      </c>
      <c r="G467" s="3482" t="s">
        <v>4132</v>
      </c>
    </row>
    <row r="468" spans="1:7">
      <c r="A468" s="3536">
        <v>467</v>
      </c>
      <c r="B468" s="3481" t="s">
        <v>4134</v>
      </c>
      <c r="C468" s="3481" t="s">
        <v>3338</v>
      </c>
      <c r="D468" s="3482">
        <v>12.39</v>
      </c>
      <c r="E468" s="3519">
        <f t="shared" si="7"/>
        <v>2985.4721549636802</v>
      </c>
      <c r="F468" s="3481">
        <v>36990</v>
      </c>
      <c r="G468" s="3482" t="s">
        <v>4132</v>
      </c>
    </row>
    <row r="469" spans="1:7">
      <c r="A469" s="3536">
        <v>468</v>
      </c>
      <c r="B469" s="3481" t="s">
        <v>7755</v>
      </c>
      <c r="C469" s="3481" t="s">
        <v>5305</v>
      </c>
      <c r="D469" s="3482">
        <v>72.97</v>
      </c>
      <c r="E469" s="3519">
        <f t="shared" si="7"/>
        <v>37223.585034945871</v>
      </c>
      <c r="F469" s="3481">
        <v>2716205</v>
      </c>
      <c r="G469" s="3482" t="s">
        <v>3877</v>
      </c>
    </row>
    <row r="470" spans="1:7">
      <c r="A470" s="3536">
        <v>469</v>
      </c>
      <c r="B470" s="3481" t="s">
        <v>3881</v>
      </c>
      <c r="C470" s="3481" t="s">
        <v>3338</v>
      </c>
      <c r="D470" s="3482">
        <v>96.11</v>
      </c>
      <c r="E470" s="3519">
        <f t="shared" si="7"/>
        <v>13820.788679637915</v>
      </c>
      <c r="F470" s="3481">
        <v>1328316</v>
      </c>
      <c r="G470" s="3482" t="s">
        <v>3877</v>
      </c>
    </row>
    <row r="471" spans="1:7">
      <c r="A471" s="3536">
        <v>470</v>
      </c>
      <c r="B471" s="3481" t="s">
        <v>7833</v>
      </c>
      <c r="C471" s="3481" t="s">
        <v>5318</v>
      </c>
      <c r="D471" s="3482">
        <v>188.89</v>
      </c>
      <c r="E471" s="3519">
        <f t="shared" si="7"/>
        <v>26925.035735083915</v>
      </c>
      <c r="F471" s="3481">
        <v>5085870</v>
      </c>
      <c r="G471" s="3482" t="s">
        <v>7834</v>
      </c>
    </row>
    <row r="472" spans="1:7">
      <c r="A472" s="3536">
        <v>471</v>
      </c>
      <c r="B472" s="3481" t="s">
        <v>4163</v>
      </c>
      <c r="C472" s="3481" t="s">
        <v>3338</v>
      </c>
      <c r="D472" s="3482">
        <v>12.39</v>
      </c>
      <c r="E472" s="3519">
        <f t="shared" si="7"/>
        <v>2985.4721549636802</v>
      </c>
      <c r="F472" s="3481">
        <v>36990</v>
      </c>
      <c r="G472" s="3482" t="s">
        <v>4159</v>
      </c>
    </row>
    <row r="473" spans="1:7">
      <c r="A473" s="3536">
        <v>472</v>
      </c>
      <c r="B473" s="3481" t="s">
        <v>4135</v>
      </c>
      <c r="C473" s="3481" t="s">
        <v>3338</v>
      </c>
      <c r="D473" s="3482">
        <v>52.57</v>
      </c>
      <c r="E473" s="3519">
        <f t="shared" si="7"/>
        <v>2989.1573140574474</v>
      </c>
      <c r="F473" s="3481">
        <v>157140</v>
      </c>
      <c r="G473" s="3482" t="s">
        <v>4132</v>
      </c>
    </row>
    <row r="474" spans="1:7">
      <c r="A474" s="3536">
        <v>473</v>
      </c>
      <c r="B474" s="3481" t="s">
        <v>3882</v>
      </c>
      <c r="C474" s="3481" t="s">
        <v>3338</v>
      </c>
      <c r="D474" s="3482">
        <v>184.96</v>
      </c>
      <c r="E474" s="3519">
        <f t="shared" si="7"/>
        <v>14818.933823529411</v>
      </c>
      <c r="F474" s="3481">
        <v>2740910</v>
      </c>
      <c r="G474" s="3482" t="s">
        <v>3877</v>
      </c>
    </row>
    <row r="475" spans="1:7">
      <c r="A475" s="3536">
        <v>474</v>
      </c>
      <c r="B475" s="3481" t="s">
        <v>4164</v>
      </c>
      <c r="C475" s="3481" t="s">
        <v>3338</v>
      </c>
      <c r="D475" s="3482">
        <v>52.57</v>
      </c>
      <c r="E475" s="3519">
        <f t="shared" si="7"/>
        <v>2989.1573140574474</v>
      </c>
      <c r="F475" s="3481">
        <v>157140</v>
      </c>
      <c r="G475" s="3482" t="s">
        <v>4159</v>
      </c>
    </row>
    <row r="476" spans="1:7">
      <c r="A476" s="3536">
        <v>475</v>
      </c>
      <c r="B476" s="3481" t="s">
        <v>8087</v>
      </c>
      <c r="C476" s="3481" t="s">
        <v>3395</v>
      </c>
      <c r="D476" s="3482">
        <v>83.44</v>
      </c>
      <c r="E476" s="3519">
        <f t="shared" si="7"/>
        <v>32959.53978906999</v>
      </c>
      <c r="F476" s="3481">
        <v>2750144</v>
      </c>
      <c r="G476" s="3482" t="s">
        <v>4123</v>
      </c>
    </row>
    <row r="477" spans="1:7">
      <c r="A477" s="3536">
        <v>476</v>
      </c>
      <c r="B477" s="3481" t="s">
        <v>8025</v>
      </c>
      <c r="C477" s="3481" t="s">
        <v>3395</v>
      </c>
      <c r="D477" s="3482">
        <v>83.44</v>
      </c>
      <c r="E477" s="3519">
        <f t="shared" si="7"/>
        <v>33292.461649089164</v>
      </c>
      <c r="F477" s="3481">
        <v>2777923</v>
      </c>
      <c r="G477" s="3482" t="s">
        <v>4072</v>
      </c>
    </row>
    <row r="478" spans="1:7">
      <c r="A478" s="3536">
        <v>477</v>
      </c>
      <c r="B478" s="3481" t="s">
        <v>8026</v>
      </c>
      <c r="C478" s="3481" t="s">
        <v>3395</v>
      </c>
      <c r="D478" s="3482">
        <v>83.44</v>
      </c>
      <c r="E478" s="3519">
        <f t="shared" si="7"/>
        <v>33651.725790987533</v>
      </c>
      <c r="F478" s="3481">
        <v>2807900</v>
      </c>
      <c r="G478" s="3482" t="s">
        <v>4072</v>
      </c>
    </row>
    <row r="479" spans="1:7">
      <c r="A479" s="3536">
        <v>478</v>
      </c>
      <c r="B479" s="3481" t="s">
        <v>8101</v>
      </c>
      <c r="C479" s="3481" t="s">
        <v>3395</v>
      </c>
      <c r="D479" s="3482">
        <v>83.44</v>
      </c>
      <c r="E479" s="3519">
        <f t="shared" si="7"/>
        <v>34345.577660594441</v>
      </c>
      <c r="F479" s="3481">
        <v>2865795</v>
      </c>
      <c r="G479" s="3482" t="s">
        <v>8100</v>
      </c>
    </row>
    <row r="480" spans="1:7">
      <c r="A480" s="3536">
        <v>479</v>
      </c>
      <c r="B480" s="3481" t="s">
        <v>8008</v>
      </c>
      <c r="C480" s="3481" t="s">
        <v>3395</v>
      </c>
      <c r="D480" s="3482">
        <v>83.44</v>
      </c>
      <c r="E480" s="3519">
        <f t="shared" si="7"/>
        <v>33315.208533077661</v>
      </c>
      <c r="F480" s="3481">
        <v>2779821</v>
      </c>
      <c r="G480" s="3482" t="s">
        <v>4058</v>
      </c>
    </row>
    <row r="481" spans="1:7">
      <c r="A481" s="3536">
        <v>480</v>
      </c>
      <c r="B481" s="3481" t="s">
        <v>8141</v>
      </c>
      <c r="C481" s="3481" t="s">
        <v>3395</v>
      </c>
      <c r="D481" s="3482">
        <v>83.44</v>
      </c>
      <c r="E481" s="3519">
        <f t="shared" si="7"/>
        <v>33651.725790987533</v>
      </c>
      <c r="F481" s="3481">
        <v>2807900</v>
      </c>
      <c r="G481" s="3482" t="s">
        <v>4159</v>
      </c>
    </row>
    <row r="482" spans="1:7">
      <c r="A482" s="3536">
        <v>481</v>
      </c>
      <c r="B482" s="3481" t="s">
        <v>8281</v>
      </c>
      <c r="C482" s="3481" t="s">
        <v>3395</v>
      </c>
      <c r="D482" s="3482">
        <v>73.67</v>
      </c>
      <c r="E482" s="3519">
        <f t="shared" si="7"/>
        <v>34514.483507533594</v>
      </c>
      <c r="F482" s="3481">
        <v>2542682</v>
      </c>
      <c r="G482" s="3482" t="s">
        <v>8282</v>
      </c>
    </row>
    <row r="483" spans="1:7">
      <c r="A483" s="3536">
        <v>482</v>
      </c>
      <c r="B483" s="3481" t="s">
        <v>8381</v>
      </c>
      <c r="C483" s="3481" t="s">
        <v>3395</v>
      </c>
      <c r="D483" s="3482">
        <v>73.67</v>
      </c>
      <c r="E483" s="3519">
        <f t="shared" si="7"/>
        <v>34514.483507533594</v>
      </c>
      <c r="F483" s="3481">
        <v>2542682</v>
      </c>
      <c r="G483" s="3482" t="s">
        <v>8379</v>
      </c>
    </row>
    <row r="484" spans="1:7">
      <c r="A484" s="3536">
        <v>483</v>
      </c>
      <c r="B484" s="3481" t="s">
        <v>7803</v>
      </c>
      <c r="C484" s="3481" t="s">
        <v>5318</v>
      </c>
      <c r="D484" s="3482">
        <v>178.1</v>
      </c>
      <c r="E484" s="3519">
        <f t="shared" si="7"/>
        <v>27207.804604154971</v>
      </c>
      <c r="F484" s="3481">
        <v>4845710</v>
      </c>
      <c r="G484" s="3482" t="s">
        <v>3919</v>
      </c>
    </row>
    <row r="485" spans="1:7">
      <c r="A485" s="3536">
        <v>484</v>
      </c>
      <c r="B485" s="3481" t="s">
        <v>3918</v>
      </c>
      <c r="C485" s="3481" t="s">
        <v>3338</v>
      </c>
      <c r="D485" s="3482">
        <v>23.52</v>
      </c>
      <c r="E485" s="3519">
        <f t="shared" si="7"/>
        <v>2992.3469387755104</v>
      </c>
      <c r="F485" s="3481">
        <v>70380</v>
      </c>
      <c r="G485" s="3482" t="s">
        <v>3919</v>
      </c>
    </row>
    <row r="486" spans="1:7">
      <c r="A486" s="3536">
        <v>485</v>
      </c>
      <c r="B486" s="3481" t="s">
        <v>8098</v>
      </c>
      <c r="C486" s="3481" t="s">
        <v>5305</v>
      </c>
      <c r="D486" s="3482">
        <v>73.349999999999994</v>
      </c>
      <c r="E486" s="3519">
        <f t="shared" si="7"/>
        <v>37223.694614860258</v>
      </c>
      <c r="F486" s="3481">
        <v>2730358</v>
      </c>
      <c r="G486" s="3482" t="s">
        <v>4137</v>
      </c>
    </row>
    <row r="487" spans="1:7">
      <c r="A487" s="3536">
        <v>486</v>
      </c>
      <c r="B487" s="3481" t="s">
        <v>4136</v>
      </c>
      <c r="C487" s="3481" t="s">
        <v>3338</v>
      </c>
      <c r="D487" s="3482">
        <v>96.97</v>
      </c>
      <c r="E487" s="3519">
        <f t="shared" si="7"/>
        <v>13885.345983293802</v>
      </c>
      <c r="F487" s="3481">
        <v>1346462</v>
      </c>
      <c r="G487" s="3482" t="s">
        <v>4137</v>
      </c>
    </row>
    <row r="488" spans="1:7">
      <c r="A488" s="3536">
        <v>487</v>
      </c>
      <c r="B488" s="3481" t="s">
        <v>8147</v>
      </c>
      <c r="C488" s="3481" t="s">
        <v>5318</v>
      </c>
      <c r="D488" s="3482">
        <v>179.3</v>
      </c>
      <c r="E488" s="3519">
        <f t="shared" si="7"/>
        <v>28138.817624093695</v>
      </c>
      <c r="F488" s="3481">
        <v>5045290</v>
      </c>
      <c r="G488" s="3482" t="s">
        <v>4159</v>
      </c>
    </row>
    <row r="489" spans="1:7">
      <c r="A489" s="3536">
        <v>488</v>
      </c>
      <c r="B489" s="3481" t="s">
        <v>4165</v>
      </c>
      <c r="C489" s="3481" t="s">
        <v>3338</v>
      </c>
      <c r="D489" s="3482">
        <v>23.66</v>
      </c>
      <c r="E489" s="3519">
        <f t="shared" si="7"/>
        <v>2992.3922231614538</v>
      </c>
      <c r="F489" s="3481">
        <v>70800</v>
      </c>
      <c r="G489" s="3482" t="s">
        <v>4159</v>
      </c>
    </row>
    <row r="490" spans="1:7">
      <c r="A490" s="3536">
        <v>489</v>
      </c>
      <c r="B490" s="3481" t="s">
        <v>3920</v>
      </c>
      <c r="C490" s="3481" t="s">
        <v>3338</v>
      </c>
      <c r="D490" s="3482">
        <v>28.08</v>
      </c>
      <c r="E490" s="3519">
        <f t="shared" si="7"/>
        <v>2988.2478632478633</v>
      </c>
      <c r="F490" s="3481">
        <v>83910</v>
      </c>
      <c r="G490" s="3482" t="s">
        <v>3919</v>
      </c>
    </row>
    <row r="491" spans="1:7">
      <c r="A491" s="3536">
        <v>490</v>
      </c>
      <c r="B491" s="3481" t="s">
        <v>4138</v>
      </c>
      <c r="C491" s="3481" t="s">
        <v>3338</v>
      </c>
      <c r="D491" s="3482">
        <v>185.37</v>
      </c>
      <c r="E491" s="3519">
        <f t="shared" si="7"/>
        <v>13881.318444192695</v>
      </c>
      <c r="F491" s="3481">
        <v>2573180</v>
      </c>
      <c r="G491" s="3482" t="s">
        <v>4137</v>
      </c>
    </row>
    <row r="492" spans="1:7">
      <c r="A492" s="3536">
        <v>491</v>
      </c>
      <c r="B492" s="3481" t="s">
        <v>4166</v>
      </c>
      <c r="C492" s="3481" t="s">
        <v>3338</v>
      </c>
      <c r="D492" s="3482">
        <v>28.08</v>
      </c>
      <c r="E492" s="3519">
        <f t="shared" si="7"/>
        <v>2988.2478632478633</v>
      </c>
      <c r="F492" s="3481">
        <v>83910</v>
      </c>
      <c r="G492" s="3482" t="s">
        <v>4159</v>
      </c>
    </row>
    <row r="493" spans="1:7">
      <c r="A493" s="3536">
        <v>492</v>
      </c>
      <c r="B493" s="3481" t="s">
        <v>8027</v>
      </c>
      <c r="C493" s="3481" t="s">
        <v>3395</v>
      </c>
      <c r="D493" s="3482">
        <v>83.44</v>
      </c>
      <c r="E493" s="3519">
        <f t="shared" si="7"/>
        <v>33315.208533077661</v>
      </c>
      <c r="F493" s="3481">
        <v>2779821</v>
      </c>
      <c r="G493" s="3482" t="s">
        <v>4072</v>
      </c>
    </row>
    <row r="494" spans="1:7">
      <c r="A494" s="3536">
        <v>493</v>
      </c>
      <c r="B494" s="3481" t="s">
        <v>8039</v>
      </c>
      <c r="C494" s="3481" t="s">
        <v>3395</v>
      </c>
      <c r="D494" s="3482">
        <v>83.82</v>
      </c>
      <c r="E494" s="3519">
        <f t="shared" si="7"/>
        <v>33315.199236459084</v>
      </c>
      <c r="F494" s="3481">
        <v>2792480</v>
      </c>
      <c r="G494" s="3482" t="s">
        <v>4084</v>
      </c>
    </row>
    <row r="495" spans="1:7">
      <c r="A495" s="3536">
        <v>494</v>
      </c>
      <c r="B495" s="3481" t="s">
        <v>8259</v>
      </c>
      <c r="C495" s="3481" t="s">
        <v>3395</v>
      </c>
      <c r="D495" s="3482">
        <v>83.44</v>
      </c>
      <c r="E495" s="3519">
        <f t="shared" si="7"/>
        <v>33292.461649089164</v>
      </c>
      <c r="F495" s="3481">
        <v>2777923</v>
      </c>
      <c r="G495" s="3482" t="s">
        <v>8260</v>
      </c>
    </row>
    <row r="496" spans="1:7">
      <c r="A496" s="3536">
        <v>495</v>
      </c>
      <c r="B496" s="3481" t="s">
        <v>8547</v>
      </c>
      <c r="C496" s="3481" t="s">
        <v>3395</v>
      </c>
      <c r="D496" s="3482">
        <v>83.82</v>
      </c>
      <c r="E496" s="3519">
        <f t="shared" si="7"/>
        <v>32887.03173466953</v>
      </c>
      <c r="F496" s="3481">
        <v>2756591</v>
      </c>
      <c r="G496" s="3482" t="s">
        <v>8548</v>
      </c>
    </row>
    <row r="497" spans="1:7">
      <c r="A497" s="3536">
        <v>496</v>
      </c>
      <c r="B497" s="3481" t="s">
        <v>8290</v>
      </c>
      <c r="C497" s="3481" t="s">
        <v>3395</v>
      </c>
      <c r="D497" s="3482">
        <v>83.44</v>
      </c>
      <c r="E497" s="3519">
        <f t="shared" si="7"/>
        <v>33292.461649089164</v>
      </c>
      <c r="F497" s="3481">
        <v>2777923</v>
      </c>
      <c r="G497" s="3482" t="s">
        <v>4232</v>
      </c>
    </row>
    <row r="498" spans="1:7">
      <c r="A498" s="3536">
        <v>497</v>
      </c>
      <c r="B498" s="3481" t="s">
        <v>8353</v>
      </c>
      <c r="C498" s="3481" t="s">
        <v>3395</v>
      </c>
      <c r="D498" s="3482">
        <v>83.82</v>
      </c>
      <c r="E498" s="3519">
        <f t="shared" si="7"/>
        <v>33628.835600095445</v>
      </c>
      <c r="F498" s="3481">
        <v>2818769</v>
      </c>
      <c r="G498" s="3482" t="s">
        <v>4274</v>
      </c>
    </row>
    <row r="499" spans="1:7">
      <c r="A499" s="3536">
        <v>498</v>
      </c>
      <c r="B499" s="3481" t="s">
        <v>8416</v>
      </c>
      <c r="C499" s="3481" t="s">
        <v>3395</v>
      </c>
      <c r="D499" s="3482">
        <v>73.67</v>
      </c>
      <c r="E499" s="3519">
        <f t="shared" si="7"/>
        <v>35226.130039364733</v>
      </c>
      <c r="F499" s="3481">
        <v>2595109</v>
      </c>
      <c r="G499" s="3482" t="s">
        <v>8417</v>
      </c>
    </row>
    <row r="500" spans="1:7">
      <c r="A500" s="3536">
        <v>499</v>
      </c>
      <c r="B500" s="3481" t="s">
        <v>8432</v>
      </c>
      <c r="C500" s="3481" t="s">
        <v>3395</v>
      </c>
      <c r="D500" s="3482">
        <v>74.13</v>
      </c>
      <c r="E500" s="3519">
        <f t="shared" si="7"/>
        <v>35941.723998381225</v>
      </c>
      <c r="F500" s="3481">
        <v>2664360</v>
      </c>
      <c r="G500" s="3482" t="s">
        <v>8433</v>
      </c>
    </row>
    <row r="501" spans="1:7">
      <c r="A501" s="3536">
        <v>500</v>
      </c>
      <c r="B501" s="3481" t="s">
        <v>7982</v>
      </c>
      <c r="C501" s="3481" t="s">
        <v>5318</v>
      </c>
      <c r="D501" s="3482">
        <v>193.76</v>
      </c>
      <c r="E501" s="3519">
        <f t="shared" si="7"/>
        <v>26064.244426094137</v>
      </c>
      <c r="F501" s="3481">
        <v>5050208</v>
      </c>
      <c r="G501" s="3482" t="s">
        <v>4040</v>
      </c>
    </row>
    <row r="502" spans="1:7">
      <c r="A502" s="3536">
        <v>501</v>
      </c>
      <c r="B502" s="3481" t="s">
        <v>4039</v>
      </c>
      <c r="C502" s="3481" t="s">
        <v>3338</v>
      </c>
      <c r="D502" s="3482">
        <v>12.54</v>
      </c>
      <c r="E502" s="3519">
        <f t="shared" si="7"/>
        <v>3000</v>
      </c>
      <c r="F502" s="3481">
        <v>37620</v>
      </c>
      <c r="G502" s="3482" t="s">
        <v>4040</v>
      </c>
    </row>
    <row r="503" spans="1:7">
      <c r="A503" s="3536">
        <v>502</v>
      </c>
      <c r="B503" s="3481" t="s">
        <v>8070</v>
      </c>
      <c r="C503" s="3481" t="s">
        <v>5305</v>
      </c>
      <c r="D503" s="3482">
        <v>73.430000000000007</v>
      </c>
      <c r="E503" s="3519">
        <f t="shared" si="7"/>
        <v>37223.709655454171</v>
      </c>
      <c r="F503" s="3481">
        <v>2733337</v>
      </c>
      <c r="G503" s="3482" t="s">
        <v>4104</v>
      </c>
    </row>
    <row r="504" spans="1:7">
      <c r="A504" s="3536">
        <v>503</v>
      </c>
      <c r="B504" s="3481" t="s">
        <v>4112</v>
      </c>
      <c r="C504" s="3481" t="s">
        <v>3338</v>
      </c>
      <c r="D504" s="3482">
        <v>98.54</v>
      </c>
      <c r="E504" s="3519">
        <f t="shared" si="7"/>
        <v>13652.019484473309</v>
      </c>
      <c r="F504" s="3481">
        <v>1345270</v>
      </c>
      <c r="G504" s="3482" t="s">
        <v>4104</v>
      </c>
    </row>
    <row r="505" spans="1:7">
      <c r="A505" s="3536">
        <v>504</v>
      </c>
      <c r="B505" s="3481" t="s">
        <v>7925</v>
      </c>
      <c r="C505" s="3481" t="s">
        <v>5318</v>
      </c>
      <c r="D505" s="3482">
        <v>192.82</v>
      </c>
      <c r="E505" s="3519">
        <f t="shared" si="7"/>
        <v>25945.648791619129</v>
      </c>
      <c r="F505" s="3481">
        <v>5002840</v>
      </c>
      <c r="G505" s="3482" t="s">
        <v>3992</v>
      </c>
    </row>
    <row r="506" spans="1:7">
      <c r="A506" s="3536">
        <v>505</v>
      </c>
      <c r="B506" s="3481" t="s">
        <v>3994</v>
      </c>
      <c r="C506" s="3481" t="s">
        <v>3338</v>
      </c>
      <c r="D506" s="3482">
        <v>12.54</v>
      </c>
      <c r="E506" s="3519">
        <f t="shared" si="7"/>
        <v>3000</v>
      </c>
      <c r="F506" s="3481">
        <v>37620</v>
      </c>
      <c r="G506" s="3482" t="s">
        <v>3992</v>
      </c>
    </row>
    <row r="507" spans="1:7">
      <c r="A507" s="3536">
        <v>506</v>
      </c>
      <c r="B507" s="3481" t="s">
        <v>4041</v>
      </c>
      <c r="C507" s="3481" t="s">
        <v>3338</v>
      </c>
      <c r="D507" s="3482">
        <v>53.69</v>
      </c>
      <c r="E507" s="3519">
        <f t="shared" si="7"/>
        <v>3001.6762898118832</v>
      </c>
      <c r="F507" s="3481">
        <v>161160</v>
      </c>
      <c r="G507" s="3482" t="s">
        <v>4040</v>
      </c>
    </row>
    <row r="508" spans="1:7">
      <c r="A508" s="3536">
        <v>507</v>
      </c>
      <c r="B508" s="3481" t="s">
        <v>4113</v>
      </c>
      <c r="C508" s="3481" t="s">
        <v>3338</v>
      </c>
      <c r="D508" s="3482">
        <v>188.39</v>
      </c>
      <c r="E508" s="3519">
        <f t="shared" si="7"/>
        <v>13649.307288072616</v>
      </c>
      <c r="F508" s="3481">
        <v>2571393</v>
      </c>
      <c r="G508" s="3482" t="s">
        <v>4104</v>
      </c>
    </row>
    <row r="509" spans="1:7">
      <c r="A509" s="3536">
        <v>508</v>
      </c>
      <c r="B509" s="3481" t="s">
        <v>3995</v>
      </c>
      <c r="C509" s="3481" t="s">
        <v>3338</v>
      </c>
      <c r="D509" s="3482">
        <v>53.15</v>
      </c>
      <c r="E509" s="3519">
        <f t="shared" si="7"/>
        <v>3001.6933207902166</v>
      </c>
      <c r="F509" s="3481">
        <v>159540</v>
      </c>
      <c r="G509" s="3482" t="s">
        <v>3992</v>
      </c>
    </row>
    <row r="510" spans="1:7">
      <c r="A510" s="3536">
        <v>509</v>
      </c>
      <c r="B510" s="3481" t="s">
        <v>8667</v>
      </c>
      <c r="C510" s="3481" t="s">
        <v>3395</v>
      </c>
      <c r="D510" s="3482">
        <v>83.92</v>
      </c>
      <c r="E510" s="3519">
        <f t="shared" si="7"/>
        <v>31538.06005719733</v>
      </c>
      <c r="F510" s="3481">
        <v>2646674</v>
      </c>
      <c r="G510" s="3482" t="s">
        <v>8666</v>
      </c>
    </row>
    <row r="511" spans="1:7">
      <c r="A511" s="3536">
        <v>510</v>
      </c>
      <c r="B511" s="3481" t="s">
        <v>7972</v>
      </c>
      <c r="C511" s="3481" t="s">
        <v>3395</v>
      </c>
      <c r="D511" s="3482">
        <v>83.54</v>
      </c>
      <c r="E511" s="3519">
        <f t="shared" si="7"/>
        <v>32942.578405554224</v>
      </c>
      <c r="F511" s="3481">
        <v>2752023</v>
      </c>
      <c r="G511" s="3482" t="s">
        <v>4031</v>
      </c>
    </row>
    <row r="512" spans="1:7">
      <c r="A512" s="3536">
        <v>511</v>
      </c>
      <c r="B512" s="3481" t="s">
        <v>8648</v>
      </c>
      <c r="C512" s="3481" t="s">
        <v>3395</v>
      </c>
      <c r="D512" s="3482">
        <v>83.92</v>
      </c>
      <c r="E512" s="3519">
        <f t="shared" si="7"/>
        <v>32513.465204957101</v>
      </c>
      <c r="F512" s="3481">
        <v>2728530</v>
      </c>
      <c r="G512" s="3482" t="s">
        <v>8645</v>
      </c>
    </row>
    <row r="513" spans="1:7">
      <c r="A513" s="3536">
        <v>512</v>
      </c>
      <c r="B513" s="3481" t="s">
        <v>8568</v>
      </c>
      <c r="C513" s="3481" t="s">
        <v>3395</v>
      </c>
      <c r="D513" s="3482">
        <v>83.54</v>
      </c>
      <c r="E513" s="3519">
        <f t="shared" si="7"/>
        <v>31880.093368446251</v>
      </c>
      <c r="F513" s="3481">
        <v>2663263</v>
      </c>
      <c r="G513" s="3482" t="s">
        <v>8567</v>
      </c>
    </row>
    <row r="514" spans="1:7">
      <c r="A514" s="3536">
        <v>513</v>
      </c>
      <c r="B514" s="3481" t="s">
        <v>8623</v>
      </c>
      <c r="C514" s="3481" t="s">
        <v>3395</v>
      </c>
      <c r="D514" s="3482">
        <v>83.92</v>
      </c>
      <c r="E514" s="3519">
        <f t="shared" si="7"/>
        <v>31538.06005719733</v>
      </c>
      <c r="F514" s="3481">
        <v>2646674</v>
      </c>
      <c r="G514" s="3482" t="s">
        <v>8620</v>
      </c>
    </row>
    <row r="515" spans="1:7">
      <c r="A515" s="3536">
        <v>514</v>
      </c>
      <c r="B515" s="3481" t="s">
        <v>8634</v>
      </c>
      <c r="C515" s="3481" t="s">
        <v>3395</v>
      </c>
      <c r="D515" s="3482">
        <v>83.54</v>
      </c>
      <c r="E515" s="3519">
        <f t="shared" ref="E515:E578" si="8">F515/D515</f>
        <v>31571.151544170454</v>
      </c>
      <c r="F515" s="3481">
        <v>2637454</v>
      </c>
      <c r="G515" s="3482" t="s">
        <v>4360</v>
      </c>
    </row>
    <row r="516" spans="1:7">
      <c r="A516" s="3536">
        <v>515</v>
      </c>
      <c r="B516" s="3481" t="s">
        <v>8582</v>
      </c>
      <c r="C516" s="3481" t="s">
        <v>3395</v>
      </c>
      <c r="D516" s="3482">
        <v>74.22</v>
      </c>
      <c r="E516" s="3519">
        <f t="shared" si="8"/>
        <v>33253.583939638913</v>
      </c>
      <c r="F516" s="3481">
        <v>2468081</v>
      </c>
      <c r="G516" s="3482" t="s">
        <v>8581</v>
      </c>
    </row>
    <row r="517" spans="1:7">
      <c r="A517" s="3536">
        <v>516</v>
      </c>
      <c r="B517" s="3481" t="s">
        <v>8572</v>
      </c>
      <c r="C517" s="3481" t="s">
        <v>3395</v>
      </c>
      <c r="D517" s="3482">
        <v>73.760000000000005</v>
      </c>
      <c r="E517" s="3519">
        <f t="shared" si="8"/>
        <v>34245.797180043381</v>
      </c>
      <c r="F517" s="3481">
        <v>2525970</v>
      </c>
      <c r="G517" s="3482" t="s">
        <v>8573</v>
      </c>
    </row>
    <row r="518" spans="1:7">
      <c r="A518" s="3536">
        <v>517</v>
      </c>
      <c r="B518" s="3481" t="s">
        <v>7931</v>
      </c>
      <c r="C518" s="3481" t="s">
        <v>5318</v>
      </c>
      <c r="D518" s="3482">
        <v>192.82</v>
      </c>
      <c r="E518" s="3519">
        <f t="shared" si="8"/>
        <v>25945.648791619129</v>
      </c>
      <c r="F518" s="3481">
        <v>5002840</v>
      </c>
      <c r="G518" s="3482" t="s">
        <v>4005</v>
      </c>
    </row>
    <row r="519" spans="1:7">
      <c r="A519" s="3536">
        <v>518</v>
      </c>
      <c r="B519" s="3481" t="s">
        <v>4004</v>
      </c>
      <c r="C519" s="3481" t="s">
        <v>3338</v>
      </c>
      <c r="D519" s="3482">
        <v>12.54</v>
      </c>
      <c r="E519" s="3519">
        <f t="shared" si="8"/>
        <v>3000</v>
      </c>
      <c r="F519" s="3481">
        <v>37620</v>
      </c>
      <c r="G519" s="3482" t="s">
        <v>4005</v>
      </c>
    </row>
    <row r="520" spans="1:7">
      <c r="A520" s="3536">
        <v>519</v>
      </c>
      <c r="B520" s="3481" t="s">
        <v>7979</v>
      </c>
      <c r="C520" s="3481" t="s">
        <v>5318</v>
      </c>
      <c r="D520" s="3482">
        <v>192.82</v>
      </c>
      <c r="E520" s="3519">
        <f t="shared" si="8"/>
        <v>25945.648791619129</v>
      </c>
      <c r="F520" s="3481">
        <v>5002840</v>
      </c>
      <c r="G520" s="3482" t="s">
        <v>4031</v>
      </c>
    </row>
    <row r="521" spans="1:7">
      <c r="A521" s="3536">
        <v>520</v>
      </c>
      <c r="B521" s="3481" t="s">
        <v>4033</v>
      </c>
      <c r="C521" s="3481" t="s">
        <v>3338</v>
      </c>
      <c r="D521" s="3482">
        <v>12.54</v>
      </c>
      <c r="E521" s="3519">
        <f t="shared" si="8"/>
        <v>3000</v>
      </c>
      <c r="F521" s="3481">
        <v>37620</v>
      </c>
      <c r="G521" s="3482" t="s">
        <v>4031</v>
      </c>
    </row>
    <row r="522" spans="1:7">
      <c r="A522" s="3536">
        <v>521</v>
      </c>
      <c r="B522" s="3481" t="s">
        <v>4006</v>
      </c>
      <c r="C522" s="3481" t="s">
        <v>3338</v>
      </c>
      <c r="D522" s="3482">
        <v>53.15</v>
      </c>
      <c r="E522" s="3519">
        <f t="shared" si="8"/>
        <v>3001.6933207902166</v>
      </c>
      <c r="F522" s="3481">
        <v>159540</v>
      </c>
      <c r="G522" s="3482" t="s">
        <v>4005</v>
      </c>
    </row>
    <row r="523" spans="1:7">
      <c r="A523" s="3536">
        <v>522</v>
      </c>
      <c r="B523" s="3481" t="s">
        <v>4034</v>
      </c>
      <c r="C523" s="3481" t="s">
        <v>3338</v>
      </c>
      <c r="D523" s="3482">
        <v>53.15</v>
      </c>
      <c r="E523" s="3519">
        <f t="shared" si="8"/>
        <v>3001.6933207902166</v>
      </c>
      <c r="F523" s="3481">
        <v>159540</v>
      </c>
      <c r="G523" s="3482" t="s">
        <v>4031</v>
      </c>
    </row>
    <row r="524" spans="1:7">
      <c r="A524" s="3536">
        <v>523</v>
      </c>
      <c r="B524" s="3481" t="s">
        <v>8649</v>
      </c>
      <c r="C524" s="3481" t="s">
        <v>3395</v>
      </c>
      <c r="D524" s="3482">
        <v>83.54</v>
      </c>
      <c r="E524" s="3519">
        <f t="shared" si="8"/>
        <v>31896.624371558533</v>
      </c>
      <c r="F524" s="3481">
        <v>2664644</v>
      </c>
      <c r="G524" s="3482" t="s">
        <v>8645</v>
      </c>
    </row>
    <row r="525" spans="1:7">
      <c r="A525" s="3536">
        <v>524</v>
      </c>
      <c r="B525" s="3481" t="s">
        <v>8142</v>
      </c>
      <c r="C525" s="3481" t="s">
        <v>3395</v>
      </c>
      <c r="D525" s="3482">
        <v>83.54</v>
      </c>
      <c r="E525" s="3519">
        <f t="shared" si="8"/>
        <v>33292.482643045245</v>
      </c>
      <c r="F525" s="3481">
        <v>2781254</v>
      </c>
      <c r="G525" s="3482" t="s">
        <v>4159</v>
      </c>
    </row>
    <row r="526" spans="1:7">
      <c r="A526" s="3536">
        <v>525</v>
      </c>
      <c r="B526" s="3481" t="s">
        <v>8590</v>
      </c>
      <c r="C526" s="3481" t="s">
        <v>3395</v>
      </c>
      <c r="D526" s="3482">
        <v>83.54</v>
      </c>
      <c r="E526" s="3519">
        <f t="shared" si="8"/>
        <v>31561.288005745748</v>
      </c>
      <c r="F526" s="3481">
        <v>2636630</v>
      </c>
      <c r="G526" s="3482" t="s">
        <v>8591</v>
      </c>
    </row>
    <row r="527" spans="1:7">
      <c r="A527" s="3536">
        <v>526</v>
      </c>
      <c r="B527" s="3481" t="s">
        <v>8584</v>
      </c>
      <c r="C527" s="3481" t="s">
        <v>3395</v>
      </c>
      <c r="D527" s="3482">
        <v>83.54</v>
      </c>
      <c r="E527" s="3519">
        <f t="shared" si="8"/>
        <v>32547.58199664831</v>
      </c>
      <c r="F527" s="3481">
        <v>2719025</v>
      </c>
      <c r="G527" s="3482" t="s">
        <v>8585</v>
      </c>
    </row>
    <row r="528" spans="1:7">
      <c r="A528" s="3536">
        <v>527</v>
      </c>
      <c r="B528" s="3481" t="s">
        <v>8609</v>
      </c>
      <c r="C528" s="3481" t="s">
        <v>3395</v>
      </c>
      <c r="D528" s="3482">
        <v>83.54</v>
      </c>
      <c r="E528" s="3519">
        <f t="shared" si="8"/>
        <v>32876.346660282499</v>
      </c>
      <c r="F528" s="3481">
        <v>2746490</v>
      </c>
      <c r="G528" s="3482" t="s">
        <v>8610</v>
      </c>
    </row>
    <row r="529" spans="1:7">
      <c r="A529" s="3536">
        <v>528</v>
      </c>
      <c r="B529" s="3481" t="s">
        <v>8650</v>
      </c>
      <c r="C529" s="3481" t="s">
        <v>3395</v>
      </c>
      <c r="D529" s="3482">
        <v>83.54</v>
      </c>
      <c r="E529" s="3519">
        <f t="shared" si="8"/>
        <v>32547.58199664831</v>
      </c>
      <c r="F529" s="3481">
        <v>2719025</v>
      </c>
      <c r="G529" s="3482" t="s">
        <v>8645</v>
      </c>
    </row>
    <row r="530" spans="1:7">
      <c r="A530" s="3536">
        <v>529</v>
      </c>
      <c r="B530" s="3481" t="s">
        <v>8253</v>
      </c>
      <c r="C530" s="3481" t="s">
        <v>3395</v>
      </c>
      <c r="D530" s="3482">
        <v>73.760000000000005</v>
      </c>
      <c r="E530" s="3519">
        <f t="shared" si="8"/>
        <v>34873.928958785247</v>
      </c>
      <c r="F530" s="3481">
        <v>2572301</v>
      </c>
      <c r="G530" s="3482" t="s">
        <v>4218</v>
      </c>
    </row>
    <row r="531" spans="1:7">
      <c r="A531" s="3536">
        <v>530</v>
      </c>
      <c r="B531" s="3481" t="s">
        <v>8254</v>
      </c>
      <c r="C531" s="3481" t="s">
        <v>3395</v>
      </c>
      <c r="D531" s="3482">
        <v>73.760000000000005</v>
      </c>
      <c r="E531" s="3519">
        <f t="shared" si="8"/>
        <v>35226.193058568329</v>
      </c>
      <c r="F531" s="3481">
        <v>2598284</v>
      </c>
      <c r="G531" s="3482" t="s">
        <v>4218</v>
      </c>
    </row>
    <row r="532" spans="1:7">
      <c r="A532" s="3536">
        <v>531</v>
      </c>
      <c r="B532" s="3481" t="s">
        <v>7926</v>
      </c>
      <c r="C532" s="3481" t="s">
        <v>5318</v>
      </c>
      <c r="D532" s="3482">
        <v>178.28</v>
      </c>
      <c r="E532" s="3519">
        <f t="shared" si="8"/>
        <v>27975.768454117118</v>
      </c>
      <c r="F532" s="3481">
        <v>4987520</v>
      </c>
      <c r="G532" s="3482" t="s">
        <v>3992</v>
      </c>
    </row>
    <row r="533" spans="1:7">
      <c r="A533" s="3536">
        <v>532</v>
      </c>
      <c r="B533" s="3481" t="s">
        <v>3996</v>
      </c>
      <c r="C533" s="3481" t="s">
        <v>3338</v>
      </c>
      <c r="D533" s="3482">
        <v>25.8</v>
      </c>
      <c r="E533" s="3519">
        <f t="shared" si="8"/>
        <v>3000</v>
      </c>
      <c r="F533" s="3481">
        <v>77400</v>
      </c>
      <c r="G533" s="3482" t="s">
        <v>3992</v>
      </c>
    </row>
    <row r="534" spans="1:7">
      <c r="A534" s="3536">
        <v>533</v>
      </c>
      <c r="B534" s="3481" t="s">
        <v>8242</v>
      </c>
      <c r="C534" s="3481" t="s">
        <v>5305</v>
      </c>
      <c r="D534" s="3482">
        <v>73.05</v>
      </c>
      <c r="E534" s="3519">
        <f t="shared" si="8"/>
        <v>37223.600273785079</v>
      </c>
      <c r="F534" s="3481">
        <v>2719184</v>
      </c>
      <c r="G534" s="3482" t="s">
        <v>4200</v>
      </c>
    </row>
    <row r="535" spans="1:7">
      <c r="A535" s="3536">
        <v>534</v>
      </c>
      <c r="B535" s="3481" t="s">
        <v>4199</v>
      </c>
      <c r="C535" s="3481" t="s">
        <v>3338</v>
      </c>
      <c r="D535" s="3482">
        <v>97.24</v>
      </c>
      <c r="E535" s="3519">
        <f t="shared" si="8"/>
        <v>13850.359934183465</v>
      </c>
      <c r="F535" s="3481">
        <v>1346809</v>
      </c>
      <c r="G535" s="3482" t="s">
        <v>4200</v>
      </c>
    </row>
    <row r="536" spans="1:7">
      <c r="A536" s="3536">
        <v>535</v>
      </c>
      <c r="B536" s="3481" t="s">
        <v>8631</v>
      </c>
      <c r="C536" s="3481" t="s">
        <v>5305</v>
      </c>
      <c r="D536" s="3482">
        <v>73.430000000000007</v>
      </c>
      <c r="E536" s="3519">
        <f t="shared" si="8"/>
        <v>37224.703799536968</v>
      </c>
      <c r="F536" s="3481">
        <v>2733410</v>
      </c>
      <c r="G536" s="3482" t="s">
        <v>4357</v>
      </c>
    </row>
    <row r="537" spans="1:7">
      <c r="A537" s="3536">
        <v>536</v>
      </c>
      <c r="B537" s="3481" t="s">
        <v>4356</v>
      </c>
      <c r="C537" s="3481" t="s">
        <v>3338</v>
      </c>
      <c r="D537" s="3482">
        <v>98.54</v>
      </c>
      <c r="E537" s="3519">
        <f t="shared" si="8"/>
        <v>13635.823016034097</v>
      </c>
      <c r="F537" s="3481">
        <v>1343674</v>
      </c>
      <c r="G537" s="3482" t="s">
        <v>4357</v>
      </c>
    </row>
    <row r="538" spans="1:7">
      <c r="A538" s="3536">
        <v>537</v>
      </c>
      <c r="B538" s="3481" t="s">
        <v>8080</v>
      </c>
      <c r="C538" s="3481" t="s">
        <v>5318</v>
      </c>
      <c r="D538" s="3482">
        <v>179.48</v>
      </c>
      <c r="E538" s="3519">
        <f t="shared" si="8"/>
        <v>28008.91464229998</v>
      </c>
      <c r="F538" s="3481">
        <v>5027040</v>
      </c>
      <c r="G538" s="3482" t="s">
        <v>4104</v>
      </c>
    </row>
    <row r="539" spans="1:7">
      <c r="A539" s="3536">
        <v>538</v>
      </c>
      <c r="B539" s="3481" t="s">
        <v>4114</v>
      </c>
      <c r="C539" s="3481" t="s">
        <v>3338</v>
      </c>
      <c r="D539" s="3482">
        <v>25.96</v>
      </c>
      <c r="E539" s="3519">
        <f t="shared" si="8"/>
        <v>3000</v>
      </c>
      <c r="F539" s="3481">
        <v>77880</v>
      </c>
      <c r="G539" s="3482" t="s">
        <v>4104</v>
      </c>
    </row>
    <row r="540" spans="1:7">
      <c r="A540" s="3536">
        <v>539</v>
      </c>
      <c r="B540" s="3481" t="s">
        <v>3997</v>
      </c>
      <c r="C540" s="3481" t="s">
        <v>3338</v>
      </c>
      <c r="D540" s="3482">
        <v>28.35</v>
      </c>
      <c r="E540" s="3519">
        <f t="shared" si="8"/>
        <v>3001.0582010582011</v>
      </c>
      <c r="F540" s="3481">
        <v>85080</v>
      </c>
      <c r="G540" s="3482" t="s">
        <v>3992</v>
      </c>
    </row>
    <row r="541" spans="1:7">
      <c r="A541" s="3536">
        <v>540</v>
      </c>
      <c r="B541" s="3481" t="s">
        <v>4201</v>
      </c>
      <c r="C541" s="3481" t="s">
        <v>3338</v>
      </c>
      <c r="D541" s="3482">
        <v>182.08</v>
      </c>
      <c r="E541" s="3519">
        <f t="shared" si="8"/>
        <v>13862.060632688926</v>
      </c>
      <c r="F541" s="3481">
        <v>2524004</v>
      </c>
      <c r="G541" s="3482" t="s">
        <v>4200</v>
      </c>
    </row>
    <row r="542" spans="1:7">
      <c r="A542" s="3536">
        <v>541</v>
      </c>
      <c r="B542" s="3481" t="s">
        <v>4358</v>
      </c>
      <c r="C542" s="3481" t="s">
        <v>3338</v>
      </c>
      <c r="D542" s="3482">
        <v>188.39</v>
      </c>
      <c r="E542" s="3519">
        <f t="shared" si="8"/>
        <v>17691.575985986517</v>
      </c>
      <c r="F542" s="3481">
        <v>3332916</v>
      </c>
      <c r="G542" s="3482" t="s">
        <v>4357</v>
      </c>
    </row>
    <row r="543" spans="1:7">
      <c r="A543" s="3536">
        <v>542</v>
      </c>
      <c r="B543" s="3481" t="s">
        <v>4115</v>
      </c>
      <c r="C543" s="3481" t="s">
        <v>3338</v>
      </c>
      <c r="D543" s="3482">
        <v>28.35</v>
      </c>
      <c r="E543" s="3519">
        <f t="shared" si="8"/>
        <v>3001.0582010582011</v>
      </c>
      <c r="F543" s="3481">
        <v>85080</v>
      </c>
      <c r="G543" s="3482" t="s">
        <v>4104</v>
      </c>
    </row>
    <row r="544" spans="1:7">
      <c r="A544" s="3536">
        <v>543</v>
      </c>
      <c r="B544" s="3481" t="s">
        <v>6933</v>
      </c>
      <c r="C544" s="3481" t="s">
        <v>3395</v>
      </c>
      <c r="D544" s="3482">
        <v>83.54</v>
      </c>
      <c r="E544" s="3519">
        <f t="shared" si="8"/>
        <v>29094.61335887</v>
      </c>
      <c r="F544" s="3481">
        <v>2430564</v>
      </c>
      <c r="G544" s="3482" t="s">
        <v>6934</v>
      </c>
    </row>
    <row r="545" spans="1:7">
      <c r="A545" s="3536">
        <v>544</v>
      </c>
      <c r="B545" s="3481" t="s">
        <v>7471</v>
      </c>
      <c r="C545" s="3481" t="s">
        <v>3395</v>
      </c>
      <c r="D545" s="3482">
        <v>83.92</v>
      </c>
      <c r="E545" s="3519">
        <f t="shared" si="8"/>
        <v>33846.782650142995</v>
      </c>
      <c r="F545" s="3481">
        <v>2840422</v>
      </c>
      <c r="G545" s="3482" t="s">
        <v>7472</v>
      </c>
    </row>
    <row r="546" spans="1:7">
      <c r="A546" s="3536">
        <v>545</v>
      </c>
      <c r="B546" s="3481" t="s">
        <v>7987</v>
      </c>
      <c r="C546" s="3481" t="s">
        <v>3395</v>
      </c>
      <c r="D546" s="3482">
        <v>83.54</v>
      </c>
      <c r="E546" s="3519">
        <f t="shared" si="8"/>
        <v>33275.329183624606</v>
      </c>
      <c r="F546" s="3481">
        <v>2779821</v>
      </c>
      <c r="G546" s="3482" t="s">
        <v>7986</v>
      </c>
    </row>
    <row r="547" spans="1:7">
      <c r="A547" s="3536">
        <v>546</v>
      </c>
      <c r="B547" s="3481" t="s">
        <v>8635</v>
      </c>
      <c r="C547" s="3481" t="s">
        <v>3395</v>
      </c>
      <c r="D547" s="3482">
        <v>83.92</v>
      </c>
      <c r="E547" s="3519">
        <f t="shared" si="8"/>
        <v>31863.191134413726</v>
      </c>
      <c r="F547" s="3481">
        <v>2673959</v>
      </c>
      <c r="G547" s="3482" t="s">
        <v>4360</v>
      </c>
    </row>
    <row r="548" spans="1:7">
      <c r="A548" s="3536">
        <v>547</v>
      </c>
      <c r="B548" s="3481" t="s">
        <v>8668</v>
      </c>
      <c r="C548" s="3481" t="s">
        <v>3395</v>
      </c>
      <c r="D548" s="3482">
        <v>83.54</v>
      </c>
      <c r="E548" s="3519">
        <f t="shared" si="8"/>
        <v>31571.151544170454</v>
      </c>
      <c r="F548" s="3481">
        <v>2637454</v>
      </c>
      <c r="G548" s="3482" t="s">
        <v>8666</v>
      </c>
    </row>
    <row r="549" spans="1:7">
      <c r="A549" s="3536">
        <v>548</v>
      </c>
      <c r="B549" s="3481" t="s">
        <v>7772</v>
      </c>
      <c r="C549" s="3481" t="s">
        <v>3395</v>
      </c>
      <c r="D549" s="3482">
        <v>83.92</v>
      </c>
      <c r="E549" s="3519">
        <f t="shared" si="8"/>
        <v>32709.723546234509</v>
      </c>
      <c r="F549" s="3481">
        <v>2745000</v>
      </c>
      <c r="G549" s="3482" t="s">
        <v>7773</v>
      </c>
    </row>
    <row r="550" spans="1:7">
      <c r="A550" s="3536">
        <v>549</v>
      </c>
      <c r="B550" s="3481" t="s">
        <v>8277</v>
      </c>
      <c r="C550" s="3481" t="s">
        <v>3395</v>
      </c>
      <c r="D550" s="3482">
        <v>73.760000000000005</v>
      </c>
      <c r="E550" s="3519">
        <f t="shared" si="8"/>
        <v>35582.022776572667</v>
      </c>
      <c r="F550" s="3481">
        <v>2624530</v>
      </c>
      <c r="G550" s="3482" t="s">
        <v>8278</v>
      </c>
    </row>
    <row r="551" spans="1:7">
      <c r="A551" s="3536">
        <v>550</v>
      </c>
      <c r="B551" s="3481" t="s">
        <v>8615</v>
      </c>
      <c r="C551" s="3481" t="s">
        <v>3395</v>
      </c>
      <c r="D551" s="3482">
        <v>74.22</v>
      </c>
      <c r="E551" s="3519">
        <f t="shared" si="8"/>
        <v>34264.1471301536</v>
      </c>
      <c r="F551" s="3481">
        <v>2543085</v>
      </c>
      <c r="G551" s="3482" t="s">
        <v>4349</v>
      </c>
    </row>
    <row r="552" spans="1:7">
      <c r="A552" s="3536">
        <v>551</v>
      </c>
      <c r="B552" s="3481" t="s">
        <v>8148</v>
      </c>
      <c r="C552" s="3481" t="s">
        <v>5318</v>
      </c>
      <c r="D552" s="3482">
        <v>169.1</v>
      </c>
      <c r="E552" s="3519">
        <f t="shared" si="8"/>
        <v>29425.842696629214</v>
      </c>
      <c r="F552" s="3481">
        <v>4975910</v>
      </c>
      <c r="G552" s="3482" t="s">
        <v>4159</v>
      </c>
    </row>
    <row r="553" spans="1:7">
      <c r="A553" s="3536">
        <v>552</v>
      </c>
      <c r="B553" s="3481" t="s">
        <v>4167</v>
      </c>
      <c r="C553" s="3481" t="s">
        <v>3338</v>
      </c>
      <c r="D553" s="3482">
        <v>12.63</v>
      </c>
      <c r="E553" s="3519">
        <f t="shared" si="8"/>
        <v>3002.3752969121138</v>
      </c>
      <c r="F553" s="3481">
        <v>37920</v>
      </c>
      <c r="G553" s="3482" t="s">
        <v>4159</v>
      </c>
    </row>
    <row r="554" spans="1:7">
      <c r="A554" s="3536">
        <v>553</v>
      </c>
      <c r="B554" s="3481" t="s">
        <v>8636</v>
      </c>
      <c r="C554" s="3481" t="s">
        <v>5305</v>
      </c>
      <c r="D554" s="3482">
        <v>73.430000000000007</v>
      </c>
      <c r="E554" s="3519">
        <f t="shared" si="8"/>
        <v>37224.703799536968</v>
      </c>
      <c r="F554" s="3481">
        <v>2733410</v>
      </c>
      <c r="G554" s="3482" t="s">
        <v>4360</v>
      </c>
    </row>
    <row r="555" spans="1:7">
      <c r="A555" s="3536">
        <v>554</v>
      </c>
      <c r="B555" s="3481" t="s">
        <v>4359</v>
      </c>
      <c r="C555" s="3481" t="s">
        <v>3338</v>
      </c>
      <c r="D555" s="3482">
        <v>99.17</v>
      </c>
      <c r="E555" s="3519">
        <f t="shared" si="8"/>
        <v>12844.20691741454</v>
      </c>
      <c r="F555" s="3481">
        <v>1273760</v>
      </c>
      <c r="G555" s="3482" t="s">
        <v>4360</v>
      </c>
    </row>
    <row r="556" spans="1:7">
      <c r="A556" s="3536">
        <v>555</v>
      </c>
      <c r="B556" s="3481" t="s">
        <v>6885</v>
      </c>
      <c r="C556" s="3481" t="s">
        <v>5318</v>
      </c>
      <c r="D556" s="3482">
        <v>192.82</v>
      </c>
      <c r="E556" s="3519">
        <f t="shared" si="8"/>
        <v>25938.647443211285</v>
      </c>
      <c r="F556" s="3481">
        <v>5001490</v>
      </c>
      <c r="G556" s="3482" t="s">
        <v>3434</v>
      </c>
    </row>
    <row r="557" spans="1:7">
      <c r="A557" s="3536">
        <v>556</v>
      </c>
      <c r="B557" s="3481" t="s">
        <v>3433</v>
      </c>
      <c r="C557" s="3481" t="s">
        <v>3338</v>
      </c>
      <c r="D557" s="3482">
        <v>12.63</v>
      </c>
      <c r="E557" s="3519">
        <f t="shared" si="8"/>
        <v>3002.3752969121138</v>
      </c>
      <c r="F557" s="3481">
        <v>37920</v>
      </c>
      <c r="G557" s="3482" t="s">
        <v>3434</v>
      </c>
    </row>
    <row r="558" spans="1:7">
      <c r="A558" s="3536">
        <v>557</v>
      </c>
      <c r="B558" s="3481" t="s">
        <v>4168</v>
      </c>
      <c r="C558" s="3481" t="s">
        <v>3338</v>
      </c>
      <c r="D558" s="3482">
        <v>45.38</v>
      </c>
      <c r="E558" s="3519">
        <f t="shared" si="8"/>
        <v>3000.6610841780516</v>
      </c>
      <c r="F558" s="3481">
        <v>136170</v>
      </c>
      <c r="G558" s="3482" t="s">
        <v>4159</v>
      </c>
    </row>
    <row r="559" spans="1:7">
      <c r="A559" s="3536">
        <v>558</v>
      </c>
      <c r="B559" s="3481" t="s">
        <v>4361</v>
      </c>
      <c r="C559" s="3481" t="s">
        <v>3338</v>
      </c>
      <c r="D559" s="3482">
        <v>189.63</v>
      </c>
      <c r="E559" s="3519">
        <f t="shared" si="8"/>
        <v>17680.894373253177</v>
      </c>
      <c r="F559" s="3481">
        <v>3352828</v>
      </c>
      <c r="G559" s="3482" t="s">
        <v>4360</v>
      </c>
    </row>
    <row r="560" spans="1:7">
      <c r="A560" s="3536">
        <v>559</v>
      </c>
      <c r="B560" s="3481" t="s">
        <v>3435</v>
      </c>
      <c r="C560" s="3481" t="s">
        <v>3338</v>
      </c>
      <c r="D560" s="3482">
        <v>53.49</v>
      </c>
      <c r="E560" s="3519">
        <f t="shared" si="8"/>
        <v>3002.2434099831744</v>
      </c>
      <c r="F560" s="3481">
        <v>160590</v>
      </c>
      <c r="G560" s="3482" t="s">
        <v>3434</v>
      </c>
    </row>
    <row r="561" spans="1:7">
      <c r="A561" s="3536">
        <v>560</v>
      </c>
      <c r="B561" s="3481" t="s">
        <v>8600</v>
      </c>
      <c r="C561" s="3481" t="s">
        <v>3395</v>
      </c>
      <c r="D561" s="3482">
        <v>83.92</v>
      </c>
      <c r="E561" s="3519">
        <f t="shared" si="8"/>
        <v>32185.045281220209</v>
      </c>
      <c r="F561" s="3481">
        <v>2700969</v>
      </c>
      <c r="G561" s="3482" t="s">
        <v>8598</v>
      </c>
    </row>
    <row r="562" spans="1:7">
      <c r="A562" s="3536">
        <v>561</v>
      </c>
      <c r="B562" s="3481" t="s">
        <v>7973</v>
      </c>
      <c r="C562" s="3481" t="s">
        <v>3395</v>
      </c>
      <c r="D562" s="3482">
        <v>83.54</v>
      </c>
      <c r="E562" s="3519">
        <f t="shared" si="8"/>
        <v>32942.578405554224</v>
      </c>
      <c r="F562" s="3481">
        <v>2752023</v>
      </c>
      <c r="G562" s="3482" t="s">
        <v>4031</v>
      </c>
    </row>
    <row r="563" spans="1:7">
      <c r="A563" s="3536">
        <v>562</v>
      </c>
      <c r="B563" s="3481" t="s">
        <v>8616</v>
      </c>
      <c r="C563" s="3481" t="s">
        <v>3395</v>
      </c>
      <c r="D563" s="3482">
        <v>83.92</v>
      </c>
      <c r="E563" s="3519">
        <f t="shared" si="8"/>
        <v>32841.885128693997</v>
      </c>
      <c r="F563" s="3481">
        <v>2756091</v>
      </c>
      <c r="G563" s="3482" t="s">
        <v>4349</v>
      </c>
    </row>
    <row r="564" spans="1:7">
      <c r="A564" s="3536">
        <v>563</v>
      </c>
      <c r="B564" s="3481" t="s">
        <v>7974</v>
      </c>
      <c r="C564" s="3481" t="s">
        <v>3395</v>
      </c>
      <c r="D564" s="3482">
        <v>83.54</v>
      </c>
      <c r="E564" s="3519">
        <f t="shared" si="8"/>
        <v>33275.329183624606</v>
      </c>
      <c r="F564" s="3481">
        <v>2779821</v>
      </c>
      <c r="G564" s="3482" t="s">
        <v>4031</v>
      </c>
    </row>
    <row r="565" spans="1:7">
      <c r="A565" s="3536">
        <v>564</v>
      </c>
      <c r="B565" s="3481" t="s">
        <v>8663</v>
      </c>
      <c r="C565" s="3481" t="s">
        <v>3395</v>
      </c>
      <c r="D565" s="3482">
        <v>83.92</v>
      </c>
      <c r="E565" s="3519">
        <f t="shared" si="8"/>
        <v>31863.191134413726</v>
      </c>
      <c r="F565" s="3481">
        <v>2673959</v>
      </c>
      <c r="G565" s="3482" t="s">
        <v>8658</v>
      </c>
    </row>
    <row r="566" spans="1:7">
      <c r="A566" s="3536">
        <v>565</v>
      </c>
      <c r="B566" s="3481" t="s">
        <v>8617</v>
      </c>
      <c r="C566" s="3481" t="s">
        <v>3395</v>
      </c>
      <c r="D566" s="3482">
        <v>83.54</v>
      </c>
      <c r="E566" s="3519">
        <f t="shared" si="8"/>
        <v>31896.624371558533</v>
      </c>
      <c r="F566" s="3481">
        <v>2664644</v>
      </c>
      <c r="G566" s="3482" t="s">
        <v>4349</v>
      </c>
    </row>
    <row r="567" spans="1:7">
      <c r="A567" s="3536">
        <v>566</v>
      </c>
      <c r="B567" s="3481" t="s">
        <v>8321</v>
      </c>
      <c r="C567" s="3481" t="s">
        <v>3395</v>
      </c>
      <c r="D567" s="3482">
        <v>74.22</v>
      </c>
      <c r="E567" s="3519">
        <f t="shared" si="8"/>
        <v>34863.54082457559</v>
      </c>
      <c r="F567" s="3481">
        <v>2587572</v>
      </c>
      <c r="G567" s="3482" t="s">
        <v>8322</v>
      </c>
    </row>
    <row r="568" spans="1:7">
      <c r="A568" s="3536">
        <v>567</v>
      </c>
      <c r="B568" s="3481" t="s">
        <v>8602</v>
      </c>
      <c r="C568" s="3481" t="s">
        <v>3395</v>
      </c>
      <c r="D568" s="3482">
        <v>73.760000000000005</v>
      </c>
      <c r="E568" s="3519">
        <f t="shared" si="8"/>
        <v>33560.886659436008</v>
      </c>
      <c r="F568" s="3481">
        <v>2475451</v>
      </c>
      <c r="G568" s="3482" t="s">
        <v>8603</v>
      </c>
    </row>
    <row r="569" spans="1:7">
      <c r="A569" s="3536">
        <v>568</v>
      </c>
      <c r="B569" s="3481" t="s">
        <v>7980</v>
      </c>
      <c r="C569" s="3481" t="s">
        <v>5318</v>
      </c>
      <c r="D569" s="3482">
        <v>192.82</v>
      </c>
      <c r="E569" s="3519">
        <f t="shared" si="8"/>
        <v>25938.647443211285</v>
      </c>
      <c r="F569" s="3481">
        <v>5001490</v>
      </c>
      <c r="G569" s="3482" t="s">
        <v>4031</v>
      </c>
    </row>
    <row r="570" spans="1:7">
      <c r="A570" s="3536">
        <v>569</v>
      </c>
      <c r="B570" s="3481" t="s">
        <v>4035</v>
      </c>
      <c r="C570" s="3481" t="s">
        <v>3338</v>
      </c>
      <c r="D570" s="3482">
        <v>12.63</v>
      </c>
      <c r="E570" s="3519">
        <f t="shared" si="8"/>
        <v>3002.3752969121138</v>
      </c>
      <c r="F570" s="3481">
        <v>37920</v>
      </c>
      <c r="G570" s="3482" t="s">
        <v>4031</v>
      </c>
    </row>
    <row r="571" spans="1:7">
      <c r="A571" s="3536">
        <v>570</v>
      </c>
      <c r="B571" s="3481" t="s">
        <v>7927</v>
      </c>
      <c r="C571" s="3481" t="s">
        <v>5318</v>
      </c>
      <c r="D571" s="3482">
        <v>192.82</v>
      </c>
      <c r="E571" s="3519">
        <f t="shared" si="8"/>
        <v>24745.819935691321</v>
      </c>
      <c r="F571" s="3481">
        <v>4771489</v>
      </c>
      <c r="G571" s="3482" t="s">
        <v>3992</v>
      </c>
    </row>
    <row r="572" spans="1:7">
      <c r="A572" s="3536">
        <v>571</v>
      </c>
      <c r="B572" s="3481" t="s">
        <v>3998</v>
      </c>
      <c r="C572" s="3481" t="s">
        <v>3338</v>
      </c>
      <c r="D572" s="3482">
        <v>12.63</v>
      </c>
      <c r="E572" s="3519">
        <f t="shared" si="8"/>
        <v>3002.3752969121138</v>
      </c>
      <c r="F572" s="3481">
        <v>37920</v>
      </c>
      <c r="G572" s="3482" t="s">
        <v>3992</v>
      </c>
    </row>
    <row r="573" spans="1:7">
      <c r="A573" s="3536">
        <v>572</v>
      </c>
      <c r="B573" s="3481" t="s">
        <v>4036</v>
      </c>
      <c r="C573" s="3481" t="s">
        <v>3338</v>
      </c>
      <c r="D573" s="3482">
        <v>53.49</v>
      </c>
      <c r="E573" s="3519">
        <f t="shared" si="8"/>
        <v>3002.2434099831744</v>
      </c>
      <c r="F573" s="3481">
        <v>160590</v>
      </c>
      <c r="G573" s="3482" t="s">
        <v>4031</v>
      </c>
    </row>
    <row r="574" spans="1:7">
      <c r="A574" s="3536">
        <v>573</v>
      </c>
      <c r="B574" s="3481" t="s">
        <v>3999</v>
      </c>
      <c r="C574" s="3481" t="s">
        <v>3338</v>
      </c>
      <c r="D574" s="3482">
        <v>53.49</v>
      </c>
      <c r="E574" s="3519">
        <f t="shared" si="8"/>
        <v>3002.2434099831744</v>
      </c>
      <c r="F574" s="3481">
        <v>160590</v>
      </c>
      <c r="G574" s="3482" t="s">
        <v>3992</v>
      </c>
    </row>
    <row r="575" spans="1:7">
      <c r="A575" s="3536">
        <v>574</v>
      </c>
      <c r="B575" s="3481" t="s">
        <v>7981</v>
      </c>
      <c r="C575" s="3481" t="s">
        <v>3395</v>
      </c>
      <c r="D575" s="3482">
        <v>83.54</v>
      </c>
      <c r="E575" s="3519">
        <f t="shared" si="8"/>
        <v>33611.443619822836</v>
      </c>
      <c r="F575" s="3481">
        <v>2807900</v>
      </c>
      <c r="G575" s="3482" t="s">
        <v>4040</v>
      </c>
    </row>
    <row r="576" spans="1:7">
      <c r="A576" s="3536">
        <v>575</v>
      </c>
      <c r="B576" s="3481" t="s">
        <v>7975</v>
      </c>
      <c r="C576" s="3481" t="s">
        <v>3395</v>
      </c>
      <c r="D576" s="3482">
        <v>83.54</v>
      </c>
      <c r="E576" s="3519">
        <f t="shared" si="8"/>
        <v>32942.578405554224</v>
      </c>
      <c r="F576" s="3481">
        <v>2752023</v>
      </c>
      <c r="G576" s="3482" t="s">
        <v>4031</v>
      </c>
    </row>
    <row r="577" spans="1:7">
      <c r="A577" s="3536">
        <v>576</v>
      </c>
      <c r="B577" s="3481" t="s">
        <v>7948</v>
      </c>
      <c r="C577" s="3481" t="s">
        <v>3395</v>
      </c>
      <c r="D577" s="3482">
        <v>83.54</v>
      </c>
      <c r="E577" s="3519">
        <f t="shared" si="8"/>
        <v>33611.180272923149</v>
      </c>
      <c r="F577" s="3481">
        <v>2807878</v>
      </c>
      <c r="G577" s="3482" t="s">
        <v>7949</v>
      </c>
    </row>
    <row r="578" spans="1:7">
      <c r="A578" s="3536">
        <v>577</v>
      </c>
      <c r="B578" s="3481" t="s">
        <v>7861</v>
      </c>
      <c r="C578" s="3481" t="s">
        <v>3395</v>
      </c>
      <c r="D578" s="3482">
        <v>83.54</v>
      </c>
      <c r="E578" s="3519">
        <f t="shared" si="8"/>
        <v>33611.180272923149</v>
      </c>
      <c r="F578" s="3481">
        <v>2807878</v>
      </c>
      <c r="G578" s="3482" t="s">
        <v>7860</v>
      </c>
    </row>
    <row r="579" spans="1:7">
      <c r="A579" s="3536">
        <v>578</v>
      </c>
      <c r="B579" s="3481" t="s">
        <v>8637</v>
      </c>
      <c r="C579" s="3481" t="s">
        <v>3395</v>
      </c>
      <c r="D579" s="3482">
        <v>83.54</v>
      </c>
      <c r="E579" s="3519">
        <f t="shared" ref="E579:E642" si="9">F579/D579</f>
        <v>32222.109169260231</v>
      </c>
      <c r="F579" s="3481">
        <v>2691835</v>
      </c>
      <c r="G579" s="3482" t="s">
        <v>4360</v>
      </c>
    </row>
    <row r="580" spans="1:7">
      <c r="A580" s="3536">
        <v>579</v>
      </c>
      <c r="B580" s="3481" t="s">
        <v>8624</v>
      </c>
      <c r="C580" s="3481" t="s">
        <v>3395</v>
      </c>
      <c r="D580" s="3482">
        <v>83.54</v>
      </c>
      <c r="E580" s="3519">
        <f t="shared" si="9"/>
        <v>31896.624371558533</v>
      </c>
      <c r="F580" s="3481">
        <v>2664644</v>
      </c>
      <c r="G580" s="3482" t="s">
        <v>8620</v>
      </c>
    </row>
    <row r="581" spans="1:7">
      <c r="A581" s="3536">
        <v>580</v>
      </c>
      <c r="B581" s="3481" t="s">
        <v>8574</v>
      </c>
      <c r="C581" s="3481" t="s">
        <v>3395</v>
      </c>
      <c r="D581" s="3482">
        <v>73.760000000000005</v>
      </c>
      <c r="E581" s="3519">
        <f t="shared" si="9"/>
        <v>35661.564533622557</v>
      </c>
      <c r="F581" s="3481">
        <v>2630397</v>
      </c>
      <c r="G581" s="3482" t="s">
        <v>8573</v>
      </c>
    </row>
    <row r="582" spans="1:7">
      <c r="A582" s="3536">
        <v>581</v>
      </c>
      <c r="B582" s="3481" t="s">
        <v>8555</v>
      </c>
      <c r="C582" s="3481" t="s">
        <v>3395</v>
      </c>
      <c r="D582" s="3482">
        <v>73.760000000000005</v>
      </c>
      <c r="E582" s="3519">
        <f t="shared" si="9"/>
        <v>35672.708785249459</v>
      </c>
      <c r="F582" s="3481">
        <v>2631219</v>
      </c>
      <c r="G582" s="3482" t="s">
        <v>8553</v>
      </c>
    </row>
    <row r="583" spans="1:7">
      <c r="A583" s="3536">
        <v>582</v>
      </c>
      <c r="B583" s="3481" t="s">
        <v>7822</v>
      </c>
      <c r="C583" s="3481" t="s">
        <v>5318</v>
      </c>
      <c r="D583" s="3482">
        <v>178.28</v>
      </c>
      <c r="E583" s="3519">
        <f t="shared" si="9"/>
        <v>27691.103881534666</v>
      </c>
      <c r="F583" s="3481">
        <v>4936770</v>
      </c>
      <c r="G583" s="3482" t="s">
        <v>7821</v>
      </c>
    </row>
    <row r="584" spans="1:7">
      <c r="A584" s="3536">
        <v>583</v>
      </c>
      <c r="B584" s="3481" t="s">
        <v>3974</v>
      </c>
      <c r="C584" s="3481" t="s">
        <v>3338</v>
      </c>
      <c r="D584" s="3482">
        <v>25.89</v>
      </c>
      <c r="E584" s="3519">
        <f t="shared" si="9"/>
        <v>3000</v>
      </c>
      <c r="F584" s="3481">
        <v>77670</v>
      </c>
      <c r="G584" s="3482" t="s">
        <v>3968</v>
      </c>
    </row>
    <row r="585" spans="1:7">
      <c r="A585" s="3536">
        <v>584</v>
      </c>
      <c r="B585" s="3481" t="s">
        <v>6888</v>
      </c>
      <c r="C585" s="3481" t="s">
        <v>5305</v>
      </c>
      <c r="D585" s="3482">
        <v>73.430000000000007</v>
      </c>
      <c r="E585" s="3519">
        <f t="shared" si="9"/>
        <v>36769.712651504829</v>
      </c>
      <c r="F585" s="3481">
        <v>2700000</v>
      </c>
      <c r="G585" s="3482" t="s">
        <v>3437</v>
      </c>
    </row>
    <row r="586" spans="1:7">
      <c r="A586" s="3536">
        <v>585</v>
      </c>
      <c r="B586" s="3481" t="s">
        <v>3436</v>
      </c>
      <c r="C586" s="3481" t="s">
        <v>3338</v>
      </c>
      <c r="D586" s="3482">
        <v>99.17</v>
      </c>
      <c r="E586" s="3519">
        <f t="shared" si="9"/>
        <v>11092.064132298074</v>
      </c>
      <c r="F586" s="3481">
        <v>1100000</v>
      </c>
      <c r="G586" s="3482" t="s">
        <v>3437</v>
      </c>
    </row>
    <row r="587" spans="1:7">
      <c r="A587" s="3536">
        <v>586</v>
      </c>
      <c r="B587" s="3481" t="s">
        <v>7992</v>
      </c>
      <c r="C587" s="3481" t="s">
        <v>5318</v>
      </c>
      <c r="D587" s="3482">
        <v>179.48</v>
      </c>
      <c r="E587" s="3519">
        <f t="shared" si="9"/>
        <v>28617.617561845331</v>
      </c>
      <c r="F587" s="3481">
        <v>5136290</v>
      </c>
      <c r="G587" s="3482" t="s">
        <v>4049</v>
      </c>
    </row>
    <row r="588" spans="1:7">
      <c r="A588" s="3536">
        <v>587</v>
      </c>
      <c r="B588" s="3481" t="s">
        <v>4048</v>
      </c>
      <c r="C588" s="3481" t="s">
        <v>3338</v>
      </c>
      <c r="D588" s="3482">
        <v>26.05</v>
      </c>
      <c r="E588" s="3519">
        <f t="shared" si="9"/>
        <v>3000</v>
      </c>
      <c r="F588" s="3481">
        <v>78150</v>
      </c>
      <c r="G588" s="3482" t="s">
        <v>4049</v>
      </c>
    </row>
    <row r="589" spans="1:7">
      <c r="A589" s="3536">
        <v>588</v>
      </c>
      <c r="B589" s="3481" t="s">
        <v>3975</v>
      </c>
      <c r="C589" s="3481" t="s">
        <v>3338</v>
      </c>
      <c r="D589" s="3482">
        <v>28.52</v>
      </c>
      <c r="E589" s="3519">
        <f t="shared" si="9"/>
        <v>3000</v>
      </c>
      <c r="F589" s="3481">
        <v>85560</v>
      </c>
      <c r="G589" s="3482" t="s">
        <v>3968</v>
      </c>
    </row>
    <row r="590" spans="1:7">
      <c r="A590" s="3536">
        <v>589</v>
      </c>
      <c r="B590" s="3481" t="s">
        <v>3438</v>
      </c>
      <c r="C590" s="3481" t="s">
        <v>3338</v>
      </c>
      <c r="D590" s="3482">
        <v>189.63</v>
      </c>
      <c r="E590" s="3519">
        <f t="shared" si="9"/>
        <v>11074.197120708748</v>
      </c>
      <c r="F590" s="3481">
        <v>2100000</v>
      </c>
      <c r="G590" s="3482" t="s">
        <v>3437</v>
      </c>
    </row>
    <row r="591" spans="1:7">
      <c r="A591" s="3536">
        <v>590</v>
      </c>
      <c r="B591" s="3481" t="s">
        <v>4050</v>
      </c>
      <c r="C591" s="3481" t="s">
        <v>3338</v>
      </c>
      <c r="D591" s="3482">
        <v>28.52</v>
      </c>
      <c r="E591" s="3519">
        <f t="shared" si="9"/>
        <v>3000</v>
      </c>
      <c r="F591" s="3481">
        <v>85560</v>
      </c>
      <c r="G591" s="3482" t="s">
        <v>4049</v>
      </c>
    </row>
    <row r="592" spans="1:7">
      <c r="A592" s="3536">
        <v>591</v>
      </c>
      <c r="B592" s="3481" t="s">
        <v>7976</v>
      </c>
      <c r="C592" s="3481" t="s">
        <v>3395</v>
      </c>
      <c r="D592" s="3482">
        <v>83.54</v>
      </c>
      <c r="E592" s="3519">
        <f t="shared" si="9"/>
        <v>33275.329183624606</v>
      </c>
      <c r="F592" s="3481">
        <v>2779821</v>
      </c>
      <c r="G592" s="3482" t="s">
        <v>4031</v>
      </c>
    </row>
    <row r="593" spans="1:7">
      <c r="A593" s="3536">
        <v>592</v>
      </c>
      <c r="B593" s="3481" t="s">
        <v>7957</v>
      </c>
      <c r="C593" s="3481" t="s">
        <v>3395</v>
      </c>
      <c r="D593" s="3482">
        <v>83.92</v>
      </c>
      <c r="E593" s="3519">
        <f t="shared" si="9"/>
        <v>33124.654432793133</v>
      </c>
      <c r="F593" s="3481">
        <v>2779821</v>
      </c>
      <c r="G593" s="3482" t="s">
        <v>4022</v>
      </c>
    </row>
    <row r="594" spans="1:7">
      <c r="A594" s="3536">
        <v>593</v>
      </c>
      <c r="B594" s="3481" t="s">
        <v>7950</v>
      </c>
      <c r="C594" s="3481" t="s">
        <v>3395</v>
      </c>
      <c r="D594" s="3482">
        <v>83.54</v>
      </c>
      <c r="E594" s="3519">
        <f t="shared" si="9"/>
        <v>33611.180272923149</v>
      </c>
      <c r="F594" s="3481">
        <v>2807878</v>
      </c>
      <c r="G594" s="3482" t="s">
        <v>7951</v>
      </c>
    </row>
    <row r="595" spans="1:7">
      <c r="A595" s="3536">
        <v>594</v>
      </c>
      <c r="B595" s="3481" t="s">
        <v>8592</v>
      </c>
      <c r="C595" s="3481" t="s">
        <v>3395</v>
      </c>
      <c r="D595" s="3482">
        <v>83.92</v>
      </c>
      <c r="E595" s="3519">
        <f t="shared" si="9"/>
        <v>32841.885128693997</v>
      </c>
      <c r="F595" s="3481">
        <v>2756091</v>
      </c>
      <c r="G595" s="3482" t="s">
        <v>8593</v>
      </c>
    </row>
    <row r="596" spans="1:7">
      <c r="A596" s="3536">
        <v>595</v>
      </c>
      <c r="B596" s="3481" t="s">
        <v>8654</v>
      </c>
      <c r="C596" s="3481" t="s">
        <v>3395</v>
      </c>
      <c r="D596" s="3482">
        <v>83.54</v>
      </c>
      <c r="E596" s="3519">
        <f t="shared" si="9"/>
        <v>31896.624371558533</v>
      </c>
      <c r="F596" s="3481">
        <v>2664644</v>
      </c>
      <c r="G596" s="3482" t="s">
        <v>4363</v>
      </c>
    </row>
    <row r="597" spans="1:7">
      <c r="A597" s="3536">
        <v>596</v>
      </c>
      <c r="B597" s="3481" t="s">
        <v>8594</v>
      </c>
      <c r="C597" s="3481" t="s">
        <v>3395</v>
      </c>
      <c r="D597" s="3482">
        <v>83.92</v>
      </c>
      <c r="E597" s="3519">
        <f t="shared" si="9"/>
        <v>32841.885128693997</v>
      </c>
      <c r="F597" s="3481">
        <v>2756091</v>
      </c>
      <c r="G597" s="3482" t="s">
        <v>8595</v>
      </c>
    </row>
    <row r="598" spans="1:7">
      <c r="A598" s="3536">
        <v>597</v>
      </c>
      <c r="B598" s="3481" t="s">
        <v>8230</v>
      </c>
      <c r="C598" s="3481" t="s">
        <v>3395</v>
      </c>
      <c r="D598" s="3482">
        <v>73.760000000000005</v>
      </c>
      <c r="E598" s="3519">
        <f t="shared" si="9"/>
        <v>35226.193058568329</v>
      </c>
      <c r="F598" s="3481">
        <v>2598284</v>
      </c>
      <c r="G598" s="3482" t="s">
        <v>4197</v>
      </c>
    </row>
    <row r="599" spans="1:7">
      <c r="A599" s="3536">
        <v>598</v>
      </c>
      <c r="B599" s="3481" t="s">
        <v>8240</v>
      </c>
      <c r="C599" s="3481" t="s">
        <v>3395</v>
      </c>
      <c r="D599" s="3482">
        <v>74.22</v>
      </c>
      <c r="E599" s="3519">
        <f t="shared" si="9"/>
        <v>34863.54082457559</v>
      </c>
      <c r="F599" s="3481">
        <v>2587572</v>
      </c>
      <c r="G599" s="3482" t="s">
        <v>8236</v>
      </c>
    </row>
    <row r="600" spans="1:7">
      <c r="A600" s="3536">
        <v>599</v>
      </c>
      <c r="B600" s="3481" t="s">
        <v>7837</v>
      </c>
      <c r="C600" s="3481" t="s">
        <v>5318</v>
      </c>
      <c r="D600" s="3482">
        <v>189.98</v>
      </c>
      <c r="E600" s="3519">
        <f t="shared" si="9"/>
        <v>26063.690914833143</v>
      </c>
      <c r="F600" s="3481">
        <v>4951580</v>
      </c>
      <c r="G600" s="3482" t="s">
        <v>3946</v>
      </c>
    </row>
    <row r="601" spans="1:7">
      <c r="A601" s="3536">
        <v>600</v>
      </c>
      <c r="B601" s="3481" t="s">
        <v>3945</v>
      </c>
      <c r="C601" s="3481" t="s">
        <v>3338</v>
      </c>
      <c r="D601" s="3482">
        <v>12.52</v>
      </c>
      <c r="E601" s="3519">
        <f t="shared" si="9"/>
        <v>3000</v>
      </c>
      <c r="F601" s="3481">
        <v>37560</v>
      </c>
      <c r="G601" s="3482" t="s">
        <v>3946</v>
      </c>
    </row>
    <row r="602" spans="1:7">
      <c r="A602" s="3536">
        <v>601</v>
      </c>
      <c r="B602" s="3481" t="s">
        <v>7838</v>
      </c>
      <c r="C602" s="3481" t="s">
        <v>5318</v>
      </c>
      <c r="D602" s="3482">
        <v>189.07</v>
      </c>
      <c r="E602" s="3519">
        <f t="shared" si="9"/>
        <v>26462.156873115779</v>
      </c>
      <c r="F602" s="3481">
        <v>5003200</v>
      </c>
      <c r="G602" s="3482" t="s">
        <v>3946</v>
      </c>
    </row>
    <row r="603" spans="1:7">
      <c r="A603" s="3536">
        <v>602</v>
      </c>
      <c r="B603" s="3481" t="s">
        <v>3947</v>
      </c>
      <c r="C603" s="3481" t="s">
        <v>3338</v>
      </c>
      <c r="D603" s="3482">
        <v>12.52</v>
      </c>
      <c r="E603" s="3519">
        <f t="shared" si="9"/>
        <v>3000</v>
      </c>
      <c r="F603" s="3481">
        <v>37560</v>
      </c>
      <c r="G603" s="3482" t="s">
        <v>3946</v>
      </c>
    </row>
    <row r="604" spans="1:7">
      <c r="A604" s="3536">
        <v>603</v>
      </c>
      <c r="B604" s="3481" t="s">
        <v>3948</v>
      </c>
      <c r="C604" s="3481" t="s">
        <v>3338</v>
      </c>
      <c r="D604" s="3482">
        <v>53.59</v>
      </c>
      <c r="E604" s="3519">
        <f t="shared" si="9"/>
        <v>3001.6794178018285</v>
      </c>
      <c r="F604" s="3481">
        <v>160860</v>
      </c>
      <c r="G604" s="3482" t="s">
        <v>3946</v>
      </c>
    </row>
    <row r="605" spans="1:7">
      <c r="A605" s="3536">
        <v>604</v>
      </c>
      <c r="B605" s="3481" t="s">
        <v>3949</v>
      </c>
      <c r="C605" s="3481" t="s">
        <v>3338</v>
      </c>
      <c r="D605" s="3482">
        <v>53.05</v>
      </c>
      <c r="E605" s="3519">
        <f t="shared" si="9"/>
        <v>3001.6965127238454</v>
      </c>
      <c r="F605" s="3481">
        <v>159240</v>
      </c>
      <c r="G605" s="3482" t="s">
        <v>3946</v>
      </c>
    </row>
    <row r="606" spans="1:7">
      <c r="A606" s="3536">
        <v>605</v>
      </c>
      <c r="B606" s="3481" t="s">
        <v>7850</v>
      </c>
      <c r="C606" s="3481" t="s">
        <v>3395</v>
      </c>
      <c r="D606" s="3482">
        <v>83.92</v>
      </c>
      <c r="E606" s="3519">
        <f t="shared" si="9"/>
        <v>33225.488560533842</v>
      </c>
      <c r="F606" s="3481">
        <v>2788283</v>
      </c>
      <c r="G606" s="3482" t="s">
        <v>7849</v>
      </c>
    </row>
    <row r="607" spans="1:7">
      <c r="A607" s="3536">
        <v>606</v>
      </c>
      <c r="B607" s="3481" t="s">
        <v>8483</v>
      </c>
      <c r="C607" s="3481" t="s">
        <v>3395</v>
      </c>
      <c r="D607" s="3482">
        <v>83.54</v>
      </c>
      <c r="E607" s="3519">
        <f t="shared" si="9"/>
        <v>32966.566914053146</v>
      </c>
      <c r="F607" s="3481">
        <v>2754027</v>
      </c>
      <c r="G607" s="3482" t="s">
        <v>8484</v>
      </c>
    </row>
    <row r="608" spans="1:7">
      <c r="A608" s="3536">
        <v>607</v>
      </c>
      <c r="B608" s="3481" t="s">
        <v>7844</v>
      </c>
      <c r="C608" s="3481" t="s">
        <v>3395</v>
      </c>
      <c r="D608" s="3482">
        <v>83.92</v>
      </c>
      <c r="E608" s="3519">
        <f t="shared" si="9"/>
        <v>32939.311248808386</v>
      </c>
      <c r="F608" s="3481">
        <v>2764267</v>
      </c>
      <c r="G608" s="3482" t="s">
        <v>7845</v>
      </c>
    </row>
    <row r="609" spans="1:7">
      <c r="A609" s="3536">
        <v>608</v>
      </c>
      <c r="B609" s="3481" t="s">
        <v>7478</v>
      </c>
      <c r="C609" s="3481" t="s">
        <v>3395</v>
      </c>
      <c r="D609" s="3482">
        <v>83.54</v>
      </c>
      <c r="E609" s="3519">
        <f t="shared" si="9"/>
        <v>32876.346660282499</v>
      </c>
      <c r="F609" s="3481">
        <v>2746490</v>
      </c>
      <c r="G609" s="3482" t="s">
        <v>7479</v>
      </c>
    </row>
    <row r="610" spans="1:7">
      <c r="A610" s="3536">
        <v>609</v>
      </c>
      <c r="B610" s="3481" t="s">
        <v>7835</v>
      </c>
      <c r="C610" s="3481" t="s">
        <v>3395</v>
      </c>
      <c r="D610" s="3482">
        <v>83.92</v>
      </c>
      <c r="E610" s="3519">
        <f t="shared" si="9"/>
        <v>33205.755481410866</v>
      </c>
      <c r="F610" s="3481">
        <v>2786627</v>
      </c>
      <c r="G610" s="3482" t="s">
        <v>3946</v>
      </c>
    </row>
    <row r="611" spans="1:7">
      <c r="A611" s="3536">
        <v>610</v>
      </c>
      <c r="B611" s="3481" t="s">
        <v>8528</v>
      </c>
      <c r="C611" s="3481" t="s">
        <v>3395</v>
      </c>
      <c r="D611" s="3482">
        <v>83.54</v>
      </c>
      <c r="E611" s="3519">
        <f t="shared" si="9"/>
        <v>32779.411060569786</v>
      </c>
      <c r="F611" s="3481">
        <v>2738392</v>
      </c>
      <c r="G611" s="3482" t="s">
        <v>8529</v>
      </c>
    </row>
    <row r="612" spans="1:7">
      <c r="A612" s="3536">
        <v>611</v>
      </c>
      <c r="B612" s="3481" t="s">
        <v>8438</v>
      </c>
      <c r="C612" s="3481" t="s">
        <v>3395</v>
      </c>
      <c r="D612" s="3482">
        <v>74.22</v>
      </c>
      <c r="E612" s="3519">
        <f t="shared" si="9"/>
        <v>33979.924548639181</v>
      </c>
      <c r="F612" s="3481">
        <v>2521990</v>
      </c>
      <c r="G612" s="3482" t="s">
        <v>4320</v>
      </c>
    </row>
    <row r="613" spans="1:7">
      <c r="A613" s="3536">
        <v>612</v>
      </c>
      <c r="B613" s="3481" t="s">
        <v>8215</v>
      </c>
      <c r="C613" s="3481" t="s">
        <v>3395</v>
      </c>
      <c r="D613" s="3482">
        <v>73.760000000000005</v>
      </c>
      <c r="E613" s="3519">
        <f t="shared" si="9"/>
        <v>34292.706073752706</v>
      </c>
      <c r="F613" s="3481">
        <v>2529430</v>
      </c>
      <c r="G613" s="3482" t="s">
        <v>8213</v>
      </c>
    </row>
    <row r="614" spans="1:7">
      <c r="A614" s="3536">
        <v>613</v>
      </c>
      <c r="B614" s="3481" t="s">
        <v>7804</v>
      </c>
      <c r="C614" s="3481" t="s">
        <v>5318</v>
      </c>
      <c r="D614" s="3482">
        <v>189.07</v>
      </c>
      <c r="E614" s="3519">
        <f t="shared" si="9"/>
        <v>27519.971439149522</v>
      </c>
      <c r="F614" s="3481">
        <v>5203201</v>
      </c>
      <c r="G614" s="3482" t="s">
        <v>3919</v>
      </c>
    </row>
    <row r="615" spans="1:7">
      <c r="A615" s="3536">
        <v>614</v>
      </c>
      <c r="B615" s="3481" t="s">
        <v>3921</v>
      </c>
      <c r="C615" s="3481" t="s">
        <v>3338</v>
      </c>
      <c r="D615" s="3482">
        <v>12.52</v>
      </c>
      <c r="E615" s="3519">
        <f t="shared" si="9"/>
        <v>3000</v>
      </c>
      <c r="F615" s="3481">
        <v>37560</v>
      </c>
      <c r="G615" s="3482" t="s">
        <v>3919</v>
      </c>
    </row>
    <row r="616" spans="1:7">
      <c r="A616" s="3536">
        <v>615</v>
      </c>
      <c r="B616" s="3481" t="s">
        <v>7808</v>
      </c>
      <c r="C616" s="3481" t="s">
        <v>5318</v>
      </c>
      <c r="D616" s="3482">
        <v>189.07</v>
      </c>
      <c r="E616" s="3519">
        <f t="shared" si="9"/>
        <v>26462.156873115779</v>
      </c>
      <c r="F616" s="3481">
        <v>5003200</v>
      </c>
      <c r="G616" s="3482" t="s">
        <v>3924</v>
      </c>
    </row>
    <row r="617" spans="1:7">
      <c r="A617" s="3536">
        <v>616</v>
      </c>
      <c r="B617" s="3481" t="s">
        <v>3923</v>
      </c>
      <c r="C617" s="3481" t="s">
        <v>3338</v>
      </c>
      <c r="D617" s="3482">
        <v>12.52</v>
      </c>
      <c r="E617" s="3519">
        <f t="shared" si="9"/>
        <v>3000</v>
      </c>
      <c r="F617" s="3481">
        <v>37560</v>
      </c>
      <c r="G617" s="3482" t="s">
        <v>3924</v>
      </c>
    </row>
    <row r="618" spans="1:7">
      <c r="A618" s="3536">
        <v>617</v>
      </c>
      <c r="B618" s="3481" t="s">
        <v>3922</v>
      </c>
      <c r="C618" s="3481" t="s">
        <v>3338</v>
      </c>
      <c r="D618" s="3482">
        <v>53.05</v>
      </c>
      <c r="E618" s="3519">
        <f t="shared" si="9"/>
        <v>3001.6965127238454</v>
      </c>
      <c r="F618" s="3481">
        <v>159240</v>
      </c>
      <c r="G618" s="3482" t="s">
        <v>3919</v>
      </c>
    </row>
    <row r="619" spans="1:7">
      <c r="A619" s="3536">
        <v>618</v>
      </c>
      <c r="B619" s="3481" t="s">
        <v>3925</v>
      </c>
      <c r="C619" s="3481" t="s">
        <v>3338</v>
      </c>
      <c r="D619" s="3482">
        <v>53.05</v>
      </c>
      <c r="E619" s="3519">
        <f t="shared" si="9"/>
        <v>3001.6965127238454</v>
      </c>
      <c r="F619" s="3481">
        <v>159240</v>
      </c>
      <c r="G619" s="3482" t="s">
        <v>3924</v>
      </c>
    </row>
    <row r="620" spans="1:7">
      <c r="A620" s="3536">
        <v>619</v>
      </c>
      <c r="B620" s="3481" t="s">
        <v>8345</v>
      </c>
      <c r="C620" s="3481" t="s">
        <v>3395</v>
      </c>
      <c r="D620" s="3482">
        <v>83.54</v>
      </c>
      <c r="E620" s="3519">
        <f t="shared" si="9"/>
        <v>32966.566914053146</v>
      </c>
      <c r="F620" s="3481">
        <v>2754027</v>
      </c>
      <c r="G620" s="3482" t="s">
        <v>4264</v>
      </c>
    </row>
    <row r="621" spans="1:7">
      <c r="A621" s="3536">
        <v>620</v>
      </c>
      <c r="B621" s="3481" t="s">
        <v>8279</v>
      </c>
      <c r="C621" s="3481" t="s">
        <v>3395</v>
      </c>
      <c r="D621" s="3482">
        <v>83.54</v>
      </c>
      <c r="E621" s="3519">
        <f t="shared" si="9"/>
        <v>33019.391908067992</v>
      </c>
      <c r="F621" s="3481">
        <v>2758440</v>
      </c>
      <c r="G621" s="3482" t="s">
        <v>8280</v>
      </c>
    </row>
    <row r="622" spans="1:7">
      <c r="A622" s="3536">
        <v>621</v>
      </c>
      <c r="B622" s="3481" t="s">
        <v>7864</v>
      </c>
      <c r="C622" s="3481" t="s">
        <v>3395</v>
      </c>
      <c r="D622" s="3482">
        <v>83.54</v>
      </c>
      <c r="E622" s="3519">
        <f t="shared" si="9"/>
        <v>33399.640890591334</v>
      </c>
      <c r="F622" s="3481">
        <v>2790206</v>
      </c>
      <c r="G622" s="3482" t="s">
        <v>3965</v>
      </c>
    </row>
    <row r="623" spans="1:7">
      <c r="A623" s="3536">
        <v>622</v>
      </c>
      <c r="B623" s="3481" t="s">
        <v>7836</v>
      </c>
      <c r="C623" s="3481" t="s">
        <v>3395</v>
      </c>
      <c r="D623" s="3482">
        <v>83.54</v>
      </c>
      <c r="E623" s="3519">
        <f t="shared" si="9"/>
        <v>33277.663394780939</v>
      </c>
      <c r="F623" s="3481">
        <v>2780016</v>
      </c>
      <c r="G623" s="3482" t="s">
        <v>3946</v>
      </c>
    </row>
    <row r="624" spans="1:7">
      <c r="A624" s="3536">
        <v>623</v>
      </c>
      <c r="B624" s="3481" t="s">
        <v>7752</v>
      </c>
      <c r="C624" s="3481" t="s">
        <v>3395</v>
      </c>
      <c r="D624" s="3482">
        <v>83.54</v>
      </c>
      <c r="E624" s="3519">
        <f t="shared" si="9"/>
        <v>33546.121618386402</v>
      </c>
      <c r="F624" s="3481">
        <v>2802443</v>
      </c>
      <c r="G624" s="3482" t="s">
        <v>7753</v>
      </c>
    </row>
    <row r="625" spans="1:7">
      <c r="A625" s="3536">
        <v>624</v>
      </c>
      <c r="B625" s="3481" t="s">
        <v>8395</v>
      </c>
      <c r="C625" s="3481" t="s">
        <v>3395</v>
      </c>
      <c r="D625" s="3482">
        <v>73.760000000000005</v>
      </c>
      <c r="E625" s="3519">
        <f t="shared" si="9"/>
        <v>34312.093275488071</v>
      </c>
      <c r="F625" s="3481">
        <v>2530860</v>
      </c>
      <c r="G625" s="3482" t="s">
        <v>4288</v>
      </c>
    </row>
    <row r="626" spans="1:7">
      <c r="A626" s="3536">
        <v>625</v>
      </c>
      <c r="B626" s="3481" t="s">
        <v>8516</v>
      </c>
      <c r="C626" s="3481" t="s">
        <v>3395</v>
      </c>
      <c r="D626" s="3482">
        <v>73.760000000000005</v>
      </c>
      <c r="E626" s="3519">
        <f t="shared" si="9"/>
        <v>33968.966919739694</v>
      </c>
      <c r="F626" s="3481">
        <v>2505551</v>
      </c>
      <c r="G626" s="3482" t="s">
        <v>8517</v>
      </c>
    </row>
    <row r="627" spans="1:7">
      <c r="A627" s="3536">
        <v>626</v>
      </c>
      <c r="B627" s="3481" t="s">
        <v>7928</v>
      </c>
      <c r="C627" s="3481" t="s">
        <v>5318</v>
      </c>
      <c r="D627" s="3482">
        <v>178.28</v>
      </c>
      <c r="E627" s="3519">
        <f t="shared" si="9"/>
        <v>28293.246578415976</v>
      </c>
      <c r="F627" s="3481">
        <v>5044120</v>
      </c>
      <c r="G627" s="3482" t="s">
        <v>3992</v>
      </c>
    </row>
    <row r="628" spans="1:7">
      <c r="A628" s="3536">
        <v>627</v>
      </c>
      <c r="B628" s="3481" t="s">
        <v>4000</v>
      </c>
      <c r="C628" s="3481" t="s">
        <v>3338</v>
      </c>
      <c r="D628" s="3482">
        <v>23.64</v>
      </c>
      <c r="E628" s="3519">
        <f t="shared" si="9"/>
        <v>3001.2690355329951</v>
      </c>
      <c r="F628" s="3481">
        <v>70950</v>
      </c>
      <c r="G628" s="3482" t="s">
        <v>3992</v>
      </c>
    </row>
    <row r="629" spans="1:7">
      <c r="A629" s="3536">
        <v>628</v>
      </c>
      <c r="B629" s="3481" t="s">
        <v>8301</v>
      </c>
      <c r="C629" s="3481" t="s">
        <v>5305</v>
      </c>
      <c r="D629" s="3482">
        <v>73.430000000000007</v>
      </c>
      <c r="E629" s="3519">
        <f t="shared" si="9"/>
        <v>37223.709655454171</v>
      </c>
      <c r="F629" s="3481">
        <v>2733337</v>
      </c>
      <c r="G629" s="3482" t="s">
        <v>4240</v>
      </c>
    </row>
    <row r="630" spans="1:7">
      <c r="A630" s="3536">
        <v>629</v>
      </c>
      <c r="B630" s="3481" t="s">
        <v>4239</v>
      </c>
      <c r="C630" s="3481" t="s">
        <v>3338</v>
      </c>
      <c r="D630" s="3482">
        <v>98.36</v>
      </c>
      <c r="E630" s="3519">
        <f t="shared" si="9"/>
        <v>13153.46685644571</v>
      </c>
      <c r="F630" s="3481">
        <v>1293775</v>
      </c>
      <c r="G630" s="3482" t="s">
        <v>4240</v>
      </c>
    </row>
    <row r="631" spans="1:7">
      <c r="A631" s="3536">
        <v>630</v>
      </c>
      <c r="B631" s="3481" t="s">
        <v>7929</v>
      </c>
      <c r="C631" s="3481" t="s">
        <v>5318</v>
      </c>
      <c r="D631" s="3482">
        <v>179.48</v>
      </c>
      <c r="E631" s="3519">
        <f t="shared" si="9"/>
        <v>26597.386895475822</v>
      </c>
      <c r="F631" s="3481">
        <v>4773699</v>
      </c>
      <c r="G631" s="3482" t="s">
        <v>3992</v>
      </c>
    </row>
    <row r="632" spans="1:7">
      <c r="A632" s="3536">
        <v>631</v>
      </c>
      <c r="B632" s="3481" t="s">
        <v>4001</v>
      </c>
      <c r="C632" s="3481" t="s">
        <v>3338</v>
      </c>
      <c r="D632" s="3482">
        <v>23.78</v>
      </c>
      <c r="E632" s="3519">
        <f t="shared" si="9"/>
        <v>3001.2615643397812</v>
      </c>
      <c r="F632" s="3481">
        <v>71370</v>
      </c>
      <c r="G632" s="3482" t="s">
        <v>3992</v>
      </c>
    </row>
    <row r="633" spans="1:7">
      <c r="A633" s="3536">
        <v>632</v>
      </c>
      <c r="B633" s="3481" t="s">
        <v>4002</v>
      </c>
      <c r="C633" s="3481" t="s">
        <v>3338</v>
      </c>
      <c r="D633" s="3482">
        <v>28.31</v>
      </c>
      <c r="E633" s="3519">
        <f t="shared" si="9"/>
        <v>3000</v>
      </c>
      <c r="F633" s="3481">
        <v>84930</v>
      </c>
      <c r="G633" s="3482" t="s">
        <v>3992</v>
      </c>
    </row>
    <row r="634" spans="1:7">
      <c r="A634" s="3536">
        <v>633</v>
      </c>
      <c r="B634" s="3481" t="s">
        <v>4241</v>
      </c>
      <c r="C634" s="3481" t="s">
        <v>3338</v>
      </c>
      <c r="D634" s="3482">
        <v>188.04</v>
      </c>
      <c r="E634" s="3519">
        <f t="shared" si="9"/>
        <v>13150.856200808339</v>
      </c>
      <c r="F634" s="3481">
        <v>2472887</v>
      </c>
      <c r="G634" s="3482" t="s">
        <v>4240</v>
      </c>
    </row>
    <row r="635" spans="1:7">
      <c r="A635" s="3536">
        <v>634</v>
      </c>
      <c r="B635" s="3481" t="s">
        <v>4003</v>
      </c>
      <c r="C635" s="3481" t="s">
        <v>3338</v>
      </c>
      <c r="D635" s="3482">
        <v>28.31</v>
      </c>
      <c r="E635" s="3519">
        <f t="shared" si="9"/>
        <v>3000</v>
      </c>
      <c r="F635" s="3481">
        <v>84930</v>
      </c>
      <c r="G635" s="3482" t="s">
        <v>3992</v>
      </c>
    </row>
    <row r="636" spans="1:7">
      <c r="A636" s="3536">
        <v>635</v>
      </c>
      <c r="B636" s="3481" t="s">
        <v>7763</v>
      </c>
      <c r="C636" s="3481" t="s">
        <v>3395</v>
      </c>
      <c r="D636" s="3482">
        <v>83.54</v>
      </c>
      <c r="E636" s="3519">
        <f t="shared" si="9"/>
        <v>33444.014843188888</v>
      </c>
      <c r="F636" s="3481">
        <v>2793913</v>
      </c>
      <c r="G636" s="3482" t="s">
        <v>7764</v>
      </c>
    </row>
    <row r="637" spans="1:7">
      <c r="A637" s="3536">
        <v>636</v>
      </c>
      <c r="B637" s="3481" t="s">
        <v>8439</v>
      </c>
      <c r="C637" s="3481" t="s">
        <v>3395</v>
      </c>
      <c r="D637" s="3482">
        <v>83.92</v>
      </c>
      <c r="E637" s="3519">
        <f t="shared" si="9"/>
        <v>32310.617254528122</v>
      </c>
      <c r="F637" s="3481">
        <v>2711507</v>
      </c>
      <c r="G637" s="3482" t="s">
        <v>4320</v>
      </c>
    </row>
    <row r="638" spans="1:7">
      <c r="A638" s="3536">
        <v>637</v>
      </c>
      <c r="B638" s="3481" t="s">
        <v>5777</v>
      </c>
      <c r="C638" s="3481" t="s">
        <v>3395</v>
      </c>
      <c r="D638" s="3482">
        <v>83.54</v>
      </c>
      <c r="E638" s="3519">
        <f t="shared" si="9"/>
        <v>33248.479770169979</v>
      </c>
      <c r="F638" s="3481">
        <v>2777578</v>
      </c>
      <c r="G638" s="3482" t="s">
        <v>8770</v>
      </c>
    </row>
    <row r="639" spans="1:7">
      <c r="A639" s="3536">
        <v>638</v>
      </c>
      <c r="B639" s="3481" t="s">
        <v>8479</v>
      </c>
      <c r="C639" s="3481" t="s">
        <v>3395</v>
      </c>
      <c r="D639" s="3482">
        <v>83.92</v>
      </c>
      <c r="E639" s="3519">
        <f t="shared" si="9"/>
        <v>32684.497140133459</v>
      </c>
      <c r="F639" s="3481">
        <v>2742883</v>
      </c>
      <c r="G639" s="3482" t="s">
        <v>8480</v>
      </c>
    </row>
    <row r="640" spans="1:7">
      <c r="A640" s="3536">
        <v>639</v>
      </c>
      <c r="B640" s="3481" t="s">
        <v>7691</v>
      </c>
      <c r="C640" s="3481" t="s">
        <v>3395</v>
      </c>
      <c r="D640" s="3482">
        <v>83.54</v>
      </c>
      <c r="E640" s="3519">
        <f t="shared" si="9"/>
        <v>33400.538664112995</v>
      </c>
      <c r="F640" s="3481">
        <v>2790281</v>
      </c>
      <c r="G640" s="3482" t="s">
        <v>7692</v>
      </c>
    </row>
    <row r="641" spans="1:7">
      <c r="A641" s="3536">
        <v>640</v>
      </c>
      <c r="B641" s="3481" t="s">
        <v>8428</v>
      </c>
      <c r="C641" s="3481" t="s">
        <v>3395</v>
      </c>
      <c r="D641" s="3482">
        <v>83.92</v>
      </c>
      <c r="E641" s="3519">
        <f t="shared" si="9"/>
        <v>32779.504289799806</v>
      </c>
      <c r="F641" s="3481">
        <v>2750856</v>
      </c>
      <c r="G641" s="3482" t="s">
        <v>4312</v>
      </c>
    </row>
    <row r="642" spans="1:7">
      <c r="A642" s="3536">
        <v>641</v>
      </c>
      <c r="B642" s="3481" t="s">
        <v>8511</v>
      </c>
      <c r="C642" s="3481" t="s">
        <v>3395</v>
      </c>
      <c r="D642" s="3482">
        <v>73.760000000000005</v>
      </c>
      <c r="E642" s="3519">
        <f t="shared" si="9"/>
        <v>34322.803687635569</v>
      </c>
      <c r="F642" s="3481">
        <v>2531650</v>
      </c>
      <c r="G642" s="3482" t="s">
        <v>8512</v>
      </c>
    </row>
    <row r="643" spans="1:7">
      <c r="A643" s="3536">
        <v>642</v>
      </c>
      <c r="B643" s="3481" t="s">
        <v>8143</v>
      </c>
      <c r="C643" s="3481" t="s">
        <v>3395</v>
      </c>
      <c r="D643" s="3482">
        <v>74.22</v>
      </c>
      <c r="E643" s="3519">
        <f t="shared" ref="E643:E706" si="10">F643/D643</f>
        <v>35358.245755860953</v>
      </c>
      <c r="F643" s="3481">
        <v>2624289</v>
      </c>
      <c r="G643" s="3482" t="s">
        <v>4159</v>
      </c>
    </row>
    <row r="644" spans="1:7">
      <c r="A644" s="3536">
        <v>643</v>
      </c>
      <c r="B644" s="3481" t="s">
        <v>8149</v>
      </c>
      <c r="C644" s="3481" t="s">
        <v>5318</v>
      </c>
      <c r="D644" s="3482">
        <v>189.9</v>
      </c>
      <c r="E644" s="3519">
        <f t="shared" si="10"/>
        <v>26020.115850447604</v>
      </c>
      <c r="F644" s="3481">
        <v>4941220</v>
      </c>
      <c r="G644" s="3482" t="s">
        <v>4159</v>
      </c>
    </row>
    <row r="645" spans="1:7">
      <c r="A645" s="3536">
        <v>644</v>
      </c>
      <c r="B645" s="3481" t="s">
        <v>4169</v>
      </c>
      <c r="C645" s="3481" t="s">
        <v>3338</v>
      </c>
      <c r="D645" s="3482">
        <v>12.54</v>
      </c>
      <c r="E645" s="3519">
        <f t="shared" si="10"/>
        <v>3000</v>
      </c>
      <c r="F645" s="3481">
        <v>37620</v>
      </c>
      <c r="G645" s="3482" t="s">
        <v>4159</v>
      </c>
    </row>
    <row r="646" spans="1:7">
      <c r="A646" s="3536">
        <v>645</v>
      </c>
      <c r="B646" s="3481" t="s">
        <v>8559</v>
      </c>
      <c r="C646" s="3481" t="s">
        <v>5305</v>
      </c>
      <c r="D646" s="3482">
        <v>73.400000000000006</v>
      </c>
      <c r="E646" s="3519">
        <f t="shared" si="10"/>
        <v>37219.61852861035</v>
      </c>
      <c r="F646" s="3481">
        <v>2731920</v>
      </c>
      <c r="G646" s="3482" t="s">
        <v>4340</v>
      </c>
    </row>
    <row r="647" spans="1:7">
      <c r="A647" s="3536">
        <v>646</v>
      </c>
      <c r="B647" s="3481" t="s">
        <v>4339</v>
      </c>
      <c r="C647" s="3481" t="s">
        <v>3338</v>
      </c>
      <c r="D647" s="3482">
        <v>98.54</v>
      </c>
      <c r="E647" s="3519">
        <f t="shared" si="10"/>
        <v>14626.517150395777</v>
      </c>
      <c r="F647" s="3481">
        <v>1441297</v>
      </c>
      <c r="G647" s="3482" t="s">
        <v>4340</v>
      </c>
    </row>
    <row r="648" spans="1:7">
      <c r="A648" s="3536">
        <v>647</v>
      </c>
      <c r="B648" s="3481" t="s">
        <v>8144</v>
      </c>
      <c r="C648" s="3481" t="s">
        <v>5305</v>
      </c>
      <c r="D648" s="3482">
        <v>73.010000000000005</v>
      </c>
      <c r="E648" s="3519">
        <f t="shared" si="10"/>
        <v>37223.599506916857</v>
      </c>
      <c r="F648" s="3481">
        <v>2717695</v>
      </c>
      <c r="G648" s="3482" t="s">
        <v>4159</v>
      </c>
    </row>
    <row r="649" spans="1:7">
      <c r="A649" s="3536">
        <v>648</v>
      </c>
      <c r="B649" s="3481" t="s">
        <v>4170</v>
      </c>
      <c r="C649" s="3481" t="s">
        <v>3338</v>
      </c>
      <c r="D649" s="3482">
        <v>97.14</v>
      </c>
      <c r="E649" s="3519">
        <f t="shared" si="10"/>
        <v>13489.18056413424</v>
      </c>
      <c r="F649" s="3481">
        <v>1310339</v>
      </c>
      <c r="G649" s="3482" t="s">
        <v>4159</v>
      </c>
    </row>
    <row r="650" spans="1:7">
      <c r="A650" s="3536">
        <v>649</v>
      </c>
      <c r="B650" s="3481" t="s">
        <v>8093</v>
      </c>
      <c r="C650" s="3481" t="s">
        <v>5318</v>
      </c>
      <c r="D650" s="3482">
        <v>188.99</v>
      </c>
      <c r="E650" s="3519">
        <f t="shared" si="10"/>
        <v>26312.71495846341</v>
      </c>
      <c r="F650" s="3481">
        <v>4972840</v>
      </c>
      <c r="G650" s="3482" t="s">
        <v>4123</v>
      </c>
    </row>
    <row r="651" spans="1:7">
      <c r="A651" s="3536">
        <v>650</v>
      </c>
      <c r="B651" s="3481" t="s">
        <v>4129</v>
      </c>
      <c r="C651" s="3481" t="s">
        <v>3338</v>
      </c>
      <c r="D651" s="3482">
        <v>12.54</v>
      </c>
      <c r="E651" s="3519">
        <f t="shared" si="10"/>
        <v>3000</v>
      </c>
      <c r="F651" s="3481">
        <v>37620</v>
      </c>
      <c r="G651" s="3482" t="s">
        <v>4123</v>
      </c>
    </row>
    <row r="652" spans="1:7">
      <c r="A652" s="3536">
        <v>651</v>
      </c>
      <c r="B652" s="3481" t="s">
        <v>4171</v>
      </c>
      <c r="C652" s="3481" t="s">
        <v>3338</v>
      </c>
      <c r="D652" s="3482">
        <v>53.69</v>
      </c>
      <c r="E652" s="3519">
        <f t="shared" si="10"/>
        <v>3001.6762898118832</v>
      </c>
      <c r="F652" s="3481">
        <v>161160</v>
      </c>
      <c r="G652" s="3482" t="s">
        <v>4159</v>
      </c>
    </row>
    <row r="653" spans="1:7">
      <c r="A653" s="3536">
        <v>652</v>
      </c>
      <c r="B653" s="3481" t="s">
        <v>4341</v>
      </c>
      <c r="C653" s="3481" t="s">
        <v>3338</v>
      </c>
      <c r="D653" s="3482">
        <v>188.4</v>
      </c>
      <c r="E653" s="3519">
        <f t="shared" si="10"/>
        <v>17870.38747346072</v>
      </c>
      <c r="F653" s="3481">
        <v>3366781</v>
      </c>
      <c r="G653" s="3482" t="s">
        <v>4340</v>
      </c>
    </row>
    <row r="654" spans="1:7">
      <c r="A654" s="3536">
        <v>653</v>
      </c>
      <c r="B654" s="3481" t="s">
        <v>4172</v>
      </c>
      <c r="C654" s="3481" t="s">
        <v>3338</v>
      </c>
      <c r="D654" s="3482">
        <v>187</v>
      </c>
      <c r="E654" s="3519">
        <f t="shared" si="10"/>
        <v>13486.454545454546</v>
      </c>
      <c r="F654" s="3481">
        <v>2521967</v>
      </c>
      <c r="G654" s="3482" t="s">
        <v>4159</v>
      </c>
    </row>
    <row r="655" spans="1:7">
      <c r="A655" s="3536">
        <v>654</v>
      </c>
      <c r="B655" s="3481" t="s">
        <v>4130</v>
      </c>
      <c r="C655" s="3481" t="s">
        <v>3338</v>
      </c>
      <c r="D655" s="3482">
        <v>53.15</v>
      </c>
      <c r="E655" s="3519">
        <f t="shared" si="10"/>
        <v>3001.6933207902166</v>
      </c>
      <c r="F655" s="3481">
        <v>159540</v>
      </c>
      <c r="G655" s="3482" t="s">
        <v>4123</v>
      </c>
    </row>
    <row r="656" spans="1:7">
      <c r="A656" s="3536">
        <v>655</v>
      </c>
      <c r="B656" s="3481" t="s">
        <v>8605</v>
      </c>
      <c r="C656" s="3481" t="s">
        <v>3395</v>
      </c>
      <c r="D656" s="3482">
        <v>83.88</v>
      </c>
      <c r="E656" s="3519">
        <f t="shared" si="10"/>
        <v>32528.659990462569</v>
      </c>
      <c r="F656" s="3481">
        <v>2728504</v>
      </c>
      <c r="G656" s="3482" t="s">
        <v>8606</v>
      </c>
    </row>
    <row r="657" spans="1:7">
      <c r="A657" s="3536">
        <v>656</v>
      </c>
      <c r="B657" s="3481" t="s">
        <v>8001</v>
      </c>
      <c r="C657" s="3481" t="s">
        <v>3395</v>
      </c>
      <c r="D657" s="3482">
        <v>83.49</v>
      </c>
      <c r="E657" s="3519">
        <f t="shared" si="10"/>
        <v>33292.478141094747</v>
      </c>
      <c r="F657" s="3481">
        <v>2779589</v>
      </c>
      <c r="G657" s="3482" t="s">
        <v>8000</v>
      </c>
    </row>
    <row r="658" spans="1:7">
      <c r="A658" s="3536">
        <v>657</v>
      </c>
      <c r="B658" s="3481" t="s">
        <v>8632</v>
      </c>
      <c r="C658" s="3481" t="s">
        <v>3395</v>
      </c>
      <c r="D658" s="3482">
        <v>83.88</v>
      </c>
      <c r="E658" s="3519">
        <f t="shared" si="10"/>
        <v>32857.236528373869</v>
      </c>
      <c r="F658" s="3481">
        <v>2756065</v>
      </c>
      <c r="G658" s="3482" t="s">
        <v>4357</v>
      </c>
    </row>
    <row r="659" spans="1:7">
      <c r="A659" s="3536">
        <v>658</v>
      </c>
      <c r="B659" s="3481" t="s">
        <v>8557</v>
      </c>
      <c r="C659" s="3481" t="s">
        <v>3395</v>
      </c>
      <c r="D659" s="3482">
        <v>83.49</v>
      </c>
      <c r="E659" s="3519">
        <f t="shared" si="10"/>
        <v>31915.23535752785</v>
      </c>
      <c r="F659" s="3481">
        <v>2664603</v>
      </c>
      <c r="G659" s="3482" t="s">
        <v>8558</v>
      </c>
    </row>
    <row r="660" spans="1:7">
      <c r="A660" s="3536">
        <v>659</v>
      </c>
      <c r="B660" s="3481" t="s">
        <v>8664</v>
      </c>
      <c r="C660" s="3481" t="s">
        <v>3395</v>
      </c>
      <c r="D660" s="3482">
        <v>83.88</v>
      </c>
      <c r="E660" s="3519">
        <f t="shared" si="10"/>
        <v>31878.087744396758</v>
      </c>
      <c r="F660" s="3481">
        <v>2673934</v>
      </c>
      <c r="G660" s="3482" t="s">
        <v>8658</v>
      </c>
    </row>
    <row r="661" spans="1:7">
      <c r="A661" s="3536">
        <v>660</v>
      </c>
      <c r="B661" s="3481" t="s">
        <v>8607</v>
      </c>
      <c r="C661" s="3481" t="s">
        <v>3395</v>
      </c>
      <c r="D661" s="3482">
        <v>83.49</v>
      </c>
      <c r="E661" s="3519">
        <f t="shared" si="10"/>
        <v>32566.570846808005</v>
      </c>
      <c r="F661" s="3481">
        <v>2718983</v>
      </c>
      <c r="G661" s="3482" t="s">
        <v>8608</v>
      </c>
    </row>
    <row r="662" spans="1:7">
      <c r="A662" s="3536">
        <v>661</v>
      </c>
      <c r="B662" s="3481" t="s">
        <v>8601</v>
      </c>
      <c r="C662" s="3481" t="s">
        <v>3395</v>
      </c>
      <c r="D662" s="3482">
        <v>74.180000000000007</v>
      </c>
      <c r="E662" s="3519">
        <f t="shared" si="10"/>
        <v>34300.417902399568</v>
      </c>
      <c r="F662" s="3481">
        <v>2544405</v>
      </c>
      <c r="G662" s="3482" t="s">
        <v>8598</v>
      </c>
    </row>
    <row r="663" spans="1:7">
      <c r="A663" s="3536">
        <v>662</v>
      </c>
      <c r="B663" s="3481" t="s">
        <v>8604</v>
      </c>
      <c r="C663" s="3481" t="s">
        <v>3395</v>
      </c>
      <c r="D663" s="3482">
        <v>73.72</v>
      </c>
      <c r="E663" s="3519">
        <f t="shared" si="10"/>
        <v>33578.906673901249</v>
      </c>
      <c r="F663" s="3481">
        <v>2475437</v>
      </c>
      <c r="G663" s="3482" t="s">
        <v>8603</v>
      </c>
    </row>
    <row r="664" spans="1:7">
      <c r="A664" s="3536">
        <v>663</v>
      </c>
      <c r="B664" s="3481" t="s">
        <v>8158</v>
      </c>
      <c r="C664" s="3481" t="s">
        <v>5318</v>
      </c>
      <c r="D664" s="3482">
        <v>188.99</v>
      </c>
      <c r="E664" s="3519">
        <f t="shared" si="10"/>
        <v>26312.71495846341</v>
      </c>
      <c r="F664" s="3481">
        <v>4972840</v>
      </c>
      <c r="G664" s="3482" t="s">
        <v>4178</v>
      </c>
    </row>
    <row r="665" spans="1:7">
      <c r="A665" s="3536">
        <v>664</v>
      </c>
      <c r="B665" s="3481" t="s">
        <v>4180</v>
      </c>
      <c r="C665" s="3481" t="s">
        <v>3338</v>
      </c>
      <c r="D665" s="3482">
        <v>12.54</v>
      </c>
      <c r="E665" s="3519">
        <f t="shared" si="10"/>
        <v>3000</v>
      </c>
      <c r="F665" s="3481">
        <v>37620</v>
      </c>
      <c r="G665" s="3482" t="s">
        <v>4178</v>
      </c>
    </row>
    <row r="666" spans="1:7">
      <c r="A666" s="3536">
        <v>665</v>
      </c>
      <c r="B666" s="3481" t="s">
        <v>8112</v>
      </c>
      <c r="C666" s="3481" t="s">
        <v>5305</v>
      </c>
      <c r="D666" s="3482">
        <v>73.010000000000005</v>
      </c>
      <c r="E666" s="3519">
        <f t="shared" si="10"/>
        <v>37223.599506916857</v>
      </c>
      <c r="F666" s="3481">
        <v>2717695</v>
      </c>
      <c r="G666" s="3482" t="s">
        <v>4147</v>
      </c>
    </row>
    <row r="667" spans="1:7">
      <c r="A667" s="3536">
        <v>666</v>
      </c>
      <c r="B667" s="3481" t="s">
        <v>4146</v>
      </c>
      <c r="C667" s="3481" t="s">
        <v>3338</v>
      </c>
      <c r="D667" s="3482">
        <v>97.14</v>
      </c>
      <c r="E667" s="3519">
        <f t="shared" si="10"/>
        <v>13981.9538809965</v>
      </c>
      <c r="F667" s="3481">
        <v>1358207</v>
      </c>
      <c r="G667" s="3482" t="s">
        <v>4147</v>
      </c>
    </row>
    <row r="668" spans="1:7">
      <c r="A668" s="3536">
        <v>667</v>
      </c>
      <c r="B668" s="3481" t="s">
        <v>6830</v>
      </c>
      <c r="C668" s="3481" t="s">
        <v>5305</v>
      </c>
      <c r="D668" s="3482">
        <v>73.010000000000005</v>
      </c>
      <c r="E668" s="3519">
        <f t="shared" si="10"/>
        <v>36981.235447199011</v>
      </c>
      <c r="F668" s="3481">
        <v>2700000</v>
      </c>
      <c r="G668" s="3482" t="s">
        <v>3423</v>
      </c>
    </row>
    <row r="669" spans="1:7">
      <c r="A669" s="3536">
        <v>668</v>
      </c>
      <c r="B669" s="3481" t="s">
        <v>3422</v>
      </c>
      <c r="C669" s="3481" t="s">
        <v>3338</v>
      </c>
      <c r="D669" s="3482">
        <v>97.14</v>
      </c>
      <c r="E669" s="3519">
        <f t="shared" si="10"/>
        <v>13382.746551369159</v>
      </c>
      <c r="F669" s="3481">
        <v>1300000</v>
      </c>
      <c r="G669" s="3482" t="s">
        <v>3423</v>
      </c>
    </row>
    <row r="670" spans="1:7">
      <c r="A670" s="3536">
        <v>669</v>
      </c>
      <c r="B670" s="3481" t="s">
        <v>8081</v>
      </c>
      <c r="C670" s="3481" t="s">
        <v>5318</v>
      </c>
      <c r="D670" s="3482">
        <v>188.99</v>
      </c>
      <c r="E670" s="3519">
        <f t="shared" si="10"/>
        <v>26471.453516059049</v>
      </c>
      <c r="F670" s="3481">
        <v>5002840</v>
      </c>
      <c r="G670" s="3482" t="s">
        <v>4104</v>
      </c>
    </row>
    <row r="671" spans="1:7">
      <c r="A671" s="3536">
        <v>670</v>
      </c>
      <c r="B671" s="3481" t="s">
        <v>4116</v>
      </c>
      <c r="C671" s="3481" t="s">
        <v>3338</v>
      </c>
      <c r="D671" s="3482">
        <v>12.54</v>
      </c>
      <c r="E671" s="3519">
        <f t="shared" si="10"/>
        <v>3000</v>
      </c>
      <c r="F671" s="3481">
        <v>37620</v>
      </c>
      <c r="G671" s="3482" t="s">
        <v>4104</v>
      </c>
    </row>
    <row r="672" spans="1:7">
      <c r="A672" s="3536">
        <v>671</v>
      </c>
      <c r="B672" s="3481" t="s">
        <v>4181</v>
      </c>
      <c r="C672" s="3481" t="s">
        <v>3338</v>
      </c>
      <c r="D672" s="3482">
        <v>53.15</v>
      </c>
      <c r="E672" s="3519">
        <f t="shared" si="10"/>
        <v>3001.6933207902166</v>
      </c>
      <c r="F672" s="3481">
        <v>159540</v>
      </c>
      <c r="G672" s="3482" t="s">
        <v>4178</v>
      </c>
    </row>
    <row r="673" spans="1:7">
      <c r="A673" s="3536">
        <v>672</v>
      </c>
      <c r="B673" s="3481" t="s">
        <v>4148</v>
      </c>
      <c r="C673" s="3481" t="s">
        <v>3338</v>
      </c>
      <c r="D673" s="3482">
        <v>187</v>
      </c>
      <c r="E673" s="3519">
        <f t="shared" si="10"/>
        <v>13979.133689839573</v>
      </c>
      <c r="F673" s="3481">
        <v>2614098</v>
      </c>
      <c r="G673" s="3482" t="s">
        <v>4147</v>
      </c>
    </row>
    <row r="674" spans="1:7">
      <c r="A674" s="3536">
        <v>673</v>
      </c>
      <c r="B674" s="3481" t="s">
        <v>3424</v>
      </c>
      <c r="C674" s="3481" t="s">
        <v>3338</v>
      </c>
      <c r="D674" s="3482">
        <v>187</v>
      </c>
      <c r="E674" s="3519">
        <f t="shared" si="10"/>
        <v>10160.427807486631</v>
      </c>
      <c r="F674" s="3481">
        <v>1900000</v>
      </c>
      <c r="G674" s="3482" t="s">
        <v>3423</v>
      </c>
    </row>
    <row r="675" spans="1:7">
      <c r="A675" s="3536">
        <v>674</v>
      </c>
      <c r="B675" s="3481" t="s">
        <v>4117</v>
      </c>
      <c r="C675" s="3481" t="s">
        <v>3338</v>
      </c>
      <c r="D675" s="3482">
        <v>53.15</v>
      </c>
      <c r="E675" s="3519">
        <f t="shared" si="10"/>
        <v>3001.6933207902166</v>
      </c>
      <c r="F675" s="3481">
        <v>159540</v>
      </c>
      <c r="G675" s="3482" t="s">
        <v>4104</v>
      </c>
    </row>
    <row r="676" spans="1:7">
      <c r="A676" s="3536">
        <v>675</v>
      </c>
      <c r="B676" s="3481" t="s">
        <v>8014</v>
      </c>
      <c r="C676" s="3481" t="s">
        <v>3395</v>
      </c>
      <c r="D676" s="3482">
        <v>83.49</v>
      </c>
      <c r="E676" s="3519">
        <f t="shared" si="10"/>
        <v>33628.757935082045</v>
      </c>
      <c r="F676" s="3481">
        <v>2807665</v>
      </c>
      <c r="G676" s="3482" t="s">
        <v>4067</v>
      </c>
    </row>
    <row r="677" spans="1:7">
      <c r="A677" s="3536">
        <v>676</v>
      </c>
      <c r="B677" s="3481" t="s">
        <v>7820</v>
      </c>
      <c r="C677" s="3481" t="s">
        <v>3395</v>
      </c>
      <c r="D677" s="3482">
        <v>83.49</v>
      </c>
      <c r="E677" s="3519">
        <f t="shared" si="10"/>
        <v>34069.756857108638</v>
      </c>
      <c r="F677" s="3481">
        <v>2844484</v>
      </c>
      <c r="G677" s="3482" t="s">
        <v>7821</v>
      </c>
    </row>
    <row r="678" spans="1:7">
      <c r="A678" s="3536">
        <v>677</v>
      </c>
      <c r="B678" s="3481" t="s">
        <v>8005</v>
      </c>
      <c r="C678" s="3481" t="s">
        <v>3395</v>
      </c>
      <c r="D678" s="3482">
        <v>83.49</v>
      </c>
      <c r="E678" s="3519">
        <f t="shared" si="10"/>
        <v>33628.757935082045</v>
      </c>
      <c r="F678" s="3481">
        <v>2807665</v>
      </c>
      <c r="G678" s="3482" t="s">
        <v>8006</v>
      </c>
    </row>
    <row r="679" spans="1:7">
      <c r="A679" s="3536">
        <v>678</v>
      </c>
      <c r="B679" s="3481" t="s">
        <v>8055</v>
      </c>
      <c r="C679" s="3481" t="s">
        <v>3395</v>
      </c>
      <c r="D679" s="3482">
        <v>83.49</v>
      </c>
      <c r="E679" s="3519">
        <f t="shared" si="10"/>
        <v>33628.757935082045</v>
      </c>
      <c r="F679" s="3481">
        <v>2807665</v>
      </c>
      <c r="G679" s="3482" t="s">
        <v>8056</v>
      </c>
    </row>
    <row r="680" spans="1:7">
      <c r="A680" s="3536">
        <v>679</v>
      </c>
      <c r="B680" s="3481" t="s">
        <v>8546</v>
      </c>
      <c r="C680" s="3481" t="s">
        <v>3395</v>
      </c>
      <c r="D680" s="3482">
        <v>83.49</v>
      </c>
      <c r="E680" s="3519">
        <f t="shared" si="10"/>
        <v>32902.311654090314</v>
      </c>
      <c r="F680" s="3481">
        <v>2747014</v>
      </c>
      <c r="G680" s="3482" t="s">
        <v>8545</v>
      </c>
    </row>
    <row r="681" spans="1:7">
      <c r="A681" s="3536">
        <v>680</v>
      </c>
      <c r="B681" s="3481" t="s">
        <v>8638</v>
      </c>
      <c r="C681" s="3481" t="s">
        <v>3395</v>
      </c>
      <c r="D681" s="3482">
        <v>83.49</v>
      </c>
      <c r="E681" s="3519">
        <f t="shared" si="10"/>
        <v>32566.570846808005</v>
      </c>
      <c r="F681" s="3481">
        <v>2718983</v>
      </c>
      <c r="G681" s="3482" t="s">
        <v>4360</v>
      </c>
    </row>
    <row r="682" spans="1:7">
      <c r="A682" s="3536">
        <v>681</v>
      </c>
      <c r="B682" s="3481" t="s">
        <v>8639</v>
      </c>
      <c r="C682" s="3481" t="s">
        <v>3395</v>
      </c>
      <c r="D682" s="3482">
        <v>73.72</v>
      </c>
      <c r="E682" s="3519">
        <f t="shared" si="10"/>
        <v>35334.943027672271</v>
      </c>
      <c r="F682" s="3481">
        <v>2604892</v>
      </c>
      <c r="G682" s="3482" t="s">
        <v>4360</v>
      </c>
    </row>
    <row r="683" spans="1:7">
      <c r="A683" s="3536">
        <v>682</v>
      </c>
      <c r="B683" s="3481" t="s">
        <v>8640</v>
      </c>
      <c r="C683" s="3481" t="s">
        <v>3395</v>
      </c>
      <c r="D683" s="3482">
        <v>73.72</v>
      </c>
      <c r="E683" s="3519">
        <f t="shared" si="10"/>
        <v>35334.943027672271</v>
      </c>
      <c r="F683" s="3481">
        <v>2604892</v>
      </c>
      <c r="G683" s="3482" t="s">
        <v>4360</v>
      </c>
    </row>
    <row r="684" spans="1:7">
      <c r="A684" s="3536">
        <v>683</v>
      </c>
      <c r="B684" s="3481" t="s">
        <v>8054</v>
      </c>
      <c r="C684" s="3481" t="s">
        <v>5318</v>
      </c>
      <c r="D684" s="3482">
        <v>178.2</v>
      </c>
      <c r="E684" s="3519">
        <f t="shared" si="10"/>
        <v>28585.353535353537</v>
      </c>
      <c r="F684" s="3481">
        <v>5093910</v>
      </c>
      <c r="G684" s="3482" t="s">
        <v>4099</v>
      </c>
    </row>
    <row r="685" spans="1:7">
      <c r="A685" s="3536">
        <v>684</v>
      </c>
      <c r="B685" s="3481" t="s">
        <v>4101</v>
      </c>
      <c r="C685" s="3481" t="s">
        <v>3338</v>
      </c>
      <c r="D685" s="3482">
        <v>23.67</v>
      </c>
      <c r="E685" s="3519">
        <f t="shared" si="10"/>
        <v>3000</v>
      </c>
      <c r="F685" s="3481">
        <v>71010</v>
      </c>
      <c r="G685" s="3482" t="s">
        <v>4099</v>
      </c>
    </row>
    <row r="686" spans="1:7">
      <c r="A686" s="3536">
        <v>685</v>
      </c>
      <c r="B686" s="3481" t="s">
        <v>7977</v>
      </c>
      <c r="C686" s="3481" t="s">
        <v>5305</v>
      </c>
      <c r="D686" s="3482">
        <v>73.010000000000005</v>
      </c>
      <c r="E686" s="3519">
        <f t="shared" si="10"/>
        <v>37223.599506916857</v>
      </c>
      <c r="F686" s="3481">
        <v>2717695</v>
      </c>
      <c r="G686" s="3482" t="s">
        <v>4031</v>
      </c>
    </row>
    <row r="687" spans="1:7">
      <c r="A687" s="3536">
        <v>686</v>
      </c>
      <c r="B687" s="3481" t="s">
        <v>4037</v>
      </c>
      <c r="C687" s="3481" t="s">
        <v>3338</v>
      </c>
      <c r="D687" s="3482">
        <v>97.25</v>
      </c>
      <c r="E687" s="3519">
        <f t="shared" si="10"/>
        <v>13786.735218508997</v>
      </c>
      <c r="F687" s="3481">
        <v>1340760</v>
      </c>
      <c r="G687" s="3482" t="s">
        <v>4031</v>
      </c>
    </row>
    <row r="688" spans="1:7">
      <c r="A688" s="3536">
        <v>687</v>
      </c>
      <c r="B688" s="3481" t="s">
        <v>8114</v>
      </c>
      <c r="C688" s="3481" t="s">
        <v>5305</v>
      </c>
      <c r="D688" s="3482">
        <v>73.400000000000006</v>
      </c>
      <c r="E688" s="3519">
        <f t="shared" si="10"/>
        <v>37218.623978201635</v>
      </c>
      <c r="F688" s="3481">
        <v>2731847</v>
      </c>
      <c r="G688" s="3482" t="s">
        <v>4150</v>
      </c>
    </row>
    <row r="689" spans="1:7">
      <c r="A689" s="3536">
        <v>688</v>
      </c>
      <c r="B689" s="3481" t="s">
        <v>4149</v>
      </c>
      <c r="C689" s="3481" t="s">
        <v>3338</v>
      </c>
      <c r="D689" s="3482">
        <v>98.33</v>
      </c>
      <c r="E689" s="3519">
        <f t="shared" si="10"/>
        <v>13684.399471168514</v>
      </c>
      <c r="F689" s="3481">
        <v>1345587</v>
      </c>
      <c r="G689" s="3482" t="s">
        <v>4150</v>
      </c>
    </row>
    <row r="690" spans="1:7">
      <c r="A690" s="3536">
        <v>689</v>
      </c>
      <c r="B690" s="3481" t="s">
        <v>8150</v>
      </c>
      <c r="C690" s="3481" t="s">
        <v>5318</v>
      </c>
      <c r="D690" s="3482">
        <v>179.4</v>
      </c>
      <c r="E690" s="3519">
        <f t="shared" si="10"/>
        <v>28001.616499442585</v>
      </c>
      <c r="F690" s="3481">
        <v>5023490</v>
      </c>
      <c r="G690" s="3482" t="s">
        <v>4159</v>
      </c>
    </row>
    <row r="691" spans="1:7">
      <c r="A691" s="3536">
        <v>690</v>
      </c>
      <c r="B691" s="3481" t="s">
        <v>4173</v>
      </c>
      <c r="C691" s="3481" t="s">
        <v>3338</v>
      </c>
      <c r="D691" s="3482">
        <v>23.81</v>
      </c>
      <c r="E691" s="3519">
        <f t="shared" si="10"/>
        <v>3000</v>
      </c>
      <c r="F691" s="3481">
        <v>71430</v>
      </c>
      <c r="G691" s="3482" t="s">
        <v>4159</v>
      </c>
    </row>
    <row r="692" spans="1:7">
      <c r="A692" s="3536">
        <v>691</v>
      </c>
      <c r="B692" s="3481" t="s">
        <v>4102</v>
      </c>
      <c r="C692" s="3481" t="s">
        <v>3338</v>
      </c>
      <c r="D692" s="3482">
        <v>28.35</v>
      </c>
      <c r="E692" s="3519">
        <f t="shared" si="10"/>
        <v>3001.0582010582011</v>
      </c>
      <c r="F692" s="3481">
        <v>85080</v>
      </c>
      <c r="G692" s="3482" t="s">
        <v>4099</v>
      </c>
    </row>
    <row r="693" spans="1:7">
      <c r="A693" s="3536">
        <v>692</v>
      </c>
      <c r="B693" s="3481" t="s">
        <v>4038</v>
      </c>
      <c r="C693" s="3481" t="s">
        <v>3338</v>
      </c>
      <c r="D693" s="3482">
        <v>182.09</v>
      </c>
      <c r="E693" s="3519">
        <f t="shared" si="10"/>
        <v>13902.718435938272</v>
      </c>
      <c r="F693" s="3481">
        <v>2531546</v>
      </c>
      <c r="G693" s="3482" t="s">
        <v>4031</v>
      </c>
    </row>
    <row r="694" spans="1:7">
      <c r="A694" s="3536">
        <v>693</v>
      </c>
      <c r="B694" s="3481" t="s">
        <v>4151</v>
      </c>
      <c r="C694" s="3481" t="s">
        <v>3338</v>
      </c>
      <c r="D694" s="3482">
        <v>188.03</v>
      </c>
      <c r="E694" s="3519">
        <f t="shared" si="10"/>
        <v>13681.678455565601</v>
      </c>
      <c r="F694" s="3481">
        <v>2572566</v>
      </c>
      <c r="G694" s="3482" t="s">
        <v>4150</v>
      </c>
    </row>
    <row r="695" spans="1:7">
      <c r="A695" s="3536">
        <v>694</v>
      </c>
      <c r="B695" s="3481" t="s">
        <v>4174</v>
      </c>
      <c r="C695" s="3481" t="s">
        <v>3338</v>
      </c>
      <c r="D695" s="3482">
        <v>28.35</v>
      </c>
      <c r="E695" s="3519">
        <f t="shared" si="10"/>
        <v>3001.0582010582011</v>
      </c>
      <c r="F695" s="3481">
        <v>85080</v>
      </c>
      <c r="G695" s="3482" t="s">
        <v>4159</v>
      </c>
    </row>
    <row r="696" spans="1:7">
      <c r="A696" s="3536">
        <v>695</v>
      </c>
      <c r="B696" s="3481" t="s">
        <v>8028</v>
      </c>
      <c r="C696" s="3481" t="s">
        <v>3395</v>
      </c>
      <c r="D696" s="3482">
        <v>83.49</v>
      </c>
      <c r="E696" s="3519">
        <f t="shared" si="10"/>
        <v>33292.478141094747</v>
      </c>
      <c r="F696" s="3481">
        <v>2779589</v>
      </c>
      <c r="G696" s="3482" t="s">
        <v>4072</v>
      </c>
    </row>
    <row r="697" spans="1:7">
      <c r="A697" s="3536">
        <v>696</v>
      </c>
      <c r="B697" s="3481" t="s">
        <v>8029</v>
      </c>
      <c r="C697" s="3481" t="s">
        <v>3395</v>
      </c>
      <c r="D697" s="3482">
        <v>83.88</v>
      </c>
      <c r="E697" s="3519">
        <f t="shared" si="10"/>
        <v>33292.560801144493</v>
      </c>
      <c r="F697" s="3481">
        <v>2792580</v>
      </c>
      <c r="G697" s="3482" t="s">
        <v>4072</v>
      </c>
    </row>
    <row r="698" spans="1:7">
      <c r="A698" s="3536">
        <v>697</v>
      </c>
      <c r="B698" s="3481" t="s">
        <v>7801</v>
      </c>
      <c r="C698" s="3481" t="s">
        <v>3395</v>
      </c>
      <c r="D698" s="3482">
        <v>83.49</v>
      </c>
      <c r="E698" s="3519">
        <f t="shared" si="10"/>
        <v>33776.500179662238</v>
      </c>
      <c r="F698" s="3481">
        <v>2820000</v>
      </c>
      <c r="G698" s="3482" t="s">
        <v>3919</v>
      </c>
    </row>
    <row r="699" spans="1:7">
      <c r="A699" s="3536">
        <v>698</v>
      </c>
      <c r="B699" s="3481" t="s">
        <v>8285</v>
      </c>
      <c r="C699" s="3481" t="s">
        <v>3395</v>
      </c>
      <c r="D699" s="3482">
        <v>83.88</v>
      </c>
      <c r="E699" s="3519">
        <f t="shared" si="10"/>
        <v>33292.560801144493</v>
      </c>
      <c r="F699" s="3481">
        <v>2792580</v>
      </c>
      <c r="G699" s="3482" t="s">
        <v>4227</v>
      </c>
    </row>
    <row r="700" spans="1:7">
      <c r="A700" s="3536">
        <v>699</v>
      </c>
      <c r="B700" s="3481" t="s">
        <v>8312</v>
      </c>
      <c r="C700" s="3481" t="s">
        <v>3395</v>
      </c>
      <c r="D700" s="3482">
        <v>83.49</v>
      </c>
      <c r="E700" s="3519">
        <f t="shared" si="10"/>
        <v>33628.757935082045</v>
      </c>
      <c r="F700" s="3481">
        <v>2807665</v>
      </c>
      <c r="G700" s="3482" t="s">
        <v>8313</v>
      </c>
    </row>
    <row r="701" spans="1:7">
      <c r="A701" s="3536">
        <v>700</v>
      </c>
      <c r="B701" s="3481" t="s">
        <v>6871</v>
      </c>
      <c r="C701" s="3481" t="s">
        <v>3395</v>
      </c>
      <c r="D701" s="3482">
        <v>83.88</v>
      </c>
      <c r="E701" s="3519">
        <f t="shared" si="10"/>
        <v>28612.303290414879</v>
      </c>
      <c r="F701" s="3481">
        <v>2400000</v>
      </c>
      <c r="G701" s="3482" t="s">
        <v>6870</v>
      </c>
    </row>
    <row r="702" spans="1:7">
      <c r="A702" s="3536">
        <v>701</v>
      </c>
      <c r="B702" s="3481" t="s">
        <v>8551</v>
      </c>
      <c r="C702" s="3481" t="s">
        <v>3395</v>
      </c>
      <c r="D702" s="3482">
        <v>73.72</v>
      </c>
      <c r="E702" s="3519">
        <f t="shared" si="10"/>
        <v>37244.438415626697</v>
      </c>
      <c r="F702" s="3481">
        <v>2745660</v>
      </c>
      <c r="G702" s="3482" t="s">
        <v>8550</v>
      </c>
    </row>
    <row r="703" spans="1:7">
      <c r="A703" s="3536">
        <v>702</v>
      </c>
      <c r="B703" s="3481" t="s">
        <v>7802</v>
      </c>
      <c r="C703" s="3481" t="s">
        <v>3395</v>
      </c>
      <c r="D703" s="3482">
        <v>74.180000000000007</v>
      </c>
      <c r="E703" s="3519">
        <f t="shared" si="10"/>
        <v>37476.408735508223</v>
      </c>
      <c r="F703" s="3481">
        <v>2780000</v>
      </c>
      <c r="G703" s="3482" t="s">
        <v>3919</v>
      </c>
    </row>
    <row r="704" spans="1:7">
      <c r="A704" s="3536">
        <v>703</v>
      </c>
      <c r="B704" s="3481" t="s">
        <v>8429</v>
      </c>
      <c r="C704" s="3481" t="s">
        <v>5318</v>
      </c>
      <c r="D704" s="3482">
        <v>193.62</v>
      </c>
      <c r="E704" s="3519">
        <f t="shared" si="10"/>
        <v>25340.362565850635</v>
      </c>
      <c r="F704" s="3481">
        <v>4906401</v>
      </c>
      <c r="G704" s="3482" t="s">
        <v>4312</v>
      </c>
    </row>
    <row r="705" spans="1:7">
      <c r="A705" s="3536">
        <v>704</v>
      </c>
      <c r="B705" s="3481" t="s">
        <v>4311</v>
      </c>
      <c r="C705" s="3481" t="s">
        <v>3338</v>
      </c>
      <c r="D705" s="3482">
        <v>12.5</v>
      </c>
      <c r="E705" s="3519">
        <f t="shared" si="10"/>
        <v>3000</v>
      </c>
      <c r="F705" s="3481">
        <v>37500</v>
      </c>
      <c r="G705" s="3482" t="s">
        <v>4312</v>
      </c>
    </row>
    <row r="706" spans="1:7">
      <c r="A706" s="3536">
        <v>705</v>
      </c>
      <c r="B706" s="3481" t="s">
        <v>8618</v>
      </c>
      <c r="C706" s="3481" t="s">
        <v>5305</v>
      </c>
      <c r="D706" s="3482">
        <v>73.37</v>
      </c>
      <c r="E706" s="3519">
        <f t="shared" si="10"/>
        <v>37224.696742537817</v>
      </c>
      <c r="F706" s="3481">
        <v>2731176</v>
      </c>
      <c r="G706" s="3482" t="s">
        <v>4349</v>
      </c>
    </row>
    <row r="707" spans="1:7">
      <c r="A707" s="3536">
        <v>706</v>
      </c>
      <c r="B707" s="3481" t="s">
        <v>4351</v>
      </c>
      <c r="C707" s="3481" t="s">
        <v>3338</v>
      </c>
      <c r="D707" s="3482">
        <v>98.25</v>
      </c>
      <c r="E707" s="3519">
        <f t="shared" ref="E707:E770" si="11">F707/D707</f>
        <v>18000.19338422392</v>
      </c>
      <c r="F707" s="3481">
        <v>1768519</v>
      </c>
      <c r="G707" s="3482" t="s">
        <v>4349</v>
      </c>
    </row>
    <row r="708" spans="1:7">
      <c r="A708" s="3536">
        <v>707</v>
      </c>
      <c r="B708" s="3481" t="s">
        <v>8255</v>
      </c>
      <c r="C708" s="3481" t="s">
        <v>5305</v>
      </c>
      <c r="D708" s="3482">
        <v>72.989999999999995</v>
      </c>
      <c r="E708" s="3519">
        <f t="shared" si="11"/>
        <v>37223.592272914102</v>
      </c>
      <c r="F708" s="3481">
        <v>2716950</v>
      </c>
      <c r="G708" s="3482" t="s">
        <v>4218</v>
      </c>
    </row>
    <row r="709" spans="1:7">
      <c r="A709" s="3536">
        <v>708</v>
      </c>
      <c r="B709" s="3481" t="s">
        <v>4217</v>
      </c>
      <c r="C709" s="3481" t="s">
        <v>3338</v>
      </c>
      <c r="D709" s="3482">
        <v>96.86</v>
      </c>
      <c r="E709" s="3519">
        <f t="shared" si="11"/>
        <v>13355.285979764609</v>
      </c>
      <c r="F709" s="3481">
        <v>1293593</v>
      </c>
      <c r="G709" s="3482" t="s">
        <v>4218</v>
      </c>
    </row>
    <row r="710" spans="1:7">
      <c r="A710" s="3536">
        <v>709</v>
      </c>
      <c r="B710" s="3481" t="s">
        <v>8424</v>
      </c>
      <c r="C710" s="3481" t="s">
        <v>5318</v>
      </c>
      <c r="D710" s="3482">
        <v>192.68</v>
      </c>
      <c r="E710" s="3519">
        <f t="shared" si="11"/>
        <v>25991.389869213202</v>
      </c>
      <c r="F710" s="3481">
        <v>5008021</v>
      </c>
      <c r="G710" s="3482" t="s">
        <v>4306</v>
      </c>
    </row>
    <row r="711" spans="1:7">
      <c r="A711" s="3536">
        <v>710</v>
      </c>
      <c r="B711" s="3481" t="s">
        <v>4250</v>
      </c>
      <c r="C711" s="3481" t="s">
        <v>3338</v>
      </c>
      <c r="D711" s="3482">
        <v>12.5</v>
      </c>
      <c r="E711" s="3519">
        <f t="shared" si="11"/>
        <v>3000</v>
      </c>
      <c r="F711" s="3481">
        <v>37500</v>
      </c>
      <c r="G711" s="3482" t="s">
        <v>4251</v>
      </c>
    </row>
    <row r="712" spans="1:7">
      <c r="A712" s="3536">
        <v>711</v>
      </c>
      <c r="B712" s="3481" t="s">
        <v>4313</v>
      </c>
      <c r="C712" s="3481" t="s">
        <v>3338</v>
      </c>
      <c r="D712" s="3482">
        <v>53.53</v>
      </c>
      <c r="E712" s="3519">
        <f t="shared" si="11"/>
        <v>3001.6813002054923</v>
      </c>
      <c r="F712" s="3481">
        <v>160680</v>
      </c>
      <c r="G712" s="3482" t="s">
        <v>4312</v>
      </c>
    </row>
    <row r="713" spans="1:7">
      <c r="A713" s="3536">
        <v>712</v>
      </c>
      <c r="B713" s="3481" t="s">
        <v>4352</v>
      </c>
      <c r="C713" s="3481" t="s">
        <v>3338</v>
      </c>
      <c r="D713" s="3482">
        <v>187.83</v>
      </c>
      <c r="E713" s="3519">
        <f t="shared" si="11"/>
        <v>15771.197359314272</v>
      </c>
      <c r="F713" s="3481">
        <v>2962304</v>
      </c>
      <c r="G713" s="3482" t="s">
        <v>4349</v>
      </c>
    </row>
    <row r="714" spans="1:7">
      <c r="A714" s="3536">
        <v>713</v>
      </c>
      <c r="B714" s="3481" t="s">
        <v>4219</v>
      </c>
      <c r="C714" s="3481" t="s">
        <v>3338</v>
      </c>
      <c r="D714" s="3482">
        <v>186.44</v>
      </c>
      <c r="E714" s="3519">
        <f t="shared" si="11"/>
        <v>13352.579918472431</v>
      </c>
      <c r="F714" s="3481">
        <v>2489455</v>
      </c>
      <c r="G714" s="3482" t="s">
        <v>4218</v>
      </c>
    </row>
    <row r="715" spans="1:7">
      <c r="A715" s="3536">
        <v>714</v>
      </c>
      <c r="B715" s="3481" t="s">
        <v>4252</v>
      </c>
      <c r="C715" s="3481" t="s">
        <v>3338</v>
      </c>
      <c r="D715" s="3482">
        <v>52.99</v>
      </c>
      <c r="E715" s="3519">
        <f t="shared" si="11"/>
        <v>2058.1241743725232</v>
      </c>
      <c r="F715" s="3481">
        <v>109060</v>
      </c>
      <c r="G715" s="3482" t="s">
        <v>4251</v>
      </c>
    </row>
    <row r="716" spans="1:7">
      <c r="A716" s="3536">
        <v>715</v>
      </c>
      <c r="B716" s="3481" t="s">
        <v>8362</v>
      </c>
      <c r="C716" s="3481" t="s">
        <v>3395</v>
      </c>
      <c r="D716" s="3482">
        <v>83.85</v>
      </c>
      <c r="E716" s="3519">
        <f t="shared" si="11"/>
        <v>33292.558139534885</v>
      </c>
      <c r="F716" s="3481">
        <v>2791581</v>
      </c>
      <c r="G716" s="3482" t="s">
        <v>4277</v>
      </c>
    </row>
    <row r="717" spans="1:7">
      <c r="A717" s="3536">
        <v>716</v>
      </c>
      <c r="B717" s="3481" t="s">
        <v>8398</v>
      </c>
      <c r="C717" s="3481" t="s">
        <v>3395</v>
      </c>
      <c r="D717" s="3482">
        <v>83.46</v>
      </c>
      <c r="E717" s="3519">
        <f t="shared" si="11"/>
        <v>32633.860531991377</v>
      </c>
      <c r="F717" s="3481">
        <v>2723622</v>
      </c>
      <c r="G717" s="3482" t="s">
        <v>4290</v>
      </c>
    </row>
    <row r="718" spans="1:7">
      <c r="A718" s="3536">
        <v>717</v>
      </c>
      <c r="B718" s="3481" t="s">
        <v>8418</v>
      </c>
      <c r="C718" s="3481" t="s">
        <v>3395</v>
      </c>
      <c r="D718" s="3482">
        <v>83.85</v>
      </c>
      <c r="E718" s="3519">
        <f t="shared" si="11"/>
        <v>33292.558139534885</v>
      </c>
      <c r="F718" s="3481">
        <v>2791581</v>
      </c>
      <c r="G718" s="3482" t="s">
        <v>4303</v>
      </c>
    </row>
    <row r="719" spans="1:7">
      <c r="A719" s="3536">
        <v>718</v>
      </c>
      <c r="B719" s="3481" t="s">
        <v>8407</v>
      </c>
      <c r="C719" s="3481" t="s">
        <v>3395</v>
      </c>
      <c r="D719" s="3482">
        <v>83.46</v>
      </c>
      <c r="E719" s="3519">
        <f t="shared" si="11"/>
        <v>32963.491492930749</v>
      </c>
      <c r="F719" s="3481">
        <v>2751133</v>
      </c>
      <c r="G719" s="3482" t="s">
        <v>8408</v>
      </c>
    </row>
    <row r="720" spans="1:7">
      <c r="A720" s="3536">
        <v>719</v>
      </c>
      <c r="B720" s="3481" t="s">
        <v>5778</v>
      </c>
      <c r="C720" s="3481" t="s">
        <v>3395</v>
      </c>
      <c r="D720" s="3482">
        <v>83.85</v>
      </c>
      <c r="E720" s="3519">
        <f t="shared" si="11"/>
        <v>33387.012522361365</v>
      </c>
      <c r="F720" s="3481">
        <v>2799501</v>
      </c>
      <c r="G720" s="3482" t="s">
        <v>3888</v>
      </c>
    </row>
    <row r="721" spans="1:7">
      <c r="A721" s="3536">
        <v>720</v>
      </c>
      <c r="B721" s="3481" t="s">
        <v>8419</v>
      </c>
      <c r="C721" s="3481" t="s">
        <v>3395</v>
      </c>
      <c r="D721" s="3482">
        <v>83.46</v>
      </c>
      <c r="E721" s="3519">
        <f t="shared" si="11"/>
        <v>33972.513779055836</v>
      </c>
      <c r="F721" s="3481">
        <v>2835346</v>
      </c>
      <c r="G721" s="3482" t="s">
        <v>4303</v>
      </c>
    </row>
    <row r="722" spans="1:7">
      <c r="A722" s="3536">
        <v>721</v>
      </c>
      <c r="B722" s="3481" t="s">
        <v>7412</v>
      </c>
      <c r="C722" s="3481" t="s">
        <v>3395</v>
      </c>
      <c r="D722" s="3482">
        <v>74.150000000000006</v>
      </c>
      <c r="E722" s="3519">
        <f t="shared" si="11"/>
        <v>35226.500337154415</v>
      </c>
      <c r="F722" s="3481">
        <v>2612045</v>
      </c>
      <c r="G722" s="3482" t="s">
        <v>7413</v>
      </c>
    </row>
    <row r="723" spans="1:7">
      <c r="A723" s="3536">
        <v>722</v>
      </c>
      <c r="B723" s="3481" t="s">
        <v>8434</v>
      </c>
      <c r="C723" s="3481" t="s">
        <v>3395</v>
      </c>
      <c r="D723" s="3482">
        <v>73.69</v>
      </c>
      <c r="E723" s="3519">
        <f t="shared" si="11"/>
        <v>35446.397068801736</v>
      </c>
      <c r="F723" s="3481">
        <v>2612045</v>
      </c>
      <c r="G723" s="3482" t="s">
        <v>8435</v>
      </c>
    </row>
    <row r="724" spans="1:7">
      <c r="A724" s="3536">
        <v>723</v>
      </c>
      <c r="B724" s="3481" t="s">
        <v>8448</v>
      </c>
      <c r="C724" s="3481" t="s">
        <v>5318</v>
      </c>
      <c r="D724" s="3482">
        <v>178.14</v>
      </c>
      <c r="E724" s="3519">
        <f t="shared" si="11"/>
        <v>27166.273717301003</v>
      </c>
      <c r="F724" s="3481">
        <v>4839400</v>
      </c>
      <c r="G724" s="3482" t="s">
        <v>4331</v>
      </c>
    </row>
    <row r="725" spans="1:7">
      <c r="A725" s="3536">
        <v>724</v>
      </c>
      <c r="B725" s="3481" t="s">
        <v>4330</v>
      </c>
      <c r="C725" s="3481" t="s">
        <v>3338</v>
      </c>
      <c r="D725" s="3482">
        <v>25.76</v>
      </c>
      <c r="E725" s="3519">
        <f t="shared" si="11"/>
        <v>3000</v>
      </c>
      <c r="F725" s="3481">
        <v>77280</v>
      </c>
      <c r="G725" s="3482" t="s">
        <v>4331</v>
      </c>
    </row>
    <row r="726" spans="1:7">
      <c r="A726" s="3536">
        <v>725</v>
      </c>
      <c r="B726" s="3481" t="s">
        <v>8336</v>
      </c>
      <c r="C726" s="3481" t="s">
        <v>5305</v>
      </c>
      <c r="D726" s="3482">
        <v>72.989999999999995</v>
      </c>
      <c r="E726" s="3519">
        <f t="shared" si="11"/>
        <v>37223.592272914102</v>
      </c>
      <c r="F726" s="3481">
        <v>2716950</v>
      </c>
      <c r="G726" s="3482" t="s">
        <v>4254</v>
      </c>
    </row>
    <row r="727" spans="1:7">
      <c r="A727" s="3536">
        <v>726</v>
      </c>
      <c r="B727" s="3481" t="s">
        <v>4253</v>
      </c>
      <c r="C727" s="3481" t="s">
        <v>3338</v>
      </c>
      <c r="D727" s="3482">
        <v>96.96</v>
      </c>
      <c r="E727" s="3519">
        <f t="shared" si="11"/>
        <v>15355.09488448845</v>
      </c>
      <c r="F727" s="3481">
        <v>1488830</v>
      </c>
      <c r="G727" s="3482" t="s">
        <v>4254</v>
      </c>
    </row>
    <row r="728" spans="1:7">
      <c r="A728" s="3536">
        <v>727</v>
      </c>
      <c r="B728" s="3481" t="s">
        <v>8403</v>
      </c>
      <c r="C728" s="3481" t="s">
        <v>5318</v>
      </c>
      <c r="D728" s="3482">
        <v>178.14</v>
      </c>
      <c r="E728" s="3519">
        <f t="shared" si="11"/>
        <v>27727.62995396879</v>
      </c>
      <c r="F728" s="3481">
        <v>4939400</v>
      </c>
      <c r="G728" s="3482" t="s">
        <v>4297</v>
      </c>
    </row>
    <row r="729" spans="1:7">
      <c r="A729" s="3536">
        <v>728</v>
      </c>
      <c r="B729" s="3481" t="s">
        <v>4296</v>
      </c>
      <c r="C729" s="3481" t="s">
        <v>3338</v>
      </c>
      <c r="D729" s="3482">
        <v>25.76</v>
      </c>
      <c r="E729" s="3519">
        <f t="shared" si="11"/>
        <v>1059.0062111801242</v>
      </c>
      <c r="F729" s="3481">
        <v>27280</v>
      </c>
      <c r="G729" s="3482" t="s">
        <v>4297</v>
      </c>
    </row>
    <row r="730" spans="1:7">
      <c r="A730" s="3536">
        <v>729</v>
      </c>
      <c r="B730" s="3481" t="s">
        <v>4332</v>
      </c>
      <c r="C730" s="3481" t="s">
        <v>3338</v>
      </c>
      <c r="D730" s="3482">
        <v>28.28</v>
      </c>
      <c r="E730" s="3519">
        <f t="shared" si="11"/>
        <v>3000</v>
      </c>
      <c r="F730" s="3481">
        <v>84840</v>
      </c>
      <c r="G730" s="3482" t="s">
        <v>4331</v>
      </c>
    </row>
    <row r="731" spans="1:7">
      <c r="A731" s="3536">
        <v>730</v>
      </c>
      <c r="B731" s="3481" t="s">
        <v>4255</v>
      </c>
      <c r="C731" s="3481" t="s">
        <v>3338</v>
      </c>
      <c r="D731" s="3482">
        <v>181.55</v>
      </c>
      <c r="E731" s="3519">
        <f t="shared" si="11"/>
        <v>17018.727623244285</v>
      </c>
      <c r="F731" s="3481">
        <v>3089750</v>
      </c>
      <c r="G731" s="3482" t="s">
        <v>4254</v>
      </c>
    </row>
    <row r="732" spans="1:7">
      <c r="A732" s="3536">
        <v>731</v>
      </c>
      <c r="B732" s="3481" t="s">
        <v>4298</v>
      </c>
      <c r="C732" s="3481" t="s">
        <v>3338</v>
      </c>
      <c r="D732" s="3482">
        <v>28.28</v>
      </c>
      <c r="E732" s="3519">
        <f t="shared" si="11"/>
        <v>3000</v>
      </c>
      <c r="F732" s="3481">
        <v>84840</v>
      </c>
      <c r="G732" s="3482" t="s">
        <v>4297</v>
      </c>
    </row>
    <row r="733" spans="1:7">
      <c r="A733" s="3536">
        <v>732</v>
      </c>
      <c r="B733" s="3481" t="s">
        <v>8420</v>
      </c>
      <c r="C733" s="3481" t="s">
        <v>3395</v>
      </c>
      <c r="D733" s="3482">
        <v>83.46</v>
      </c>
      <c r="E733" s="3519">
        <f t="shared" si="11"/>
        <v>32963.491492930749</v>
      </c>
      <c r="F733" s="3481">
        <v>2751133</v>
      </c>
      <c r="G733" s="3482" t="s">
        <v>4303</v>
      </c>
    </row>
    <row r="734" spans="1:7">
      <c r="A734" s="3536">
        <v>733</v>
      </c>
      <c r="B734" s="3481" t="s">
        <v>8390</v>
      </c>
      <c r="C734" s="3481" t="s">
        <v>3395</v>
      </c>
      <c r="D734" s="3482">
        <v>83.46</v>
      </c>
      <c r="E734" s="3519">
        <f t="shared" si="11"/>
        <v>33296.45339084592</v>
      </c>
      <c r="F734" s="3481">
        <v>2778922</v>
      </c>
      <c r="G734" s="3482" t="s">
        <v>4285</v>
      </c>
    </row>
    <row r="735" spans="1:7">
      <c r="A735" s="3536">
        <v>734</v>
      </c>
      <c r="B735" s="3481" t="s">
        <v>8382</v>
      </c>
      <c r="C735" s="3481" t="s">
        <v>3395</v>
      </c>
      <c r="D735" s="3482">
        <v>83.46</v>
      </c>
      <c r="E735" s="3519">
        <f t="shared" si="11"/>
        <v>32963.491492930749</v>
      </c>
      <c r="F735" s="3481">
        <v>2751133</v>
      </c>
      <c r="G735" s="3482" t="s">
        <v>8379</v>
      </c>
    </row>
    <row r="736" spans="1:7">
      <c r="A736" s="3536">
        <v>735</v>
      </c>
      <c r="B736" s="3481" t="s">
        <v>8421</v>
      </c>
      <c r="C736" s="3481" t="s">
        <v>3395</v>
      </c>
      <c r="D736" s="3482">
        <v>83.46</v>
      </c>
      <c r="E736" s="3519">
        <f t="shared" si="11"/>
        <v>33296.45339084592</v>
      </c>
      <c r="F736" s="3481">
        <v>2778922</v>
      </c>
      <c r="G736" s="3482" t="s">
        <v>4303</v>
      </c>
    </row>
    <row r="737" spans="1:7">
      <c r="A737" s="3536">
        <v>736</v>
      </c>
      <c r="B737" s="3481" t="s">
        <v>8346</v>
      </c>
      <c r="C737" s="3481" t="s">
        <v>3395</v>
      </c>
      <c r="D737" s="3482">
        <v>83.46</v>
      </c>
      <c r="E737" s="3519">
        <f t="shared" si="11"/>
        <v>32963.491492930749</v>
      </c>
      <c r="F737" s="3481">
        <v>2751133</v>
      </c>
      <c r="G737" s="3482" t="s">
        <v>4264</v>
      </c>
    </row>
    <row r="738" spans="1:7">
      <c r="A738" s="3536">
        <v>737</v>
      </c>
      <c r="B738" s="3481" t="s">
        <v>8329</v>
      </c>
      <c r="C738" s="3481" t="s">
        <v>3395</v>
      </c>
      <c r="D738" s="3482">
        <v>83.46</v>
      </c>
      <c r="E738" s="3519">
        <f t="shared" si="11"/>
        <v>33632.782171099934</v>
      </c>
      <c r="F738" s="3481">
        <v>2806992</v>
      </c>
      <c r="G738" s="3482" t="s">
        <v>8328</v>
      </c>
    </row>
    <row r="739" spans="1:7">
      <c r="A739" s="3536">
        <v>738</v>
      </c>
      <c r="B739" s="3481" t="s">
        <v>8464</v>
      </c>
      <c r="C739" s="3481" t="s">
        <v>3395</v>
      </c>
      <c r="D739" s="3482">
        <v>73.69</v>
      </c>
      <c r="E739" s="3519">
        <f t="shared" si="11"/>
        <v>34867.878952368032</v>
      </c>
      <c r="F739" s="3481">
        <v>2569414</v>
      </c>
      <c r="G739" s="3482" t="s">
        <v>8465</v>
      </c>
    </row>
    <row r="740" spans="1:7">
      <c r="A740" s="3536">
        <v>739</v>
      </c>
      <c r="B740" s="3481" t="s">
        <v>7435</v>
      </c>
      <c r="C740" s="3481" t="s">
        <v>3395</v>
      </c>
      <c r="D740" s="3482">
        <v>73.69</v>
      </c>
      <c r="E740" s="3519">
        <f t="shared" si="11"/>
        <v>36002.605509567104</v>
      </c>
      <c r="F740" s="3481">
        <v>2653032</v>
      </c>
      <c r="G740" s="3482" t="s">
        <v>7436</v>
      </c>
    </row>
    <row r="741" spans="1:7">
      <c r="A741" s="3536">
        <v>740</v>
      </c>
      <c r="B741" s="3481" t="s">
        <v>8400</v>
      </c>
      <c r="C741" s="3481" t="s">
        <v>5318</v>
      </c>
      <c r="D741" s="3482">
        <v>192.68</v>
      </c>
      <c r="E741" s="3519">
        <f t="shared" si="11"/>
        <v>25212.897031347311</v>
      </c>
      <c r="F741" s="3481">
        <v>4858021</v>
      </c>
      <c r="G741" s="3482" t="s">
        <v>4290</v>
      </c>
    </row>
    <row r="742" spans="1:7">
      <c r="A742" s="3536">
        <v>741</v>
      </c>
      <c r="B742" s="3481" t="s">
        <v>4289</v>
      </c>
      <c r="C742" s="3481" t="s">
        <v>3338</v>
      </c>
      <c r="D742" s="3482">
        <v>12.5</v>
      </c>
      <c r="E742" s="3519">
        <f t="shared" si="11"/>
        <v>3000</v>
      </c>
      <c r="F742" s="3481">
        <v>37500</v>
      </c>
      <c r="G742" s="3482" t="s">
        <v>4290</v>
      </c>
    </row>
    <row r="743" spans="1:7">
      <c r="A743" s="3536">
        <v>742</v>
      </c>
      <c r="B743" s="3481" t="s">
        <v>8256</v>
      </c>
      <c r="C743" s="3481" t="s">
        <v>5305</v>
      </c>
      <c r="D743" s="3482">
        <v>72.989999999999995</v>
      </c>
      <c r="E743" s="3519">
        <f t="shared" si="11"/>
        <v>37223.592272914102</v>
      </c>
      <c r="F743" s="3481">
        <v>2716950</v>
      </c>
      <c r="G743" s="3482" t="s">
        <v>4218</v>
      </c>
    </row>
    <row r="744" spans="1:7">
      <c r="A744" s="3536">
        <v>743</v>
      </c>
      <c r="B744" s="3481" t="s">
        <v>4209</v>
      </c>
      <c r="C744" s="3481" t="s">
        <v>3338</v>
      </c>
      <c r="D744" s="3482">
        <v>96.86</v>
      </c>
      <c r="E744" s="3519">
        <f t="shared" si="11"/>
        <v>13637.714226718976</v>
      </c>
      <c r="F744" s="3481">
        <v>1320949</v>
      </c>
      <c r="G744" s="3482" t="s">
        <v>4210</v>
      </c>
    </row>
    <row r="745" spans="1:7">
      <c r="A745" s="3536">
        <v>744</v>
      </c>
      <c r="B745" s="3481" t="s">
        <v>8222</v>
      </c>
      <c r="C745" s="3481" t="s">
        <v>5305</v>
      </c>
      <c r="D745" s="3482">
        <v>72.989999999999995</v>
      </c>
      <c r="E745" s="3519">
        <f t="shared" si="11"/>
        <v>37223.592272914102</v>
      </c>
      <c r="F745" s="3481">
        <v>2716950</v>
      </c>
      <c r="G745" s="3482" t="s">
        <v>4188</v>
      </c>
    </row>
    <row r="746" spans="1:7">
      <c r="A746" s="3536">
        <v>745</v>
      </c>
      <c r="B746" s="3481" t="s">
        <v>4187</v>
      </c>
      <c r="C746" s="3481" t="s">
        <v>3338</v>
      </c>
      <c r="D746" s="3482">
        <v>98.9</v>
      </c>
      <c r="E746" s="3519">
        <f t="shared" si="11"/>
        <v>13059.342770475227</v>
      </c>
      <c r="F746" s="3481">
        <v>1291569</v>
      </c>
      <c r="G746" s="3482" t="s">
        <v>4188</v>
      </c>
    </row>
    <row r="747" spans="1:7">
      <c r="A747" s="3536">
        <v>746</v>
      </c>
      <c r="B747" s="3481" t="s">
        <v>8392</v>
      </c>
      <c r="C747" s="3481" t="s">
        <v>5318</v>
      </c>
      <c r="D747" s="3482">
        <v>193.15</v>
      </c>
      <c r="E747" s="3519">
        <f t="shared" si="11"/>
        <v>25117.219777375096</v>
      </c>
      <c r="F747" s="3481">
        <v>4851391</v>
      </c>
      <c r="G747" s="3482" t="s">
        <v>4285</v>
      </c>
    </row>
    <row r="748" spans="1:7">
      <c r="A748" s="3536">
        <v>747</v>
      </c>
      <c r="B748" s="3481" t="s">
        <v>4284</v>
      </c>
      <c r="C748" s="3481" t="s">
        <v>3338</v>
      </c>
      <c r="D748" s="3482">
        <v>12.5</v>
      </c>
      <c r="E748" s="3519">
        <f t="shared" si="11"/>
        <v>3000</v>
      </c>
      <c r="F748" s="3481">
        <v>37500</v>
      </c>
      <c r="G748" s="3482" t="s">
        <v>4285</v>
      </c>
    </row>
    <row r="749" spans="1:7">
      <c r="A749" s="3536">
        <v>748</v>
      </c>
      <c r="B749" s="3481" t="s">
        <v>4291</v>
      </c>
      <c r="C749" s="3481" t="s">
        <v>3338</v>
      </c>
      <c r="D749" s="3482">
        <v>52.99</v>
      </c>
      <c r="E749" s="3519">
        <f t="shared" si="11"/>
        <v>3001.6984336667297</v>
      </c>
      <c r="F749" s="3481">
        <v>159060</v>
      </c>
      <c r="G749" s="3482" t="s">
        <v>4290</v>
      </c>
    </row>
    <row r="750" spans="1:7">
      <c r="A750" s="3536">
        <v>749</v>
      </c>
      <c r="B750" s="3481" t="s">
        <v>4220</v>
      </c>
      <c r="C750" s="3481" t="s">
        <v>3338</v>
      </c>
      <c r="D750" s="3482">
        <v>186.44</v>
      </c>
      <c r="E750" s="3519">
        <f t="shared" si="11"/>
        <v>13634.95494529071</v>
      </c>
      <c r="F750" s="3481">
        <v>2542101</v>
      </c>
      <c r="G750" s="3482" t="s">
        <v>4218</v>
      </c>
    </row>
    <row r="751" spans="1:7">
      <c r="A751" s="3536">
        <v>750</v>
      </c>
      <c r="B751" s="3481" t="s">
        <v>4189</v>
      </c>
      <c r="C751" s="3481" t="s">
        <v>3338</v>
      </c>
      <c r="D751" s="3482">
        <v>190.3</v>
      </c>
      <c r="E751" s="3519">
        <f t="shared" si="11"/>
        <v>13092.375197057278</v>
      </c>
      <c r="F751" s="3481">
        <v>2491479</v>
      </c>
      <c r="G751" s="3482" t="s">
        <v>4188</v>
      </c>
    </row>
    <row r="752" spans="1:7">
      <c r="A752" s="3536">
        <v>751</v>
      </c>
      <c r="B752" s="3481" t="s">
        <v>4286</v>
      </c>
      <c r="C752" s="3481" t="s">
        <v>3338</v>
      </c>
      <c r="D752" s="3482">
        <v>54.63</v>
      </c>
      <c r="E752" s="3519">
        <f t="shared" si="11"/>
        <v>3032.948929159802</v>
      </c>
      <c r="F752" s="3481">
        <v>165690</v>
      </c>
      <c r="G752" s="3482" t="s">
        <v>4285</v>
      </c>
    </row>
    <row r="753" spans="1:7">
      <c r="A753" s="3536">
        <v>752</v>
      </c>
      <c r="B753" s="3481" t="s">
        <v>8354</v>
      </c>
      <c r="C753" s="3481" t="s">
        <v>3395</v>
      </c>
      <c r="D753" s="3482">
        <v>83.46</v>
      </c>
      <c r="E753" s="3519">
        <f t="shared" si="11"/>
        <v>32963.491492930749</v>
      </c>
      <c r="F753" s="3481">
        <v>2751133</v>
      </c>
      <c r="G753" s="3482" t="s">
        <v>4274</v>
      </c>
    </row>
    <row r="754" spans="1:7">
      <c r="A754" s="3536">
        <v>753</v>
      </c>
      <c r="B754" s="3481" t="s">
        <v>8372</v>
      </c>
      <c r="C754" s="3481" t="s">
        <v>3395</v>
      </c>
      <c r="D754" s="3482">
        <v>83.46</v>
      </c>
      <c r="E754" s="3519">
        <f t="shared" si="11"/>
        <v>33296.45339084592</v>
      </c>
      <c r="F754" s="3481">
        <v>2778922</v>
      </c>
      <c r="G754" s="3482" t="s">
        <v>8373</v>
      </c>
    </row>
    <row r="755" spans="1:7">
      <c r="A755" s="3536">
        <v>754</v>
      </c>
      <c r="B755" s="3481" t="s">
        <v>8422</v>
      </c>
      <c r="C755" s="3481" t="s">
        <v>3395</v>
      </c>
      <c r="D755" s="3482">
        <v>83.46</v>
      </c>
      <c r="E755" s="3519">
        <f t="shared" si="11"/>
        <v>33296.45339084592</v>
      </c>
      <c r="F755" s="3481">
        <v>2778922</v>
      </c>
      <c r="G755" s="3482" t="s">
        <v>4303</v>
      </c>
    </row>
    <row r="756" spans="1:7">
      <c r="A756" s="3536">
        <v>755</v>
      </c>
      <c r="B756" s="3481" t="s">
        <v>8404</v>
      </c>
      <c r="C756" s="3481" t="s">
        <v>3395</v>
      </c>
      <c r="D756" s="3482">
        <v>83.46</v>
      </c>
      <c r="E756" s="3519">
        <f t="shared" si="11"/>
        <v>33296.45339084592</v>
      </c>
      <c r="F756" s="3481">
        <v>2778922</v>
      </c>
      <c r="G756" s="3482" t="s">
        <v>8405</v>
      </c>
    </row>
    <row r="757" spans="1:7">
      <c r="A757" s="3536">
        <v>756</v>
      </c>
      <c r="B757" s="3481" t="s">
        <v>7978</v>
      </c>
      <c r="C757" s="3481" t="s">
        <v>3395</v>
      </c>
      <c r="D757" s="3482">
        <v>83.46</v>
      </c>
      <c r="E757" s="3519">
        <f t="shared" si="11"/>
        <v>33632.782171099934</v>
      </c>
      <c r="F757" s="3481">
        <v>2806992</v>
      </c>
      <c r="G757" s="3482" t="s">
        <v>4031</v>
      </c>
    </row>
    <row r="758" spans="1:7">
      <c r="A758" s="3536">
        <v>757</v>
      </c>
      <c r="B758" s="3481" t="s">
        <v>8376</v>
      </c>
      <c r="C758" s="3481" t="s">
        <v>3395</v>
      </c>
      <c r="D758" s="3482">
        <v>83.46</v>
      </c>
      <c r="E758" s="3519">
        <f t="shared" si="11"/>
        <v>33296.45339084592</v>
      </c>
      <c r="F758" s="3481">
        <v>2778922</v>
      </c>
      <c r="G758" s="3482" t="s">
        <v>8377</v>
      </c>
    </row>
    <row r="759" spans="1:7">
      <c r="A759" s="3536">
        <v>758</v>
      </c>
      <c r="B759" s="3481" t="s">
        <v>8409</v>
      </c>
      <c r="C759" s="3481" t="s">
        <v>3395</v>
      </c>
      <c r="D759" s="3482">
        <v>73.69</v>
      </c>
      <c r="E759" s="3519">
        <f t="shared" si="11"/>
        <v>34867.878952368032</v>
      </c>
      <c r="F759" s="3481">
        <v>2569414</v>
      </c>
      <c r="G759" s="3482" t="s">
        <v>8408</v>
      </c>
    </row>
    <row r="760" spans="1:7">
      <c r="A760" s="3536">
        <v>759</v>
      </c>
      <c r="B760" s="3481" t="s">
        <v>8412</v>
      </c>
      <c r="C760" s="3481" t="s">
        <v>3395</v>
      </c>
      <c r="D760" s="3482">
        <v>73.69</v>
      </c>
      <c r="E760" s="3519">
        <f t="shared" si="11"/>
        <v>34867.878952368032</v>
      </c>
      <c r="F760" s="3481">
        <v>2569414</v>
      </c>
      <c r="G760" s="3482" t="s">
        <v>4300</v>
      </c>
    </row>
    <row r="761" spans="1:7">
      <c r="A761" s="3536">
        <v>760</v>
      </c>
      <c r="B761" s="3481" t="s">
        <v>8352</v>
      </c>
      <c r="C761" s="3481" t="s">
        <v>5318</v>
      </c>
      <c r="D761" s="3482">
        <v>193.15</v>
      </c>
      <c r="E761" s="3519">
        <f t="shared" si="11"/>
        <v>25652.347916127361</v>
      </c>
      <c r="F761" s="3481">
        <v>4954751</v>
      </c>
      <c r="G761" s="3482" t="s">
        <v>4271</v>
      </c>
    </row>
    <row r="762" spans="1:7">
      <c r="A762" s="3536">
        <v>761</v>
      </c>
      <c r="B762" s="3481" t="s">
        <v>4270</v>
      </c>
      <c r="C762" s="3481" t="s">
        <v>3338</v>
      </c>
      <c r="D762" s="3482">
        <v>12.5</v>
      </c>
      <c r="E762" s="3519">
        <f t="shared" si="11"/>
        <v>3000</v>
      </c>
      <c r="F762" s="3481">
        <v>37500</v>
      </c>
      <c r="G762" s="3482" t="s">
        <v>4271</v>
      </c>
    </row>
    <row r="763" spans="1:7">
      <c r="A763" s="3536">
        <v>762</v>
      </c>
      <c r="B763" s="3481" t="s">
        <v>8267</v>
      </c>
      <c r="C763" s="3481" t="s">
        <v>5305</v>
      </c>
      <c r="D763" s="3482">
        <v>72.989999999999995</v>
      </c>
      <c r="E763" s="3519">
        <f t="shared" si="11"/>
        <v>37223.592272914102</v>
      </c>
      <c r="F763" s="3481">
        <v>2716950</v>
      </c>
      <c r="G763" s="3482" t="s">
        <v>4224</v>
      </c>
    </row>
    <row r="764" spans="1:7">
      <c r="A764" s="3536">
        <v>763</v>
      </c>
      <c r="B764" s="3481" t="s">
        <v>4223</v>
      </c>
      <c r="C764" s="3481" t="s">
        <v>3338</v>
      </c>
      <c r="D764" s="3482">
        <v>98.9</v>
      </c>
      <c r="E764" s="3519">
        <f t="shared" si="11"/>
        <v>13799.211324570273</v>
      </c>
      <c r="F764" s="3481">
        <v>1364742</v>
      </c>
      <c r="G764" s="3482" t="s">
        <v>4224</v>
      </c>
    </row>
    <row r="765" spans="1:7">
      <c r="A765" s="3536">
        <v>764</v>
      </c>
      <c r="B765" s="3481" t="s">
        <v>8071</v>
      </c>
      <c r="C765" s="3481" t="s">
        <v>5305</v>
      </c>
      <c r="D765" s="3482">
        <v>72.989999999999995</v>
      </c>
      <c r="E765" s="3519">
        <f t="shared" si="11"/>
        <v>37223.592272914102</v>
      </c>
      <c r="F765" s="3481">
        <v>2716950</v>
      </c>
      <c r="G765" s="3482" t="s">
        <v>4104</v>
      </c>
    </row>
    <row r="766" spans="1:7">
      <c r="A766" s="3536">
        <v>765</v>
      </c>
      <c r="B766" s="3481" t="s">
        <v>4118</v>
      </c>
      <c r="C766" s="3481" t="s">
        <v>3338</v>
      </c>
      <c r="D766" s="3482">
        <v>96.86</v>
      </c>
      <c r="E766" s="3519">
        <f t="shared" si="11"/>
        <v>13531.808796200703</v>
      </c>
      <c r="F766" s="3481">
        <v>1310691</v>
      </c>
      <c r="G766" s="3482" t="s">
        <v>4104</v>
      </c>
    </row>
    <row r="767" spans="1:7">
      <c r="A767" s="3536">
        <v>766</v>
      </c>
      <c r="B767" s="3481" t="s">
        <v>8388</v>
      </c>
      <c r="C767" s="3481" t="s">
        <v>5318</v>
      </c>
      <c r="D767" s="3482">
        <v>192.68</v>
      </c>
      <c r="E767" s="3519">
        <f t="shared" si="11"/>
        <v>25212.897031347311</v>
      </c>
      <c r="F767" s="3481">
        <v>4858021</v>
      </c>
      <c r="G767" s="3482" t="s">
        <v>4280</v>
      </c>
    </row>
    <row r="768" spans="1:7">
      <c r="A768" s="3536">
        <v>767</v>
      </c>
      <c r="B768" s="3481" t="s">
        <v>4279</v>
      </c>
      <c r="C768" s="3481" t="s">
        <v>3338</v>
      </c>
      <c r="D768" s="3482">
        <v>12.5</v>
      </c>
      <c r="E768" s="3519">
        <f t="shared" si="11"/>
        <v>3000</v>
      </c>
      <c r="F768" s="3481">
        <v>37500</v>
      </c>
      <c r="G768" s="3482" t="s">
        <v>4280</v>
      </c>
    </row>
    <row r="769" spans="1:7">
      <c r="A769" s="3536">
        <v>768</v>
      </c>
      <c r="B769" s="3481" t="s">
        <v>4272</v>
      </c>
      <c r="C769" s="3481" t="s">
        <v>3338</v>
      </c>
      <c r="D769" s="3482">
        <v>54.63</v>
      </c>
      <c r="E769" s="3519">
        <f t="shared" si="11"/>
        <v>2971.4442613948377</v>
      </c>
      <c r="F769" s="3481">
        <v>162330</v>
      </c>
      <c r="G769" s="3482" t="s">
        <v>4271</v>
      </c>
    </row>
    <row r="770" spans="1:7">
      <c r="A770" s="3536">
        <v>769</v>
      </c>
      <c r="B770" s="3481" t="s">
        <v>4225</v>
      </c>
      <c r="C770" s="3481" t="s">
        <v>3338</v>
      </c>
      <c r="D770" s="3482">
        <v>190.3</v>
      </c>
      <c r="E770" s="3519">
        <f t="shared" si="11"/>
        <v>13758.83867577509</v>
      </c>
      <c r="F770" s="3481">
        <v>2618307</v>
      </c>
      <c r="G770" s="3482" t="s">
        <v>4224</v>
      </c>
    </row>
    <row r="771" spans="1:7">
      <c r="A771" s="3536">
        <v>770</v>
      </c>
      <c r="B771" s="3481" t="s">
        <v>4119</v>
      </c>
      <c r="C771" s="3481" t="s">
        <v>3338</v>
      </c>
      <c r="D771" s="3482">
        <v>186.44</v>
      </c>
      <c r="E771" s="3519">
        <f t="shared" ref="E771:E834" si="12">F771/D771</f>
        <v>13529.065651147823</v>
      </c>
      <c r="F771" s="3481">
        <v>2522359</v>
      </c>
      <c r="G771" s="3482" t="s">
        <v>4104</v>
      </c>
    </row>
    <row r="772" spans="1:7">
      <c r="A772" s="3536">
        <v>771</v>
      </c>
      <c r="B772" s="3481" t="s">
        <v>4281</v>
      </c>
      <c r="C772" s="3481" t="s">
        <v>3338</v>
      </c>
      <c r="D772" s="3482">
        <v>52.99</v>
      </c>
      <c r="E772" s="3519">
        <f t="shared" si="12"/>
        <v>1114.5499150783166</v>
      </c>
      <c r="F772" s="3481">
        <v>59060</v>
      </c>
      <c r="G772" s="3482" t="s">
        <v>4280</v>
      </c>
    </row>
    <row r="773" spans="1:7">
      <c r="A773" s="3536">
        <v>772</v>
      </c>
      <c r="B773" s="3481" t="s">
        <v>7811</v>
      </c>
      <c r="C773" s="3481" t="s">
        <v>3395</v>
      </c>
      <c r="D773" s="3482">
        <v>83.46</v>
      </c>
      <c r="E773" s="3519">
        <f t="shared" si="12"/>
        <v>34148.094895758448</v>
      </c>
      <c r="F773" s="3481">
        <v>2850000</v>
      </c>
      <c r="G773" s="3482" t="s">
        <v>3930</v>
      </c>
    </row>
    <row r="774" spans="1:7">
      <c r="A774" s="3536">
        <v>773</v>
      </c>
      <c r="B774" s="3481" t="s">
        <v>8374</v>
      </c>
      <c r="C774" s="3481" t="s">
        <v>3395</v>
      </c>
      <c r="D774" s="3482">
        <v>83.46</v>
      </c>
      <c r="E774" s="3519">
        <f t="shared" si="12"/>
        <v>33296.45339084592</v>
      </c>
      <c r="F774" s="3481">
        <v>2778922</v>
      </c>
      <c r="G774" s="3482" t="s">
        <v>8373</v>
      </c>
    </row>
    <row r="775" spans="1:7">
      <c r="A775" s="3536">
        <v>774</v>
      </c>
      <c r="B775" s="3481" t="s">
        <v>8360</v>
      </c>
      <c r="C775" s="3481" t="s">
        <v>3395</v>
      </c>
      <c r="D775" s="3482">
        <v>83.46</v>
      </c>
      <c r="E775" s="3519">
        <f t="shared" si="12"/>
        <v>32963.491492930749</v>
      </c>
      <c r="F775" s="3481">
        <v>2751133</v>
      </c>
      <c r="G775" s="3482" t="s">
        <v>8361</v>
      </c>
    </row>
    <row r="776" spans="1:7">
      <c r="A776" s="3536">
        <v>775</v>
      </c>
      <c r="B776" s="3481" t="s">
        <v>8319</v>
      </c>
      <c r="C776" s="3481" t="s">
        <v>3395</v>
      </c>
      <c r="D776" s="3482">
        <v>83.46</v>
      </c>
      <c r="E776" s="3519">
        <f t="shared" si="12"/>
        <v>33632.782171099934</v>
      </c>
      <c r="F776" s="3481">
        <v>2806992</v>
      </c>
      <c r="G776" s="3482" t="s">
        <v>8320</v>
      </c>
    </row>
    <row r="777" spans="1:7">
      <c r="A777" s="3536">
        <v>776</v>
      </c>
      <c r="B777" s="3481" t="s">
        <v>6889</v>
      </c>
      <c r="C777" s="3481" t="s">
        <v>3395</v>
      </c>
      <c r="D777" s="3482">
        <v>83.46</v>
      </c>
      <c r="E777" s="3519">
        <f t="shared" si="12"/>
        <v>28756.29043853343</v>
      </c>
      <c r="F777" s="3481">
        <v>2400000</v>
      </c>
      <c r="G777" s="3482" t="s">
        <v>3437</v>
      </c>
    </row>
    <row r="778" spans="1:7">
      <c r="A778" s="3536">
        <v>777</v>
      </c>
      <c r="B778" s="3481" t="s">
        <v>8332</v>
      </c>
      <c r="C778" s="3481" t="s">
        <v>3395</v>
      </c>
      <c r="D778" s="3482">
        <v>83.46</v>
      </c>
      <c r="E778" s="3519">
        <f t="shared" si="12"/>
        <v>33296.45339084592</v>
      </c>
      <c r="F778" s="3481">
        <v>2778922</v>
      </c>
      <c r="G778" s="3482" t="s">
        <v>8333</v>
      </c>
    </row>
    <row r="779" spans="1:7">
      <c r="A779" s="3536">
        <v>778</v>
      </c>
      <c r="B779" s="3481" t="s">
        <v>8337</v>
      </c>
      <c r="C779" s="3481" t="s">
        <v>3395</v>
      </c>
      <c r="D779" s="3482">
        <v>73.69</v>
      </c>
      <c r="E779" s="3519">
        <f t="shared" si="12"/>
        <v>34508.413624643777</v>
      </c>
      <c r="F779" s="3481">
        <v>2542925</v>
      </c>
      <c r="G779" s="3482" t="s">
        <v>4254</v>
      </c>
    </row>
    <row r="780" spans="1:7">
      <c r="A780" s="3536">
        <v>779</v>
      </c>
      <c r="B780" s="3481" t="s">
        <v>8410</v>
      </c>
      <c r="C780" s="3481" t="s">
        <v>3395</v>
      </c>
      <c r="D780" s="3482">
        <v>73.69</v>
      </c>
      <c r="E780" s="3519">
        <f t="shared" si="12"/>
        <v>34519.188492332745</v>
      </c>
      <c r="F780" s="3481">
        <v>2543719</v>
      </c>
      <c r="G780" s="3482" t="s">
        <v>8408</v>
      </c>
    </row>
    <row r="781" spans="1:7">
      <c r="A781" s="3536">
        <v>780</v>
      </c>
      <c r="B781" s="3481" t="s">
        <v>8349</v>
      </c>
      <c r="C781" s="3481" t="s">
        <v>5318</v>
      </c>
      <c r="D781" s="3482">
        <v>178.14</v>
      </c>
      <c r="E781" s="3519">
        <f t="shared" si="12"/>
        <v>27166.273717301003</v>
      </c>
      <c r="F781" s="3481">
        <v>4839400</v>
      </c>
      <c r="G781" s="3482" t="s">
        <v>4264</v>
      </c>
    </row>
    <row r="782" spans="1:7">
      <c r="A782" s="3536">
        <v>781</v>
      </c>
      <c r="B782" s="3481" t="s">
        <v>4263</v>
      </c>
      <c r="C782" s="3481" t="s">
        <v>3338</v>
      </c>
      <c r="D782" s="3482">
        <v>25.76</v>
      </c>
      <c r="E782" s="3519">
        <f t="shared" si="12"/>
        <v>1059.0062111801242</v>
      </c>
      <c r="F782" s="3481">
        <v>27280</v>
      </c>
      <c r="G782" s="3482" t="s">
        <v>4264</v>
      </c>
    </row>
    <row r="783" spans="1:7">
      <c r="A783" s="3536">
        <v>782</v>
      </c>
      <c r="B783" s="3481" t="s">
        <v>8162</v>
      </c>
      <c r="C783" s="3481" t="s">
        <v>5305</v>
      </c>
      <c r="D783" s="3482">
        <v>72.989999999999995</v>
      </c>
      <c r="E783" s="3519">
        <f t="shared" si="12"/>
        <v>37223.592272914102</v>
      </c>
      <c r="F783" s="3481">
        <v>2716950</v>
      </c>
      <c r="G783" s="3482" t="s">
        <v>4185</v>
      </c>
    </row>
    <row r="784" spans="1:7">
      <c r="A784" s="3536">
        <v>783</v>
      </c>
      <c r="B784" s="3481" t="s">
        <v>4184</v>
      </c>
      <c r="C784" s="3481" t="s">
        <v>3338</v>
      </c>
      <c r="D784" s="3482">
        <v>96.96</v>
      </c>
      <c r="E784" s="3519">
        <f t="shared" si="12"/>
        <v>13540.284653465347</v>
      </c>
      <c r="F784" s="3481">
        <v>1312866</v>
      </c>
      <c r="G784" s="3482" t="s">
        <v>4185</v>
      </c>
    </row>
    <row r="785" spans="1:7">
      <c r="A785" s="3536">
        <v>784</v>
      </c>
      <c r="B785" s="3481" t="s">
        <v>8115</v>
      </c>
      <c r="C785" s="3481" t="s">
        <v>5305</v>
      </c>
      <c r="D785" s="3482">
        <v>72.989999999999995</v>
      </c>
      <c r="E785" s="3519">
        <f t="shared" si="12"/>
        <v>37223.592272914102</v>
      </c>
      <c r="F785" s="3481">
        <v>2716950</v>
      </c>
      <c r="G785" s="3482" t="s">
        <v>4153</v>
      </c>
    </row>
    <row r="786" spans="1:7">
      <c r="A786" s="3536">
        <v>785</v>
      </c>
      <c r="B786" s="3481" t="s">
        <v>4152</v>
      </c>
      <c r="C786" s="3481" t="s">
        <v>3338</v>
      </c>
      <c r="D786" s="3482">
        <v>96.86</v>
      </c>
      <c r="E786" s="3519">
        <f t="shared" si="12"/>
        <v>13355.296303943836</v>
      </c>
      <c r="F786" s="3481">
        <v>1293594</v>
      </c>
      <c r="G786" s="3482" t="s">
        <v>4153</v>
      </c>
    </row>
    <row r="787" spans="1:7">
      <c r="A787" s="3536">
        <v>786</v>
      </c>
      <c r="B787" s="3481" t="s">
        <v>8365</v>
      </c>
      <c r="C787" s="3481" t="s">
        <v>5318</v>
      </c>
      <c r="D787" s="3482">
        <v>178.14</v>
      </c>
      <c r="E787" s="3519">
        <f t="shared" si="12"/>
        <v>27727.62995396879</v>
      </c>
      <c r="F787" s="3481">
        <v>4939400</v>
      </c>
      <c r="G787" s="3482" t="s">
        <v>4277</v>
      </c>
    </row>
    <row r="788" spans="1:7">
      <c r="A788" s="3536">
        <v>787</v>
      </c>
      <c r="B788" s="3481" t="s">
        <v>4276</v>
      </c>
      <c r="C788" s="3481" t="s">
        <v>3338</v>
      </c>
      <c r="D788" s="3482">
        <v>25.76</v>
      </c>
      <c r="E788" s="3519">
        <f t="shared" si="12"/>
        <v>1059.0062111801242</v>
      </c>
      <c r="F788" s="3481">
        <v>27280</v>
      </c>
      <c r="G788" s="3482" t="s">
        <v>4277</v>
      </c>
    </row>
    <row r="789" spans="1:7">
      <c r="A789" s="3536">
        <v>788</v>
      </c>
      <c r="B789" s="3481" t="s">
        <v>4265</v>
      </c>
      <c r="C789" s="3481" t="s">
        <v>3338</v>
      </c>
      <c r="D789" s="3482">
        <v>28.28</v>
      </c>
      <c r="E789" s="3519">
        <f t="shared" si="12"/>
        <v>1231.9660537482318</v>
      </c>
      <c r="F789" s="3481">
        <v>34840</v>
      </c>
      <c r="G789" s="3482" t="s">
        <v>4264</v>
      </c>
    </row>
    <row r="790" spans="1:7">
      <c r="A790" s="3536">
        <v>789</v>
      </c>
      <c r="B790" s="3481" t="s">
        <v>4186</v>
      </c>
      <c r="C790" s="3481" t="s">
        <v>3338</v>
      </c>
      <c r="D790" s="3482">
        <v>181.55</v>
      </c>
      <c r="E790" s="3519">
        <f t="shared" si="12"/>
        <v>13551.005232718258</v>
      </c>
      <c r="F790" s="3481">
        <v>2460185</v>
      </c>
      <c r="G790" s="3482" t="s">
        <v>4185</v>
      </c>
    </row>
    <row r="791" spans="1:7">
      <c r="A791" s="3536">
        <v>790</v>
      </c>
      <c r="B791" s="3481" t="s">
        <v>4154</v>
      </c>
      <c r="C791" s="3481" t="s">
        <v>3338</v>
      </c>
      <c r="D791" s="3482">
        <v>186.44</v>
      </c>
      <c r="E791" s="3519">
        <f t="shared" si="12"/>
        <v>13352.590645784167</v>
      </c>
      <c r="F791" s="3481">
        <v>2489457</v>
      </c>
      <c r="G791" s="3482" t="s">
        <v>4153</v>
      </c>
    </row>
    <row r="792" spans="1:7">
      <c r="A792" s="3536">
        <v>791</v>
      </c>
      <c r="B792" s="3481" t="s">
        <v>4278</v>
      </c>
      <c r="C792" s="3481" t="s">
        <v>3338</v>
      </c>
      <c r="D792" s="3482">
        <v>28.28</v>
      </c>
      <c r="E792" s="3519">
        <f t="shared" si="12"/>
        <v>3000</v>
      </c>
      <c r="F792" s="3481">
        <v>84840</v>
      </c>
      <c r="G792" s="3482" t="s">
        <v>4277</v>
      </c>
    </row>
    <row r="793" spans="1:7">
      <c r="A793" s="3536">
        <v>792</v>
      </c>
      <c r="B793" s="3481" t="s">
        <v>8334</v>
      </c>
      <c r="C793" s="3481" t="s">
        <v>3395</v>
      </c>
      <c r="D793" s="3482">
        <v>83.46</v>
      </c>
      <c r="E793" s="3519">
        <f t="shared" si="12"/>
        <v>32963.491492930749</v>
      </c>
      <c r="F793" s="3481">
        <v>2751133</v>
      </c>
      <c r="G793" s="3482" t="s">
        <v>8335</v>
      </c>
    </row>
    <row r="794" spans="1:7">
      <c r="A794" s="3536">
        <v>793</v>
      </c>
      <c r="B794" s="3481" t="s">
        <v>7422</v>
      </c>
      <c r="C794" s="3481" t="s">
        <v>3395</v>
      </c>
      <c r="D794" s="3482">
        <v>83.46</v>
      </c>
      <c r="E794" s="3519">
        <f t="shared" si="12"/>
        <v>33296.45339084592</v>
      </c>
      <c r="F794" s="3481">
        <v>2778922</v>
      </c>
      <c r="G794" s="3482" t="s">
        <v>7423</v>
      </c>
    </row>
    <row r="795" spans="1:7">
      <c r="A795" s="3536">
        <v>794</v>
      </c>
      <c r="B795" s="3481" t="s">
        <v>8355</v>
      </c>
      <c r="C795" s="3481" t="s">
        <v>3395</v>
      </c>
      <c r="D795" s="3482">
        <v>83.46</v>
      </c>
      <c r="E795" s="3519">
        <f t="shared" si="12"/>
        <v>33632.782171099934</v>
      </c>
      <c r="F795" s="3481">
        <v>2806992</v>
      </c>
      <c r="G795" s="3482" t="s">
        <v>4274</v>
      </c>
    </row>
    <row r="796" spans="1:7">
      <c r="A796" s="3536">
        <v>795</v>
      </c>
      <c r="B796" s="3481" t="s">
        <v>8338</v>
      </c>
      <c r="C796" s="3481" t="s">
        <v>3395</v>
      </c>
      <c r="D796" s="3482">
        <v>83.46</v>
      </c>
      <c r="E796" s="3519">
        <f t="shared" si="12"/>
        <v>33296.45339084592</v>
      </c>
      <c r="F796" s="3481">
        <v>2778922</v>
      </c>
      <c r="G796" s="3482" t="s">
        <v>4254</v>
      </c>
    </row>
    <row r="797" spans="1:7">
      <c r="A797" s="3536">
        <v>796</v>
      </c>
      <c r="B797" s="3481" t="s">
        <v>8383</v>
      </c>
      <c r="C797" s="3481" t="s">
        <v>3395</v>
      </c>
      <c r="D797" s="3482">
        <v>83.46</v>
      </c>
      <c r="E797" s="3519">
        <f t="shared" si="12"/>
        <v>33632.782171099934</v>
      </c>
      <c r="F797" s="3481">
        <v>2806992</v>
      </c>
      <c r="G797" s="3482" t="s">
        <v>8379</v>
      </c>
    </row>
    <row r="798" spans="1:7">
      <c r="A798" s="3536">
        <v>797</v>
      </c>
      <c r="B798" s="3481" t="s">
        <v>6890</v>
      </c>
      <c r="C798" s="3481" t="s">
        <v>3395</v>
      </c>
      <c r="D798" s="3482">
        <v>83.46</v>
      </c>
      <c r="E798" s="3519">
        <f t="shared" si="12"/>
        <v>28157.201054397319</v>
      </c>
      <c r="F798" s="3481">
        <v>2350000</v>
      </c>
      <c r="G798" s="3482" t="s">
        <v>3437</v>
      </c>
    </row>
    <row r="799" spans="1:7">
      <c r="A799" s="3536">
        <v>798</v>
      </c>
      <c r="B799" s="3481" t="s">
        <v>8347</v>
      </c>
      <c r="C799" s="3481" t="s">
        <v>3395</v>
      </c>
      <c r="D799" s="3482">
        <v>73.69</v>
      </c>
      <c r="E799" s="3519">
        <f t="shared" si="12"/>
        <v>34519.188492332745</v>
      </c>
      <c r="F799" s="3481">
        <v>2543719</v>
      </c>
      <c r="G799" s="3482" t="s">
        <v>4264</v>
      </c>
    </row>
    <row r="800" spans="1:7">
      <c r="A800" s="3536">
        <v>799</v>
      </c>
      <c r="B800" s="3481" t="s">
        <v>8399</v>
      </c>
      <c r="C800" s="3481" t="s">
        <v>3395</v>
      </c>
      <c r="D800" s="3482">
        <v>73.69</v>
      </c>
      <c r="E800" s="3519">
        <f t="shared" si="12"/>
        <v>34519.188492332745</v>
      </c>
      <c r="F800" s="3481">
        <v>2543719</v>
      </c>
      <c r="G800" s="3482" t="s">
        <v>4290</v>
      </c>
    </row>
    <row r="801" spans="1:7">
      <c r="A801" s="3536">
        <v>800</v>
      </c>
      <c r="B801" s="3481" t="s">
        <v>8298</v>
      </c>
      <c r="C801" s="3481" t="s">
        <v>5318</v>
      </c>
      <c r="D801" s="3482">
        <v>192.68</v>
      </c>
      <c r="E801" s="3519">
        <f t="shared" si="12"/>
        <v>25991.389869213202</v>
      </c>
      <c r="F801" s="3481">
        <v>5008021</v>
      </c>
      <c r="G801" s="3482" t="s">
        <v>4237</v>
      </c>
    </row>
    <row r="802" spans="1:7">
      <c r="A802" s="3536">
        <v>801</v>
      </c>
      <c r="B802" s="3481" t="s">
        <v>4236</v>
      </c>
      <c r="C802" s="3481" t="s">
        <v>3338</v>
      </c>
      <c r="D802" s="3482">
        <v>12.5</v>
      </c>
      <c r="E802" s="3519">
        <f t="shared" si="12"/>
        <v>3000</v>
      </c>
      <c r="F802" s="3481">
        <v>37500</v>
      </c>
      <c r="G802" s="3482" t="s">
        <v>4237</v>
      </c>
    </row>
    <row r="803" spans="1:7">
      <c r="A803" s="3536">
        <v>802</v>
      </c>
      <c r="B803" s="3481" t="s">
        <v>8145</v>
      </c>
      <c r="C803" s="3481" t="s">
        <v>5305</v>
      </c>
      <c r="D803" s="3482">
        <v>72.989999999999995</v>
      </c>
      <c r="E803" s="3519">
        <f t="shared" si="12"/>
        <v>37223.592272914102</v>
      </c>
      <c r="F803" s="3481">
        <v>2716950</v>
      </c>
      <c r="G803" s="3482" t="s">
        <v>4159</v>
      </c>
    </row>
    <row r="804" spans="1:7">
      <c r="A804" s="3536">
        <v>803</v>
      </c>
      <c r="B804" s="3481" t="s">
        <v>4175</v>
      </c>
      <c r="C804" s="3481" t="s">
        <v>3338</v>
      </c>
      <c r="D804" s="3482">
        <v>96.86</v>
      </c>
      <c r="E804" s="3519">
        <f t="shared" si="12"/>
        <v>13708.321288457568</v>
      </c>
      <c r="F804" s="3481">
        <v>1327788</v>
      </c>
      <c r="G804" s="3482" t="s">
        <v>4159</v>
      </c>
    </row>
    <row r="805" spans="1:7">
      <c r="A805" s="3536">
        <v>804</v>
      </c>
      <c r="B805" s="3481" t="s">
        <v>8286</v>
      </c>
      <c r="C805" s="3481" t="s">
        <v>5305</v>
      </c>
      <c r="D805" s="3482">
        <v>73.37</v>
      </c>
      <c r="E805" s="3519">
        <f t="shared" si="12"/>
        <v>37223.701785470897</v>
      </c>
      <c r="F805" s="3481">
        <v>2731103</v>
      </c>
      <c r="G805" s="3482" t="s">
        <v>4227</v>
      </c>
    </row>
    <row r="806" spans="1:7">
      <c r="A806" s="3536">
        <v>805</v>
      </c>
      <c r="B806" s="3481" t="s">
        <v>4226</v>
      </c>
      <c r="C806" s="3481" t="s">
        <v>3338</v>
      </c>
      <c r="D806" s="3482">
        <v>98.25</v>
      </c>
      <c r="E806" s="3519">
        <f t="shared" si="12"/>
        <v>13525.59796437659</v>
      </c>
      <c r="F806" s="3481">
        <v>1328890</v>
      </c>
      <c r="G806" s="3482" t="s">
        <v>4227</v>
      </c>
    </row>
    <row r="807" spans="1:7">
      <c r="A807" s="3536">
        <v>806</v>
      </c>
      <c r="B807" s="3481" t="s">
        <v>8389</v>
      </c>
      <c r="C807" s="3481" t="s">
        <v>5318</v>
      </c>
      <c r="D807" s="3482">
        <v>193.62</v>
      </c>
      <c r="E807" s="3519">
        <f t="shared" si="12"/>
        <v>24565.649209792376</v>
      </c>
      <c r="F807" s="3481">
        <v>4756401</v>
      </c>
      <c r="G807" s="3482" t="s">
        <v>4280</v>
      </c>
    </row>
    <row r="808" spans="1:7">
      <c r="A808" s="3536">
        <v>807</v>
      </c>
      <c r="B808" s="3481" t="s">
        <v>4282</v>
      </c>
      <c r="C808" s="3481" t="s">
        <v>3338</v>
      </c>
      <c r="D808" s="3482">
        <v>12.5</v>
      </c>
      <c r="E808" s="3519">
        <f t="shared" si="12"/>
        <v>3000</v>
      </c>
      <c r="F808" s="3481">
        <v>37500</v>
      </c>
      <c r="G808" s="3482" t="s">
        <v>4280</v>
      </c>
    </row>
    <row r="809" spans="1:7">
      <c r="A809" s="3536">
        <v>808</v>
      </c>
      <c r="B809" s="3481" t="s">
        <v>4238</v>
      </c>
      <c r="C809" s="3481" t="s">
        <v>3338</v>
      </c>
      <c r="D809" s="3482">
        <v>52.99</v>
      </c>
      <c r="E809" s="3519">
        <f t="shared" si="12"/>
        <v>3001.6984336667297</v>
      </c>
      <c r="F809" s="3481">
        <v>159060</v>
      </c>
      <c r="G809" s="3482" t="s">
        <v>4237</v>
      </c>
    </row>
    <row r="810" spans="1:7">
      <c r="A810" s="3536">
        <v>809</v>
      </c>
      <c r="B810" s="3481" t="s">
        <v>4176</v>
      </c>
      <c r="C810" s="3481" t="s">
        <v>3338</v>
      </c>
      <c r="D810" s="3482">
        <v>186.44</v>
      </c>
      <c r="E810" s="3519">
        <f t="shared" si="12"/>
        <v>13705.546020167347</v>
      </c>
      <c r="F810" s="3481">
        <v>2555262</v>
      </c>
      <c r="G810" s="3482" t="s">
        <v>4159</v>
      </c>
    </row>
    <row r="811" spans="1:7">
      <c r="A811" s="3536">
        <v>810</v>
      </c>
      <c r="B811" s="3481" t="s">
        <v>4228</v>
      </c>
      <c r="C811" s="3481" t="s">
        <v>3338</v>
      </c>
      <c r="D811" s="3482">
        <v>187.83</v>
      </c>
      <c r="E811" s="3519">
        <f t="shared" si="12"/>
        <v>13522.909013469625</v>
      </c>
      <c r="F811" s="3481">
        <v>2540008</v>
      </c>
      <c r="G811" s="3482" t="s">
        <v>4227</v>
      </c>
    </row>
    <row r="812" spans="1:7">
      <c r="A812" s="3536">
        <v>811</v>
      </c>
      <c r="B812" s="3481" t="s">
        <v>4283</v>
      </c>
      <c r="C812" s="3481" t="s">
        <v>3338</v>
      </c>
      <c r="D812" s="3482">
        <v>53.53</v>
      </c>
      <c r="E812" s="3519">
        <f t="shared" si="12"/>
        <v>3001.6813002054923</v>
      </c>
      <c r="F812" s="3481">
        <v>160680</v>
      </c>
      <c r="G812" s="3482" t="s">
        <v>4280</v>
      </c>
    </row>
    <row r="813" spans="1:7">
      <c r="A813" s="3536">
        <v>812</v>
      </c>
      <c r="B813" s="3481" t="s">
        <v>8375</v>
      </c>
      <c r="C813" s="3481" t="s">
        <v>3395</v>
      </c>
      <c r="D813" s="3482">
        <v>83.46</v>
      </c>
      <c r="E813" s="3519">
        <f t="shared" si="12"/>
        <v>33296.45339084592</v>
      </c>
      <c r="F813" s="3481">
        <v>2778922</v>
      </c>
      <c r="G813" s="3482" t="s">
        <v>8373</v>
      </c>
    </row>
    <row r="814" spans="1:7">
      <c r="A814" s="3536">
        <v>813</v>
      </c>
      <c r="B814" s="3481" t="s">
        <v>8323</v>
      </c>
      <c r="C814" s="3481" t="s">
        <v>3395</v>
      </c>
      <c r="D814" s="3482">
        <v>83.85</v>
      </c>
      <c r="E814" s="3519">
        <f t="shared" si="12"/>
        <v>32959.630292188434</v>
      </c>
      <c r="F814" s="3481">
        <v>2763665</v>
      </c>
      <c r="G814" s="3482" t="s">
        <v>8322</v>
      </c>
    </row>
    <row r="815" spans="1:7">
      <c r="A815" s="3536">
        <v>814</v>
      </c>
      <c r="B815" s="3481" t="s">
        <v>7983</v>
      </c>
      <c r="C815" s="3481" t="s">
        <v>3395</v>
      </c>
      <c r="D815" s="3482">
        <v>83.46</v>
      </c>
      <c r="E815" s="3519">
        <f t="shared" si="12"/>
        <v>33296.45339084592</v>
      </c>
      <c r="F815" s="3481">
        <v>2778922</v>
      </c>
      <c r="G815" s="3482" t="s">
        <v>7984</v>
      </c>
    </row>
    <row r="816" spans="1:7">
      <c r="A816" s="3536">
        <v>815</v>
      </c>
      <c r="B816" s="3481" t="s">
        <v>8270</v>
      </c>
      <c r="C816" s="3481" t="s">
        <v>3395</v>
      </c>
      <c r="D816" s="3482">
        <v>83.85</v>
      </c>
      <c r="E816" s="3519">
        <f t="shared" si="12"/>
        <v>33292.558139534885</v>
      </c>
      <c r="F816" s="3481">
        <v>2791581</v>
      </c>
      <c r="G816" s="3482" t="s">
        <v>8271</v>
      </c>
    </row>
    <row r="817" spans="1:7">
      <c r="A817" s="3536">
        <v>816</v>
      </c>
      <c r="B817" s="3481" t="s">
        <v>8348</v>
      </c>
      <c r="C817" s="3481" t="s">
        <v>3395</v>
      </c>
      <c r="D817" s="3482">
        <v>83.46</v>
      </c>
      <c r="E817" s="3519">
        <f t="shared" si="12"/>
        <v>32963.491492930749</v>
      </c>
      <c r="F817" s="3481">
        <v>2751133</v>
      </c>
      <c r="G817" s="3482" t="s">
        <v>4264</v>
      </c>
    </row>
    <row r="818" spans="1:7">
      <c r="A818" s="3536">
        <v>817</v>
      </c>
      <c r="B818" s="3481" t="s">
        <v>8411</v>
      </c>
      <c r="C818" s="3481" t="s">
        <v>3395</v>
      </c>
      <c r="D818" s="3482">
        <v>83.85</v>
      </c>
      <c r="E818" s="3519">
        <f t="shared" si="12"/>
        <v>33292.558139534885</v>
      </c>
      <c r="F818" s="3481">
        <v>2791581</v>
      </c>
      <c r="G818" s="3482" t="s">
        <v>8408</v>
      </c>
    </row>
    <row r="819" spans="1:7">
      <c r="A819" s="3536">
        <v>818</v>
      </c>
      <c r="B819" s="3481" t="s">
        <v>8406</v>
      </c>
      <c r="C819" s="3481" t="s">
        <v>3395</v>
      </c>
      <c r="D819" s="3482">
        <v>73.69</v>
      </c>
      <c r="E819" s="3519">
        <f t="shared" si="12"/>
        <v>34867.878952368032</v>
      </c>
      <c r="F819" s="3481">
        <v>2569414</v>
      </c>
      <c r="G819" s="3482" t="s">
        <v>8405</v>
      </c>
    </row>
    <row r="820" spans="1:7">
      <c r="A820" s="3536">
        <v>819</v>
      </c>
      <c r="B820" s="3481" t="s">
        <v>8363</v>
      </c>
      <c r="C820" s="3481" t="s">
        <v>3395</v>
      </c>
      <c r="D820" s="3482">
        <v>74.150000000000006</v>
      </c>
      <c r="E820" s="3519">
        <f t="shared" si="12"/>
        <v>34169.710047201617</v>
      </c>
      <c r="F820" s="3481">
        <v>2533684</v>
      </c>
      <c r="G820" s="3482" t="s">
        <v>4277</v>
      </c>
    </row>
    <row r="821" spans="1:7">
      <c r="A821" s="3536">
        <v>820</v>
      </c>
      <c r="B821" s="3481" t="s">
        <v>8227</v>
      </c>
      <c r="C821" s="3481" t="s">
        <v>5318</v>
      </c>
      <c r="D821" s="3482">
        <v>192.4</v>
      </c>
      <c r="E821" s="3519">
        <f t="shared" si="12"/>
        <v>26177.286902286902</v>
      </c>
      <c r="F821" s="3481">
        <v>5036510</v>
      </c>
      <c r="G821" s="3482" t="s">
        <v>4191</v>
      </c>
    </row>
    <row r="822" spans="1:7">
      <c r="A822" s="3536">
        <v>821</v>
      </c>
      <c r="B822" s="3481" t="s">
        <v>4190</v>
      </c>
      <c r="C822" s="3481" t="s">
        <v>3338</v>
      </c>
      <c r="D822" s="3482">
        <v>47.86</v>
      </c>
      <c r="E822" s="3519">
        <f t="shared" si="12"/>
        <v>2998.1195152528207</v>
      </c>
      <c r="F822" s="3481">
        <v>143490</v>
      </c>
      <c r="G822" s="3482" t="s">
        <v>4191</v>
      </c>
    </row>
    <row r="823" spans="1:7">
      <c r="A823" s="3536">
        <v>822</v>
      </c>
      <c r="B823" s="3481" t="s">
        <v>8232</v>
      </c>
      <c r="C823" s="3481" t="s">
        <v>3395</v>
      </c>
      <c r="D823" s="3482">
        <v>83.82</v>
      </c>
      <c r="E823" s="3519">
        <f t="shared" si="12"/>
        <v>33160.749224528758</v>
      </c>
      <c r="F823" s="3481">
        <v>2779534</v>
      </c>
      <c r="G823" s="3482" t="s">
        <v>8233</v>
      </c>
    </row>
    <row r="824" spans="1:7">
      <c r="A824" s="3536">
        <v>823</v>
      </c>
      <c r="B824" s="3481" t="s">
        <v>8210</v>
      </c>
      <c r="C824" s="3481" t="s">
        <v>3395</v>
      </c>
      <c r="D824" s="3482">
        <v>83.44</v>
      </c>
      <c r="E824" s="3519">
        <f t="shared" si="12"/>
        <v>33311.001917545545</v>
      </c>
      <c r="F824" s="3481">
        <v>2779470</v>
      </c>
      <c r="G824" s="3482" t="s">
        <v>8206</v>
      </c>
    </row>
    <row r="825" spans="1:7">
      <c r="A825" s="3536">
        <v>824</v>
      </c>
      <c r="B825" s="3481" t="s">
        <v>8275</v>
      </c>
      <c r="C825" s="3481" t="s">
        <v>3395</v>
      </c>
      <c r="D825" s="3482">
        <v>83.82</v>
      </c>
      <c r="E825" s="3519">
        <f t="shared" si="12"/>
        <v>33160.749224528758</v>
      </c>
      <c r="F825" s="3481">
        <v>2779534</v>
      </c>
      <c r="G825" s="3482" t="s">
        <v>8276</v>
      </c>
    </row>
    <row r="826" spans="1:7">
      <c r="A826" s="3536">
        <v>825</v>
      </c>
      <c r="B826" s="3481" t="s">
        <v>8211</v>
      </c>
      <c r="C826" s="3481" t="s">
        <v>3395</v>
      </c>
      <c r="D826" s="3482">
        <v>83.44</v>
      </c>
      <c r="E826" s="3519">
        <f t="shared" si="12"/>
        <v>33311.001917545545</v>
      </c>
      <c r="F826" s="3481">
        <v>2779470</v>
      </c>
      <c r="G826" s="3482" t="s">
        <v>8206</v>
      </c>
    </row>
    <row r="827" spans="1:7">
      <c r="A827" s="3536">
        <v>826</v>
      </c>
      <c r="B827" s="3481" t="s">
        <v>8261</v>
      </c>
      <c r="C827" s="3481" t="s">
        <v>3395</v>
      </c>
      <c r="D827" s="3482">
        <v>83.82</v>
      </c>
      <c r="E827" s="3519">
        <f t="shared" si="12"/>
        <v>33495.705082319255</v>
      </c>
      <c r="F827" s="3481">
        <v>2807610</v>
      </c>
      <c r="G827" s="3482" t="s">
        <v>8260</v>
      </c>
    </row>
    <row r="828" spans="1:7">
      <c r="A828" s="3536">
        <v>827</v>
      </c>
      <c r="B828" s="3481" t="s">
        <v>8134</v>
      </c>
      <c r="C828" s="3481" t="s">
        <v>3395</v>
      </c>
      <c r="D828" s="3482">
        <v>83.44</v>
      </c>
      <c r="E828" s="3519">
        <f t="shared" si="12"/>
        <v>33311.001917545545</v>
      </c>
      <c r="F828" s="3481">
        <v>2779470</v>
      </c>
      <c r="G828" s="3482" t="s">
        <v>8135</v>
      </c>
    </row>
    <row r="829" spans="1:7">
      <c r="A829" s="3536">
        <v>828</v>
      </c>
      <c r="B829" s="3481" t="s">
        <v>8243</v>
      </c>
      <c r="C829" s="3481" t="s">
        <v>3395</v>
      </c>
      <c r="D829" s="3482">
        <v>74.13</v>
      </c>
      <c r="E829" s="3519">
        <f t="shared" si="12"/>
        <v>35118.84527181978</v>
      </c>
      <c r="F829" s="3481">
        <v>2603360</v>
      </c>
      <c r="G829" s="3482" t="s">
        <v>4203</v>
      </c>
    </row>
    <row r="830" spans="1:7">
      <c r="A830" s="3536">
        <v>829</v>
      </c>
      <c r="B830" s="3481" t="s">
        <v>8291</v>
      </c>
      <c r="C830" s="3481" t="s">
        <v>3395</v>
      </c>
      <c r="D830" s="3482">
        <v>73.67</v>
      </c>
      <c r="E830" s="3519">
        <f t="shared" si="12"/>
        <v>34761.164653183114</v>
      </c>
      <c r="F830" s="3481">
        <v>2560855</v>
      </c>
      <c r="G830" s="3482" t="s">
        <v>4232</v>
      </c>
    </row>
    <row r="831" spans="1:7">
      <c r="A831" s="3536">
        <v>830</v>
      </c>
      <c r="B831" s="3481" t="s">
        <v>8250</v>
      </c>
      <c r="C831" s="3481" t="s">
        <v>5318</v>
      </c>
      <c r="D831" s="3482">
        <v>188.89</v>
      </c>
      <c r="E831" s="3519">
        <f t="shared" si="12"/>
        <v>25957.964953147337</v>
      </c>
      <c r="F831" s="3481">
        <v>4903200</v>
      </c>
      <c r="G831" s="3482" t="s">
        <v>4210</v>
      </c>
    </row>
    <row r="832" spans="1:7">
      <c r="A832" s="3536">
        <v>831</v>
      </c>
      <c r="B832" s="3481" t="s">
        <v>4211</v>
      </c>
      <c r="C832" s="3481" t="s">
        <v>3338</v>
      </c>
      <c r="D832" s="3482">
        <v>12.52</v>
      </c>
      <c r="E832" s="3519">
        <f t="shared" si="12"/>
        <v>3000</v>
      </c>
      <c r="F832" s="3481">
        <v>37560</v>
      </c>
      <c r="G832" s="3482" t="s">
        <v>4210</v>
      </c>
    </row>
    <row r="833" spans="1:7">
      <c r="A833" s="3536">
        <v>832</v>
      </c>
      <c r="B833" s="3481" t="s">
        <v>8228</v>
      </c>
      <c r="C833" s="3481" t="s">
        <v>5318</v>
      </c>
      <c r="D833" s="3482">
        <v>188.89</v>
      </c>
      <c r="E833" s="3519">
        <f t="shared" si="12"/>
        <v>26487.373603684686</v>
      </c>
      <c r="F833" s="3481">
        <v>5003200</v>
      </c>
      <c r="G833" s="3482" t="s">
        <v>4191</v>
      </c>
    </row>
    <row r="834" spans="1:7">
      <c r="A834" s="3536">
        <v>833</v>
      </c>
      <c r="B834" s="3481" t="s">
        <v>4192</v>
      </c>
      <c r="C834" s="3481" t="s">
        <v>3338</v>
      </c>
      <c r="D834" s="3482">
        <v>12.52</v>
      </c>
      <c r="E834" s="3519">
        <f t="shared" si="12"/>
        <v>3000</v>
      </c>
      <c r="F834" s="3481">
        <v>37560</v>
      </c>
      <c r="G834" s="3482" t="s">
        <v>4191</v>
      </c>
    </row>
    <row r="835" spans="1:7">
      <c r="A835" s="3536">
        <v>834</v>
      </c>
      <c r="B835" s="3481" t="s">
        <v>4212</v>
      </c>
      <c r="C835" s="3481" t="s">
        <v>3338</v>
      </c>
      <c r="D835" s="3482">
        <v>53.04</v>
      </c>
      <c r="E835" s="3519">
        <f t="shared" ref="E835:E898" si="13">F835/D835</f>
        <v>3002.262443438914</v>
      </c>
      <c r="F835" s="3481">
        <v>159240</v>
      </c>
      <c r="G835" s="3482" t="s">
        <v>4210</v>
      </c>
    </row>
    <row r="836" spans="1:7">
      <c r="A836" s="3536">
        <v>835</v>
      </c>
      <c r="B836" s="3481" t="s">
        <v>4193</v>
      </c>
      <c r="C836" s="3481" t="s">
        <v>3338</v>
      </c>
      <c r="D836" s="3482">
        <v>53.04</v>
      </c>
      <c r="E836" s="3519">
        <f t="shared" si="13"/>
        <v>3002.262443438914</v>
      </c>
      <c r="F836" s="3481">
        <v>159240</v>
      </c>
      <c r="G836" s="3482" t="s">
        <v>4191</v>
      </c>
    </row>
    <row r="837" spans="1:7">
      <c r="A837" s="3536">
        <v>836</v>
      </c>
      <c r="B837" s="3481" t="s">
        <v>8163</v>
      </c>
      <c r="C837" s="3481" t="s">
        <v>3395</v>
      </c>
      <c r="D837" s="3482">
        <v>83.44</v>
      </c>
      <c r="E837" s="3519">
        <f t="shared" si="13"/>
        <v>33311.001917545545</v>
      </c>
      <c r="F837" s="3481">
        <v>2779470</v>
      </c>
      <c r="G837" s="3482" t="s">
        <v>4185</v>
      </c>
    </row>
    <row r="838" spans="1:7">
      <c r="A838" s="3536">
        <v>837</v>
      </c>
      <c r="B838" s="3481" t="s">
        <v>8225</v>
      </c>
      <c r="C838" s="3481" t="s">
        <v>3395</v>
      </c>
      <c r="D838" s="3482">
        <v>83.44</v>
      </c>
      <c r="E838" s="3519">
        <f t="shared" si="13"/>
        <v>33647.471236816877</v>
      </c>
      <c r="F838" s="3481">
        <v>2807545</v>
      </c>
      <c r="G838" s="3482" t="s">
        <v>4191</v>
      </c>
    </row>
    <row r="839" spans="1:7">
      <c r="A839" s="3536">
        <v>838</v>
      </c>
      <c r="B839" s="3481" t="s">
        <v>8241</v>
      </c>
      <c r="C839" s="3481" t="s">
        <v>3395</v>
      </c>
      <c r="D839" s="3482">
        <v>83.44</v>
      </c>
      <c r="E839" s="3519">
        <f t="shared" si="13"/>
        <v>32977.888302972198</v>
      </c>
      <c r="F839" s="3481">
        <v>2751675</v>
      </c>
      <c r="G839" s="3482" t="s">
        <v>8236</v>
      </c>
    </row>
    <row r="840" spans="1:7">
      <c r="A840" s="3536">
        <v>839</v>
      </c>
      <c r="B840" s="3481" t="s">
        <v>8179</v>
      </c>
      <c r="C840" s="3481" t="s">
        <v>3395</v>
      </c>
      <c r="D840" s="3482">
        <v>83.44</v>
      </c>
      <c r="E840" s="3519">
        <f t="shared" si="13"/>
        <v>32977.888302972198</v>
      </c>
      <c r="F840" s="3481">
        <v>2751675</v>
      </c>
      <c r="G840" s="3482" t="s">
        <v>8180</v>
      </c>
    </row>
    <row r="841" spans="1:7">
      <c r="A841" s="3536">
        <v>840</v>
      </c>
      <c r="B841" s="3481" t="s">
        <v>8164</v>
      </c>
      <c r="C841" s="3481" t="s">
        <v>3395</v>
      </c>
      <c r="D841" s="3482">
        <v>83.44</v>
      </c>
      <c r="E841" s="3519">
        <f t="shared" si="13"/>
        <v>33647.471236816877</v>
      </c>
      <c r="F841" s="3481">
        <v>2807545</v>
      </c>
      <c r="G841" s="3482" t="s">
        <v>4185</v>
      </c>
    </row>
    <row r="842" spans="1:7">
      <c r="A842" s="3536">
        <v>841</v>
      </c>
      <c r="B842" s="3481" t="s">
        <v>8128</v>
      </c>
      <c r="C842" s="3481" t="s">
        <v>3395</v>
      </c>
      <c r="D842" s="3482">
        <v>83.44</v>
      </c>
      <c r="E842" s="3519">
        <f t="shared" si="13"/>
        <v>33311.001917545545</v>
      </c>
      <c r="F842" s="3481">
        <v>2779470</v>
      </c>
      <c r="G842" s="3482" t="s">
        <v>8129</v>
      </c>
    </row>
    <row r="843" spans="1:7">
      <c r="A843" s="3536">
        <v>842</v>
      </c>
      <c r="B843" s="3481" t="s">
        <v>8299</v>
      </c>
      <c r="C843" s="3481" t="s">
        <v>3395</v>
      </c>
      <c r="D843" s="3482">
        <v>73.67</v>
      </c>
      <c r="E843" s="3519">
        <f t="shared" si="13"/>
        <v>34761.164653183114</v>
      </c>
      <c r="F843" s="3481">
        <v>2560855</v>
      </c>
      <c r="G843" s="3482" t="s">
        <v>8300</v>
      </c>
    </row>
    <row r="844" spans="1:7">
      <c r="A844" s="3536">
        <v>843</v>
      </c>
      <c r="B844" s="3481" t="s">
        <v>8257</v>
      </c>
      <c r="C844" s="3481" t="s">
        <v>3395</v>
      </c>
      <c r="D844" s="3482">
        <v>73.67</v>
      </c>
      <c r="E844" s="3519">
        <f t="shared" si="13"/>
        <v>35466.960771005834</v>
      </c>
      <c r="F844" s="3481">
        <v>2612851</v>
      </c>
      <c r="G844" s="3482" t="s">
        <v>4218</v>
      </c>
    </row>
    <row r="845" spans="1:7">
      <c r="A845" s="3536">
        <v>844</v>
      </c>
      <c r="B845" s="3481" t="s">
        <v>8258</v>
      </c>
      <c r="C845" s="3481" t="s">
        <v>5318</v>
      </c>
      <c r="D845" s="3482">
        <v>188.89</v>
      </c>
      <c r="E845" s="3519">
        <f t="shared" si="13"/>
        <v>25957.964953147337</v>
      </c>
      <c r="F845" s="3481">
        <v>4903200</v>
      </c>
      <c r="G845" s="3482" t="s">
        <v>4218</v>
      </c>
    </row>
    <row r="846" spans="1:7">
      <c r="A846" s="3536">
        <v>845</v>
      </c>
      <c r="B846" s="3481" t="s">
        <v>4221</v>
      </c>
      <c r="C846" s="3481" t="s">
        <v>3338</v>
      </c>
      <c r="D846" s="3482">
        <v>12.52</v>
      </c>
      <c r="E846" s="3519">
        <f t="shared" si="13"/>
        <v>3000</v>
      </c>
      <c r="F846" s="3481">
        <v>37560</v>
      </c>
      <c r="G846" s="3482" t="s">
        <v>4218</v>
      </c>
    </row>
    <row r="847" spans="1:7">
      <c r="A847" s="3536">
        <v>846</v>
      </c>
      <c r="B847" s="3481" t="s">
        <v>8251</v>
      </c>
      <c r="C847" s="3481" t="s">
        <v>5318</v>
      </c>
      <c r="D847" s="3482">
        <v>188.89</v>
      </c>
      <c r="E847" s="3519">
        <f t="shared" si="13"/>
        <v>26169.728413362278</v>
      </c>
      <c r="F847" s="3481">
        <v>4943200</v>
      </c>
      <c r="G847" s="3482" t="s">
        <v>4210</v>
      </c>
    </row>
    <row r="848" spans="1:7">
      <c r="A848" s="3536">
        <v>847</v>
      </c>
      <c r="B848" s="3481" t="s">
        <v>4213</v>
      </c>
      <c r="C848" s="3481" t="s">
        <v>3338</v>
      </c>
      <c r="D848" s="3482">
        <v>12.52</v>
      </c>
      <c r="E848" s="3519">
        <f t="shared" si="13"/>
        <v>3000</v>
      </c>
      <c r="F848" s="3481">
        <v>37560</v>
      </c>
      <c r="G848" s="3482" t="s">
        <v>4210</v>
      </c>
    </row>
    <row r="849" spans="1:7">
      <c r="A849" s="3536">
        <v>848</v>
      </c>
      <c r="B849" s="3481" t="s">
        <v>4222</v>
      </c>
      <c r="C849" s="3481" t="s">
        <v>3338</v>
      </c>
      <c r="D849" s="3482">
        <v>53.04</v>
      </c>
      <c r="E849" s="3519">
        <f t="shared" si="13"/>
        <v>3002.262443438914</v>
      </c>
      <c r="F849" s="3481">
        <v>159240</v>
      </c>
      <c r="G849" s="3482" t="s">
        <v>4218</v>
      </c>
    </row>
    <row r="850" spans="1:7">
      <c r="A850" s="3536">
        <v>849</v>
      </c>
      <c r="B850" s="3481" t="s">
        <v>4214</v>
      </c>
      <c r="C850" s="3481" t="s">
        <v>3338</v>
      </c>
      <c r="D850" s="3482">
        <v>53.04</v>
      </c>
      <c r="E850" s="3519">
        <f t="shared" si="13"/>
        <v>3002.262443438914</v>
      </c>
      <c r="F850" s="3481">
        <v>159240</v>
      </c>
      <c r="G850" s="3482" t="s">
        <v>4210</v>
      </c>
    </row>
    <row r="851" spans="1:7">
      <c r="A851" s="3536">
        <v>850</v>
      </c>
      <c r="B851" s="3481" t="s">
        <v>8262</v>
      </c>
      <c r="C851" s="3481" t="s">
        <v>3395</v>
      </c>
      <c r="D851" s="3482">
        <v>83.44</v>
      </c>
      <c r="E851" s="3519">
        <f t="shared" si="13"/>
        <v>33311.001917545545</v>
      </c>
      <c r="F851" s="3481">
        <v>2779470</v>
      </c>
      <c r="G851" s="3482" t="s">
        <v>8260</v>
      </c>
    </row>
    <row r="852" spans="1:7">
      <c r="A852" s="3536">
        <v>851</v>
      </c>
      <c r="B852" s="3481" t="s">
        <v>8234</v>
      </c>
      <c r="C852" s="3481" t="s">
        <v>3395</v>
      </c>
      <c r="D852" s="3482">
        <v>83.44</v>
      </c>
      <c r="E852" s="3519">
        <f t="shared" si="13"/>
        <v>33311.001917545545</v>
      </c>
      <c r="F852" s="3481">
        <v>2779470</v>
      </c>
      <c r="G852" s="3482" t="s">
        <v>8233</v>
      </c>
    </row>
    <row r="853" spans="1:7">
      <c r="A853" s="3536">
        <v>852</v>
      </c>
      <c r="B853" s="3481" t="s">
        <v>8295</v>
      </c>
      <c r="C853" s="3481" t="s">
        <v>3395</v>
      </c>
      <c r="D853" s="3482">
        <v>83.44</v>
      </c>
      <c r="E853" s="3519">
        <f t="shared" si="13"/>
        <v>33647.471236816877</v>
      </c>
      <c r="F853" s="3481">
        <v>2807545</v>
      </c>
      <c r="G853" s="3482" t="s">
        <v>8296</v>
      </c>
    </row>
    <row r="854" spans="1:7">
      <c r="A854" s="3536">
        <v>853</v>
      </c>
      <c r="B854" s="3481" t="s">
        <v>8268</v>
      </c>
      <c r="C854" s="3481" t="s">
        <v>3395</v>
      </c>
      <c r="D854" s="3482">
        <v>83.44</v>
      </c>
      <c r="E854" s="3519">
        <f t="shared" si="13"/>
        <v>33311.001917545545</v>
      </c>
      <c r="F854" s="3481">
        <v>2779470</v>
      </c>
      <c r="G854" s="3482" t="s">
        <v>4224</v>
      </c>
    </row>
    <row r="855" spans="1:7">
      <c r="A855" s="3536">
        <v>854</v>
      </c>
      <c r="B855" s="3481" t="s">
        <v>8272</v>
      </c>
      <c r="C855" s="3481" t="s">
        <v>3395</v>
      </c>
      <c r="D855" s="3482">
        <v>83.44</v>
      </c>
      <c r="E855" s="3519">
        <f t="shared" si="13"/>
        <v>33311.001917545545</v>
      </c>
      <c r="F855" s="3481">
        <v>2779470</v>
      </c>
      <c r="G855" s="3482" t="s">
        <v>8273</v>
      </c>
    </row>
    <row r="856" spans="1:7">
      <c r="A856" s="3536">
        <v>855</v>
      </c>
      <c r="B856" s="3481" t="s">
        <v>8263</v>
      </c>
      <c r="C856" s="3481" t="s">
        <v>3395</v>
      </c>
      <c r="D856" s="3482">
        <v>83.44</v>
      </c>
      <c r="E856" s="3519">
        <f t="shared" si="13"/>
        <v>33647.471236816877</v>
      </c>
      <c r="F856" s="3481">
        <v>2807545</v>
      </c>
      <c r="G856" s="3482" t="s">
        <v>8264</v>
      </c>
    </row>
    <row r="857" spans="1:7">
      <c r="A857" s="3536">
        <v>856</v>
      </c>
      <c r="B857" s="3481" t="s">
        <v>8269</v>
      </c>
      <c r="C857" s="3481" t="s">
        <v>3395</v>
      </c>
      <c r="D857" s="3482">
        <v>73.67</v>
      </c>
      <c r="E857" s="3519">
        <f t="shared" si="13"/>
        <v>35112.298086059454</v>
      </c>
      <c r="F857" s="3481">
        <v>2586723</v>
      </c>
      <c r="G857" s="3482" t="s">
        <v>4224</v>
      </c>
    </row>
    <row r="858" spans="1:7">
      <c r="A858" s="3536">
        <v>857</v>
      </c>
      <c r="B858" s="3481" t="s">
        <v>8314</v>
      </c>
      <c r="C858" s="3481" t="s">
        <v>3395</v>
      </c>
      <c r="D858" s="3482">
        <v>73.67</v>
      </c>
      <c r="E858" s="3519">
        <f t="shared" si="13"/>
        <v>35112.298086059454</v>
      </c>
      <c r="F858" s="3481">
        <v>2586723</v>
      </c>
      <c r="G858" s="3482" t="s">
        <v>8315</v>
      </c>
    </row>
    <row r="859" spans="1:7">
      <c r="A859" s="3536">
        <v>858</v>
      </c>
      <c r="B859" s="3481" t="s">
        <v>8244</v>
      </c>
      <c r="C859" s="3481" t="s">
        <v>5318</v>
      </c>
      <c r="D859" s="3482">
        <v>178.1</v>
      </c>
      <c r="E859" s="3519">
        <f t="shared" si="13"/>
        <v>28041.100505334081</v>
      </c>
      <c r="F859" s="3481">
        <v>4994120</v>
      </c>
      <c r="G859" s="3482" t="s">
        <v>4203</v>
      </c>
    </row>
    <row r="860" spans="1:7">
      <c r="A860" s="3536">
        <v>859</v>
      </c>
      <c r="B860" s="3481" t="s">
        <v>4202</v>
      </c>
      <c r="C860" s="3481" t="s">
        <v>3338</v>
      </c>
      <c r="D860" s="3482">
        <v>23.64</v>
      </c>
      <c r="E860" s="3519">
        <f t="shared" si="13"/>
        <v>3001.2690355329951</v>
      </c>
      <c r="F860" s="3481">
        <v>70950</v>
      </c>
      <c r="G860" s="3482" t="s">
        <v>4203</v>
      </c>
    </row>
    <row r="861" spans="1:7">
      <c r="A861" s="3536">
        <v>860</v>
      </c>
      <c r="B861" s="3481" t="s">
        <v>7792</v>
      </c>
      <c r="C861" s="3481" t="s">
        <v>5305</v>
      </c>
      <c r="D861" s="3482">
        <v>72.97</v>
      </c>
      <c r="E861" s="3519">
        <f t="shared" si="13"/>
        <v>37223.585034945871</v>
      </c>
      <c r="F861" s="3481">
        <v>2716205</v>
      </c>
      <c r="G861" s="3482" t="s">
        <v>3904</v>
      </c>
    </row>
    <row r="862" spans="1:7">
      <c r="A862" s="3536">
        <v>861</v>
      </c>
      <c r="B862" s="3481" t="s">
        <v>3903</v>
      </c>
      <c r="C862" s="3481" t="s">
        <v>3338</v>
      </c>
      <c r="D862" s="3482">
        <v>97.06</v>
      </c>
      <c r="E862" s="3519">
        <f t="shared" si="13"/>
        <v>16436.461982279001</v>
      </c>
      <c r="F862" s="3481">
        <v>1595323</v>
      </c>
      <c r="G862" s="3482" t="s">
        <v>3904</v>
      </c>
    </row>
    <row r="863" spans="1:7">
      <c r="A863" s="3536">
        <v>862</v>
      </c>
      <c r="B863" s="3481" t="s">
        <v>7968</v>
      </c>
      <c r="C863" s="3481" t="s">
        <v>5305</v>
      </c>
      <c r="D863" s="3482">
        <v>73.349999999999994</v>
      </c>
      <c r="E863" s="3519">
        <f t="shared" si="13"/>
        <v>37223.694614860258</v>
      </c>
      <c r="F863" s="3481">
        <v>2730358</v>
      </c>
      <c r="G863" s="3482" t="s">
        <v>4028</v>
      </c>
    </row>
    <row r="864" spans="1:7">
      <c r="A864" s="3536">
        <v>863</v>
      </c>
      <c r="B864" s="3481" t="s">
        <v>4027</v>
      </c>
      <c r="C864" s="3481" t="s">
        <v>3338</v>
      </c>
      <c r="D864" s="3482">
        <v>98.35</v>
      </c>
      <c r="E864" s="3519">
        <f t="shared" si="13"/>
        <v>13863.741738688359</v>
      </c>
      <c r="F864" s="3481">
        <v>1363499</v>
      </c>
      <c r="G864" s="3482" t="s">
        <v>4028</v>
      </c>
    </row>
    <row r="865" spans="1:7">
      <c r="A865" s="3536">
        <v>864</v>
      </c>
      <c r="B865" s="3481" t="s">
        <v>8288</v>
      </c>
      <c r="C865" s="3481" t="s">
        <v>5318</v>
      </c>
      <c r="D865" s="3482">
        <v>179.3</v>
      </c>
      <c r="E865" s="3519">
        <f t="shared" si="13"/>
        <v>26958.728388176238</v>
      </c>
      <c r="F865" s="3481">
        <v>4833700</v>
      </c>
      <c r="G865" s="3482" t="s">
        <v>4227</v>
      </c>
    </row>
    <row r="866" spans="1:7">
      <c r="A866" s="3536">
        <v>865</v>
      </c>
      <c r="B866" s="3481" t="s">
        <v>4229</v>
      </c>
      <c r="C866" s="3481" t="s">
        <v>3338</v>
      </c>
      <c r="D866" s="3482">
        <v>23.78</v>
      </c>
      <c r="E866" s="3519">
        <f t="shared" si="13"/>
        <v>3001.2615643397812</v>
      </c>
      <c r="F866" s="3481">
        <v>71370</v>
      </c>
      <c r="G866" s="3482" t="s">
        <v>4227</v>
      </c>
    </row>
    <row r="867" spans="1:7">
      <c r="A867" s="3536">
        <v>866</v>
      </c>
      <c r="B867" s="3481" t="s">
        <v>4204</v>
      </c>
      <c r="C867" s="3481" t="s">
        <v>3338</v>
      </c>
      <c r="D867" s="3482">
        <v>28.3</v>
      </c>
      <c r="E867" s="3519">
        <f t="shared" si="13"/>
        <v>3001.0600706713781</v>
      </c>
      <c r="F867" s="3481">
        <v>84930</v>
      </c>
      <c r="G867" s="3482" t="s">
        <v>4203</v>
      </c>
    </row>
    <row r="868" spans="1:7">
      <c r="A868" s="3536">
        <v>867</v>
      </c>
      <c r="B868" s="3481" t="s">
        <v>3905</v>
      </c>
      <c r="C868" s="3481" t="s">
        <v>3338</v>
      </c>
      <c r="D868" s="3482">
        <v>181.73</v>
      </c>
      <c r="E868" s="3519">
        <f t="shared" si="13"/>
        <v>13935.49771639245</v>
      </c>
      <c r="F868" s="3481">
        <v>2532498</v>
      </c>
      <c r="G868" s="3482" t="s">
        <v>3904</v>
      </c>
    </row>
    <row r="869" spans="1:7">
      <c r="A869" s="3536">
        <v>868</v>
      </c>
      <c r="B869" s="3481" t="s">
        <v>4029</v>
      </c>
      <c r="C869" s="3481" t="s">
        <v>3338</v>
      </c>
      <c r="D869" s="3482">
        <v>188.02</v>
      </c>
      <c r="E869" s="3519">
        <f t="shared" si="13"/>
        <v>13860.988192745452</v>
      </c>
      <c r="F869" s="3481">
        <v>2606143</v>
      </c>
      <c r="G869" s="3482" t="s">
        <v>4028</v>
      </c>
    </row>
    <row r="870" spans="1:7">
      <c r="A870" s="3536">
        <v>869</v>
      </c>
      <c r="B870" s="3481" t="s">
        <v>4230</v>
      </c>
      <c r="C870" s="3481" t="s">
        <v>3338</v>
      </c>
      <c r="D870" s="3482">
        <v>28.3</v>
      </c>
      <c r="E870" s="3519">
        <f t="shared" si="13"/>
        <v>3001.0600706713781</v>
      </c>
      <c r="F870" s="3481">
        <v>84930</v>
      </c>
      <c r="G870" s="3482" t="s">
        <v>4227</v>
      </c>
    </row>
    <row r="871" spans="1:7">
      <c r="A871" s="3536">
        <v>870</v>
      </c>
      <c r="B871" s="3481" t="s">
        <v>8274</v>
      </c>
      <c r="C871" s="3481" t="s">
        <v>3395</v>
      </c>
      <c r="D871" s="3482">
        <v>83.44</v>
      </c>
      <c r="E871" s="3519">
        <f t="shared" si="13"/>
        <v>32977.888302972198</v>
      </c>
      <c r="F871" s="3481">
        <v>2751675</v>
      </c>
      <c r="G871" s="3482" t="s">
        <v>8273</v>
      </c>
    </row>
    <row r="872" spans="1:7">
      <c r="A872" s="3536">
        <v>871</v>
      </c>
      <c r="B872" s="3481" t="s">
        <v>8308</v>
      </c>
      <c r="C872" s="3481" t="s">
        <v>3395</v>
      </c>
      <c r="D872" s="3482">
        <v>83.82</v>
      </c>
      <c r="E872" s="3519">
        <f t="shared" si="13"/>
        <v>33160.749224528758</v>
      </c>
      <c r="F872" s="3481">
        <v>2779534</v>
      </c>
      <c r="G872" s="3482" t="s">
        <v>8309</v>
      </c>
    </row>
    <row r="873" spans="1:7">
      <c r="A873" s="3536">
        <v>872</v>
      </c>
      <c r="B873" s="3481" t="s">
        <v>8292</v>
      </c>
      <c r="C873" s="3481" t="s">
        <v>3395</v>
      </c>
      <c r="D873" s="3482">
        <v>83.44</v>
      </c>
      <c r="E873" s="3519">
        <f t="shared" si="13"/>
        <v>33311.001917545545</v>
      </c>
      <c r="F873" s="3481">
        <v>2779470</v>
      </c>
      <c r="G873" s="3482" t="s">
        <v>4232</v>
      </c>
    </row>
    <row r="874" spans="1:7">
      <c r="A874" s="3536">
        <v>873</v>
      </c>
      <c r="B874" s="3481" t="s">
        <v>8287</v>
      </c>
      <c r="C874" s="3481" t="s">
        <v>3395</v>
      </c>
      <c r="D874" s="3482">
        <v>83.82</v>
      </c>
      <c r="E874" s="3519">
        <f t="shared" si="13"/>
        <v>33495.705082319255</v>
      </c>
      <c r="F874" s="3481">
        <v>2807610</v>
      </c>
      <c r="G874" s="3482" t="s">
        <v>4227</v>
      </c>
    </row>
    <row r="875" spans="1:7">
      <c r="A875" s="3536">
        <v>874</v>
      </c>
      <c r="B875" s="3481" t="s">
        <v>8186</v>
      </c>
      <c r="C875" s="3481" t="s">
        <v>3395</v>
      </c>
      <c r="D875" s="3482">
        <v>83.44</v>
      </c>
      <c r="E875" s="3519">
        <f t="shared" si="13"/>
        <v>33311.001917545545</v>
      </c>
      <c r="F875" s="3481">
        <v>2779470</v>
      </c>
      <c r="G875" s="3482" t="s">
        <v>8182</v>
      </c>
    </row>
    <row r="876" spans="1:7">
      <c r="A876" s="3536">
        <v>875</v>
      </c>
      <c r="B876" s="3481" t="s">
        <v>8302</v>
      </c>
      <c r="C876" s="3481" t="s">
        <v>3395</v>
      </c>
      <c r="D876" s="3482">
        <v>83.82</v>
      </c>
      <c r="E876" s="3519">
        <f t="shared" si="13"/>
        <v>33160.749224528758</v>
      </c>
      <c r="F876" s="3481">
        <v>2779534</v>
      </c>
      <c r="G876" s="3482" t="s">
        <v>4240</v>
      </c>
    </row>
    <row r="877" spans="1:7">
      <c r="A877" s="3536">
        <v>876</v>
      </c>
      <c r="B877" s="3481" t="s">
        <v>8297</v>
      </c>
      <c r="C877" s="3481" t="s">
        <v>3395</v>
      </c>
      <c r="D877" s="3482">
        <v>73.67</v>
      </c>
      <c r="E877" s="3519">
        <f t="shared" si="13"/>
        <v>35112.298086059454</v>
      </c>
      <c r="F877" s="3481">
        <v>2586723</v>
      </c>
      <c r="G877" s="3482" t="s">
        <v>4237</v>
      </c>
    </row>
    <row r="878" spans="1:7">
      <c r="A878" s="3536">
        <v>877</v>
      </c>
      <c r="B878" s="3481" t="s">
        <v>6831</v>
      </c>
      <c r="C878" s="3481" t="s">
        <v>3395</v>
      </c>
      <c r="D878" s="3482">
        <v>74.13</v>
      </c>
      <c r="E878" s="3519">
        <f t="shared" si="13"/>
        <v>30082.287872656147</v>
      </c>
      <c r="F878" s="3481">
        <v>2230000</v>
      </c>
      <c r="G878" s="3482" t="s">
        <v>3423</v>
      </c>
    </row>
    <row r="879" spans="1:7">
      <c r="A879" s="3536">
        <v>878</v>
      </c>
      <c r="B879" s="3481" t="s">
        <v>8231</v>
      </c>
      <c r="C879" s="3481" t="s">
        <v>5318</v>
      </c>
      <c r="D879" s="3482">
        <v>169.1</v>
      </c>
      <c r="E879" s="3519">
        <f t="shared" si="13"/>
        <v>30175.990538143113</v>
      </c>
      <c r="F879" s="3481">
        <v>5102760</v>
      </c>
      <c r="G879" s="3482" t="s">
        <v>4197</v>
      </c>
    </row>
    <row r="880" spans="1:7">
      <c r="A880" s="3536">
        <v>879</v>
      </c>
      <c r="B880" s="3481" t="s">
        <v>4196</v>
      </c>
      <c r="C880" s="3481" t="s">
        <v>3338</v>
      </c>
      <c r="D880" s="3482">
        <v>12.88</v>
      </c>
      <c r="E880" s="3519">
        <f t="shared" si="13"/>
        <v>3002.3291925465837</v>
      </c>
      <c r="F880" s="3481">
        <v>38670</v>
      </c>
      <c r="G880" s="3482" t="s">
        <v>4197</v>
      </c>
    </row>
    <row r="881" spans="1:7">
      <c r="A881" s="3536">
        <v>880</v>
      </c>
      <c r="B881" s="3481" t="s">
        <v>8655</v>
      </c>
      <c r="C881" s="3481" t="s">
        <v>5305</v>
      </c>
      <c r="D881" s="3482">
        <v>73.430000000000007</v>
      </c>
      <c r="E881" s="3519">
        <f t="shared" si="13"/>
        <v>37224.703799536968</v>
      </c>
      <c r="F881" s="3481">
        <v>2733410</v>
      </c>
      <c r="G881" s="3482" t="s">
        <v>4363</v>
      </c>
    </row>
    <row r="882" spans="1:7">
      <c r="A882" s="3536">
        <v>881</v>
      </c>
      <c r="B882" s="3481" t="s">
        <v>4362</v>
      </c>
      <c r="C882" s="3481" t="s">
        <v>3338</v>
      </c>
      <c r="D882" s="3482">
        <v>100.9</v>
      </c>
      <c r="E882" s="3519">
        <f t="shared" si="13"/>
        <v>17920.009910802775</v>
      </c>
      <c r="F882" s="3481">
        <v>1808129</v>
      </c>
      <c r="G882" s="3482" t="s">
        <v>4363</v>
      </c>
    </row>
    <row r="883" spans="1:7">
      <c r="A883" s="3536">
        <v>882</v>
      </c>
      <c r="B883" s="3481" t="s">
        <v>8245</v>
      </c>
      <c r="C883" s="3481" t="s">
        <v>5318</v>
      </c>
      <c r="D883" s="3482">
        <v>189.07</v>
      </c>
      <c r="E883" s="3519">
        <f t="shared" si="13"/>
        <v>26169.461046173376</v>
      </c>
      <c r="F883" s="3481">
        <v>4947860</v>
      </c>
      <c r="G883" s="3482" t="s">
        <v>4203</v>
      </c>
    </row>
    <row r="884" spans="1:7">
      <c r="A884" s="3536">
        <v>883</v>
      </c>
      <c r="B884" s="3481" t="s">
        <v>4205</v>
      </c>
      <c r="C884" s="3481" t="s">
        <v>3338</v>
      </c>
      <c r="D884" s="3482">
        <v>12.88</v>
      </c>
      <c r="E884" s="3519">
        <f t="shared" si="13"/>
        <v>3002.3291925465837</v>
      </c>
      <c r="F884" s="3481">
        <v>38670</v>
      </c>
      <c r="G884" s="3482" t="s">
        <v>4203</v>
      </c>
    </row>
    <row r="885" spans="1:7">
      <c r="A885" s="3536">
        <v>884</v>
      </c>
      <c r="B885" s="3481" t="s">
        <v>4198</v>
      </c>
      <c r="C885" s="3481" t="s">
        <v>3338</v>
      </c>
      <c r="D885" s="3482">
        <v>46.18</v>
      </c>
      <c r="E885" s="3519">
        <f t="shared" si="13"/>
        <v>3000.6496318752706</v>
      </c>
      <c r="F885" s="3481">
        <v>138570</v>
      </c>
      <c r="G885" s="3482" t="s">
        <v>4197</v>
      </c>
    </row>
    <row r="886" spans="1:7">
      <c r="A886" s="3536">
        <v>885</v>
      </c>
      <c r="B886" s="3481" t="s">
        <v>4364</v>
      </c>
      <c r="C886" s="3481" t="s">
        <v>3338</v>
      </c>
      <c r="D886" s="3482">
        <v>193.03</v>
      </c>
      <c r="E886" s="3519">
        <f t="shared" si="13"/>
        <v>15844.480132621873</v>
      </c>
      <c r="F886" s="3481">
        <v>3058460</v>
      </c>
      <c r="G886" s="3482" t="s">
        <v>4363</v>
      </c>
    </row>
    <row r="887" spans="1:7">
      <c r="A887" s="3536">
        <v>886</v>
      </c>
      <c r="B887" s="3481" t="s">
        <v>4206</v>
      </c>
      <c r="C887" s="3481" t="s">
        <v>3338</v>
      </c>
      <c r="D887" s="3482">
        <v>54.45</v>
      </c>
      <c r="E887" s="3519">
        <f t="shared" si="13"/>
        <v>3002.2038567493109</v>
      </c>
      <c r="F887" s="3481">
        <v>163470</v>
      </c>
      <c r="G887" s="3482" t="s">
        <v>4203</v>
      </c>
    </row>
    <row r="888" spans="1:7">
      <c r="A888" s="3536">
        <v>887</v>
      </c>
      <c r="B888" s="3481" t="s">
        <v>8656</v>
      </c>
      <c r="C888" s="3481" t="s">
        <v>3395</v>
      </c>
      <c r="D888" s="3482">
        <v>83.92</v>
      </c>
      <c r="E888" s="3519">
        <f t="shared" si="13"/>
        <v>31863.191134413726</v>
      </c>
      <c r="F888" s="3481">
        <v>2673959</v>
      </c>
      <c r="G888" s="3482" t="s">
        <v>4363</v>
      </c>
    </row>
    <row r="889" spans="1:7">
      <c r="A889" s="3536">
        <v>888</v>
      </c>
      <c r="B889" s="3481" t="s">
        <v>8575</v>
      </c>
      <c r="C889" s="3481" t="s">
        <v>3395</v>
      </c>
      <c r="D889" s="3482">
        <v>83.54</v>
      </c>
      <c r="E889" s="3519">
        <f t="shared" si="13"/>
        <v>32547.58199664831</v>
      </c>
      <c r="F889" s="3481">
        <v>2719025</v>
      </c>
      <c r="G889" s="3482" t="s">
        <v>8573</v>
      </c>
    </row>
    <row r="890" spans="1:7">
      <c r="A890" s="3536">
        <v>889</v>
      </c>
      <c r="B890" s="3481" t="s">
        <v>8651</v>
      </c>
      <c r="C890" s="3481" t="s">
        <v>3395</v>
      </c>
      <c r="D890" s="3482">
        <v>83.92</v>
      </c>
      <c r="E890" s="3519">
        <f t="shared" si="13"/>
        <v>31863.191134413726</v>
      </c>
      <c r="F890" s="3481">
        <v>2673959</v>
      </c>
      <c r="G890" s="3482" t="s">
        <v>8645</v>
      </c>
    </row>
    <row r="891" spans="1:7">
      <c r="A891" s="3536">
        <v>890</v>
      </c>
      <c r="B891" s="3481" t="s">
        <v>8628</v>
      </c>
      <c r="C891" s="3481" t="s">
        <v>3395</v>
      </c>
      <c r="D891" s="3482">
        <v>83.54</v>
      </c>
      <c r="E891" s="3519">
        <f t="shared" si="13"/>
        <v>31896.624371558533</v>
      </c>
      <c r="F891" s="3481">
        <v>2664644</v>
      </c>
      <c r="G891" s="3482" t="s">
        <v>4354</v>
      </c>
    </row>
    <row r="892" spans="1:7">
      <c r="A892" s="3536">
        <v>891</v>
      </c>
      <c r="B892" s="3481" t="s">
        <v>8641</v>
      </c>
      <c r="C892" s="3481" t="s">
        <v>3395</v>
      </c>
      <c r="D892" s="3482">
        <v>83.92</v>
      </c>
      <c r="E892" s="3519">
        <f t="shared" si="13"/>
        <v>31863.191134413726</v>
      </c>
      <c r="F892" s="3481">
        <v>2673959</v>
      </c>
      <c r="G892" s="3482" t="s">
        <v>4360</v>
      </c>
    </row>
    <row r="893" spans="1:7">
      <c r="A893" s="3536">
        <v>892</v>
      </c>
      <c r="B893" s="3481" t="s">
        <v>8564</v>
      </c>
      <c r="C893" s="3481" t="s">
        <v>3395</v>
      </c>
      <c r="D893" s="3482">
        <v>83.54</v>
      </c>
      <c r="E893" s="3519">
        <f t="shared" si="13"/>
        <v>32876.346660282499</v>
      </c>
      <c r="F893" s="3481">
        <v>2746490</v>
      </c>
      <c r="G893" s="3482" t="s">
        <v>8563</v>
      </c>
    </row>
    <row r="894" spans="1:7">
      <c r="A894" s="3536">
        <v>893</v>
      </c>
      <c r="B894" s="3481" t="s">
        <v>8440</v>
      </c>
      <c r="C894" s="3481" t="s">
        <v>3395</v>
      </c>
      <c r="D894" s="3482">
        <v>74.22</v>
      </c>
      <c r="E894" s="3519">
        <f t="shared" si="13"/>
        <v>34514.90164376179</v>
      </c>
      <c r="F894" s="3481">
        <v>2561696</v>
      </c>
      <c r="G894" s="3482" t="s">
        <v>4320</v>
      </c>
    </row>
    <row r="895" spans="1:7">
      <c r="A895" s="3536">
        <v>894</v>
      </c>
      <c r="B895" s="3481" t="s">
        <v>7741</v>
      </c>
      <c r="C895" s="3481" t="s">
        <v>3395</v>
      </c>
      <c r="D895" s="3482">
        <v>73.760000000000005</v>
      </c>
      <c r="E895" s="3519">
        <f t="shared" si="13"/>
        <v>35791.757049891537</v>
      </c>
      <c r="F895" s="3481">
        <v>2640000</v>
      </c>
      <c r="G895" s="3482" t="s">
        <v>3866</v>
      </c>
    </row>
    <row r="896" spans="1:7">
      <c r="A896" s="3536">
        <v>895</v>
      </c>
      <c r="B896" s="3481" t="s">
        <v>8229</v>
      </c>
      <c r="C896" s="3481" t="s">
        <v>5318</v>
      </c>
      <c r="D896" s="3482">
        <v>178.29</v>
      </c>
      <c r="E896" s="3519">
        <f t="shared" si="13"/>
        <v>27711.930001682653</v>
      </c>
      <c r="F896" s="3481">
        <v>4940760</v>
      </c>
      <c r="G896" s="3482" t="s">
        <v>4191</v>
      </c>
    </row>
    <row r="897" spans="1:7">
      <c r="A897" s="3536">
        <v>896</v>
      </c>
      <c r="B897" s="3481" t="s">
        <v>4194</v>
      </c>
      <c r="C897" s="3481" t="s">
        <v>3338</v>
      </c>
      <c r="D897" s="3482">
        <v>24.09</v>
      </c>
      <c r="E897" s="3519">
        <f t="shared" si="13"/>
        <v>3000</v>
      </c>
      <c r="F897" s="3481">
        <v>72270</v>
      </c>
      <c r="G897" s="3482" t="s">
        <v>4191</v>
      </c>
    </row>
    <row r="898" spans="1:7">
      <c r="A898" s="3536">
        <v>897</v>
      </c>
      <c r="B898" s="3481" t="s">
        <v>8156</v>
      </c>
      <c r="C898" s="3481" t="s">
        <v>5305</v>
      </c>
      <c r="D898" s="3482">
        <v>73.05</v>
      </c>
      <c r="E898" s="3519">
        <f t="shared" si="13"/>
        <v>37223.600273785079</v>
      </c>
      <c r="F898" s="3481">
        <v>2719184</v>
      </c>
      <c r="G898" s="3482" t="s">
        <v>4178</v>
      </c>
    </row>
    <row r="899" spans="1:7">
      <c r="A899" s="3536">
        <v>898</v>
      </c>
      <c r="B899" s="3481" t="s">
        <v>4182</v>
      </c>
      <c r="C899" s="3481" t="s">
        <v>3338</v>
      </c>
      <c r="D899" s="3482">
        <v>99.57</v>
      </c>
      <c r="E899" s="3519">
        <f t="shared" ref="E899:E962" si="14">F899/D899</f>
        <v>13594.164909109169</v>
      </c>
      <c r="F899" s="3481">
        <v>1353571</v>
      </c>
      <c r="G899" s="3482" t="s">
        <v>4178</v>
      </c>
    </row>
    <row r="900" spans="1:7">
      <c r="A900" s="3536">
        <v>899</v>
      </c>
      <c r="B900" s="3481" t="s">
        <v>8589</v>
      </c>
      <c r="C900" s="3481" t="s">
        <v>5305</v>
      </c>
      <c r="D900" s="3482">
        <v>73.05</v>
      </c>
      <c r="E900" s="3519">
        <f t="shared" si="14"/>
        <v>37224.599589322381</v>
      </c>
      <c r="F900" s="3481">
        <v>2719257</v>
      </c>
      <c r="G900" s="3482" t="s">
        <v>4346</v>
      </c>
    </row>
    <row r="901" spans="1:7">
      <c r="A901" s="3536">
        <v>900</v>
      </c>
      <c r="B901" s="3481" t="s">
        <v>4345</v>
      </c>
      <c r="C901" s="3481" t="s">
        <v>3338</v>
      </c>
      <c r="D901" s="3482">
        <v>99.47</v>
      </c>
      <c r="E901" s="3519">
        <f t="shared" si="14"/>
        <v>17663.134613451293</v>
      </c>
      <c r="F901" s="3481">
        <v>1756952</v>
      </c>
      <c r="G901" s="3482" t="s">
        <v>4346</v>
      </c>
    </row>
    <row r="902" spans="1:7">
      <c r="A902" s="3536">
        <v>901</v>
      </c>
      <c r="B902" s="3481" t="s">
        <v>8252</v>
      </c>
      <c r="C902" s="3481" t="s">
        <v>5318</v>
      </c>
      <c r="D902" s="3482">
        <v>178.29</v>
      </c>
      <c r="E902" s="3519">
        <f t="shared" si="14"/>
        <v>27431.488025127601</v>
      </c>
      <c r="F902" s="3481">
        <v>4890760</v>
      </c>
      <c r="G902" s="3482" t="s">
        <v>4210</v>
      </c>
    </row>
    <row r="903" spans="1:7">
      <c r="A903" s="3536">
        <v>902</v>
      </c>
      <c r="B903" s="3481" t="s">
        <v>4215</v>
      </c>
      <c r="C903" s="3481" t="s">
        <v>3338</v>
      </c>
      <c r="D903" s="3482">
        <v>24.09</v>
      </c>
      <c r="E903" s="3519">
        <f t="shared" si="14"/>
        <v>3000</v>
      </c>
      <c r="F903" s="3481">
        <v>72270</v>
      </c>
      <c r="G903" s="3482" t="s">
        <v>4210</v>
      </c>
    </row>
    <row r="904" spans="1:7">
      <c r="A904" s="3536">
        <v>903</v>
      </c>
      <c r="B904" s="3481" t="s">
        <v>4195</v>
      </c>
      <c r="C904" s="3481" t="s">
        <v>3338</v>
      </c>
      <c r="D904" s="3482">
        <v>28.98</v>
      </c>
      <c r="E904" s="3519">
        <f t="shared" si="14"/>
        <v>3001.0351966873704</v>
      </c>
      <c r="F904" s="3481">
        <v>86970</v>
      </c>
      <c r="G904" s="3482" t="s">
        <v>4191</v>
      </c>
    </row>
    <row r="905" spans="1:7">
      <c r="A905" s="3536">
        <v>904</v>
      </c>
      <c r="B905" s="3481" t="s">
        <v>4183</v>
      </c>
      <c r="C905" s="3481" t="s">
        <v>3338</v>
      </c>
      <c r="D905" s="3482">
        <v>187.02</v>
      </c>
      <c r="E905" s="3519">
        <f t="shared" si="14"/>
        <v>13513.233878729547</v>
      </c>
      <c r="F905" s="3481">
        <v>2527245</v>
      </c>
      <c r="G905" s="3482" t="s">
        <v>4178</v>
      </c>
    </row>
    <row r="906" spans="1:7">
      <c r="A906" s="3536">
        <v>905</v>
      </c>
      <c r="B906" s="3481" t="s">
        <v>4347</v>
      </c>
      <c r="C906" s="3481" t="s">
        <v>3338</v>
      </c>
      <c r="D906" s="3482">
        <v>191.6</v>
      </c>
      <c r="E906" s="3519">
        <f t="shared" si="14"/>
        <v>15990.563674321504</v>
      </c>
      <c r="F906" s="3481">
        <v>3063792</v>
      </c>
      <c r="G906" s="3482" t="s">
        <v>4346</v>
      </c>
    </row>
    <row r="907" spans="1:7">
      <c r="A907" s="3536">
        <v>906</v>
      </c>
      <c r="B907" s="3481" t="s">
        <v>4216</v>
      </c>
      <c r="C907" s="3481" t="s">
        <v>3338</v>
      </c>
      <c r="D907" s="3482">
        <v>28.98</v>
      </c>
      <c r="E907" s="3519">
        <f t="shared" si="14"/>
        <v>3001.0351966873704</v>
      </c>
      <c r="F907" s="3481">
        <v>86970</v>
      </c>
      <c r="G907" s="3482" t="s">
        <v>4210</v>
      </c>
    </row>
    <row r="908" spans="1:7">
      <c r="A908" s="3536">
        <v>907</v>
      </c>
      <c r="B908" s="3481" t="s">
        <v>8576</v>
      </c>
      <c r="C908" s="3481" t="s">
        <v>3395</v>
      </c>
      <c r="D908" s="3482">
        <v>83.54</v>
      </c>
      <c r="E908" s="3519">
        <f t="shared" si="14"/>
        <v>32212.173808953794</v>
      </c>
      <c r="F908" s="3481">
        <v>2691005</v>
      </c>
      <c r="G908" s="3482" t="s">
        <v>8573</v>
      </c>
    </row>
    <row r="909" spans="1:7">
      <c r="A909" s="3536">
        <v>908</v>
      </c>
      <c r="B909" s="3481" t="s">
        <v>8596</v>
      </c>
      <c r="C909" s="3481" t="s">
        <v>3395</v>
      </c>
      <c r="D909" s="3482">
        <v>83.54</v>
      </c>
      <c r="E909" s="3519">
        <f t="shared" si="14"/>
        <v>32218.817333014122</v>
      </c>
      <c r="F909" s="3481">
        <v>2691560</v>
      </c>
      <c r="G909" s="3482" t="s">
        <v>8595</v>
      </c>
    </row>
    <row r="910" spans="1:7">
      <c r="A910" s="3536">
        <v>909</v>
      </c>
      <c r="B910" s="3481" t="s">
        <v>8642</v>
      </c>
      <c r="C910" s="3481" t="s">
        <v>3395</v>
      </c>
      <c r="D910" s="3482">
        <v>83.54</v>
      </c>
      <c r="E910" s="3519">
        <f t="shared" si="14"/>
        <v>31896.624371558533</v>
      </c>
      <c r="F910" s="3481">
        <v>2664644</v>
      </c>
      <c r="G910" s="3482" t="s">
        <v>4360</v>
      </c>
    </row>
    <row r="911" spans="1:7">
      <c r="A911" s="3536">
        <v>910</v>
      </c>
      <c r="B911" s="3481" t="s">
        <v>8569</v>
      </c>
      <c r="C911" s="3481" t="s">
        <v>3395</v>
      </c>
      <c r="D911" s="3482">
        <v>83.54</v>
      </c>
      <c r="E911" s="3519">
        <f t="shared" si="14"/>
        <v>32876.346660282499</v>
      </c>
      <c r="F911" s="3481">
        <v>2746490</v>
      </c>
      <c r="G911" s="3482" t="s">
        <v>8567</v>
      </c>
    </row>
    <row r="912" spans="1:7">
      <c r="A912" s="3536">
        <v>911</v>
      </c>
      <c r="B912" s="3481" t="s">
        <v>8643</v>
      </c>
      <c r="C912" s="3481" t="s">
        <v>3395</v>
      </c>
      <c r="D912" s="3482">
        <v>83.54</v>
      </c>
      <c r="E912" s="3519">
        <f t="shared" si="14"/>
        <v>31571.151544170454</v>
      </c>
      <c r="F912" s="3481">
        <v>2637454</v>
      </c>
      <c r="G912" s="3482" t="s">
        <v>4360</v>
      </c>
    </row>
    <row r="913" spans="1:7">
      <c r="A913" s="3536">
        <v>912</v>
      </c>
      <c r="B913" s="3481" t="s">
        <v>6919</v>
      </c>
      <c r="C913" s="3481" t="s">
        <v>3395</v>
      </c>
      <c r="D913" s="3482">
        <v>83.54</v>
      </c>
      <c r="E913" s="3519">
        <f t="shared" si="14"/>
        <v>27890.830739765381</v>
      </c>
      <c r="F913" s="3481">
        <v>2330000</v>
      </c>
      <c r="G913" s="3482" t="s">
        <v>6920</v>
      </c>
    </row>
    <row r="914" spans="1:7">
      <c r="A914" s="3536">
        <v>913</v>
      </c>
      <c r="B914" s="3481" t="s">
        <v>8303</v>
      </c>
      <c r="C914" s="3481" t="s">
        <v>3395</v>
      </c>
      <c r="D914" s="3482">
        <v>73.760000000000005</v>
      </c>
      <c r="E914" s="3519">
        <f t="shared" si="14"/>
        <v>35582.022776572667</v>
      </c>
      <c r="F914" s="3481">
        <v>2624530</v>
      </c>
      <c r="G914" s="3482" t="s">
        <v>4240</v>
      </c>
    </row>
    <row r="915" spans="1:7">
      <c r="A915" s="3536">
        <v>914</v>
      </c>
      <c r="B915" s="3481" t="s">
        <v>8310</v>
      </c>
      <c r="C915" s="3481" t="s">
        <v>3395</v>
      </c>
      <c r="D915" s="3482">
        <v>73.760000000000005</v>
      </c>
      <c r="E915" s="3519">
        <f t="shared" si="14"/>
        <v>33827.711496746204</v>
      </c>
      <c r="F915" s="3481">
        <v>2495132</v>
      </c>
      <c r="G915" s="3482" t="s">
        <v>8311</v>
      </c>
    </row>
    <row r="916" spans="1:7">
      <c r="A916" s="3536">
        <v>915</v>
      </c>
      <c r="B916" s="3481" t="s">
        <v>8246</v>
      </c>
      <c r="C916" s="3481" t="s">
        <v>5318</v>
      </c>
      <c r="D916" s="3482">
        <v>219.57</v>
      </c>
      <c r="E916" s="3519">
        <f t="shared" si="14"/>
        <v>23205.583640752382</v>
      </c>
      <c r="F916" s="3481">
        <v>5095250</v>
      </c>
      <c r="G916" s="3482" t="s">
        <v>4208</v>
      </c>
    </row>
    <row r="917" spans="1:7">
      <c r="A917" s="3536">
        <v>916</v>
      </c>
      <c r="B917" s="3481" t="s">
        <v>4207</v>
      </c>
      <c r="C917" s="3481" t="s">
        <v>3338</v>
      </c>
      <c r="D917" s="3482">
        <v>18.239999999999998</v>
      </c>
      <c r="E917" s="3519">
        <f t="shared" si="14"/>
        <v>3001.6447368421054</v>
      </c>
      <c r="F917" s="3481">
        <v>54750</v>
      </c>
      <c r="G917" s="3482" t="s">
        <v>4208</v>
      </c>
    </row>
    <row r="918" spans="1:7">
      <c r="A918" s="3536">
        <v>917</v>
      </c>
      <c r="B918" s="3481" t="s">
        <v>8072</v>
      </c>
      <c r="C918" s="3481" t="s">
        <v>5305</v>
      </c>
      <c r="D918" s="3482">
        <v>73.05</v>
      </c>
      <c r="E918" s="3519">
        <f t="shared" si="14"/>
        <v>37223.600273785079</v>
      </c>
      <c r="F918" s="3481">
        <v>2719184</v>
      </c>
      <c r="G918" s="3482" t="s">
        <v>4104</v>
      </c>
    </row>
    <row r="919" spans="1:7">
      <c r="A919" s="3536">
        <v>918</v>
      </c>
      <c r="B919" s="3481" t="s">
        <v>4120</v>
      </c>
      <c r="C919" s="3481" t="s">
        <v>3338</v>
      </c>
      <c r="D919" s="3482">
        <v>99.47</v>
      </c>
      <c r="E919" s="3519">
        <f t="shared" si="14"/>
        <v>13677.721926208907</v>
      </c>
      <c r="F919" s="3481">
        <v>1360523</v>
      </c>
      <c r="G919" s="3482" t="s">
        <v>4104</v>
      </c>
    </row>
    <row r="920" spans="1:7">
      <c r="A920" s="3536">
        <v>919</v>
      </c>
      <c r="B920" s="3481" t="s">
        <v>8103</v>
      </c>
      <c r="C920" s="3481" t="s">
        <v>5305</v>
      </c>
      <c r="D920" s="3482">
        <v>73.430000000000007</v>
      </c>
      <c r="E920" s="3519">
        <f t="shared" si="14"/>
        <v>37223.709655454171</v>
      </c>
      <c r="F920" s="3481">
        <v>2733337</v>
      </c>
      <c r="G920" s="3482" t="s">
        <v>4140</v>
      </c>
    </row>
    <row r="921" spans="1:7">
      <c r="A921" s="3536">
        <v>920</v>
      </c>
      <c r="B921" s="3481" t="s">
        <v>4144</v>
      </c>
      <c r="C921" s="3481" t="s">
        <v>3338</v>
      </c>
      <c r="D921" s="3482">
        <v>100.71</v>
      </c>
      <c r="E921" s="3519">
        <f t="shared" si="14"/>
        <v>13657.630821169696</v>
      </c>
      <c r="F921" s="3481">
        <v>1375460</v>
      </c>
      <c r="G921" s="3482" t="s">
        <v>4140</v>
      </c>
    </row>
    <row r="922" spans="1:7">
      <c r="A922" s="3536">
        <v>921</v>
      </c>
      <c r="B922" s="3481" t="s">
        <v>7740</v>
      </c>
      <c r="C922" s="3481" t="s">
        <v>5318</v>
      </c>
      <c r="D922" s="3482">
        <v>179.48</v>
      </c>
      <c r="E922" s="3519">
        <f t="shared" si="14"/>
        <v>28272.56518832182</v>
      </c>
      <c r="F922" s="3481">
        <v>5074360</v>
      </c>
      <c r="G922" s="3482" t="s">
        <v>3863</v>
      </c>
    </row>
    <row r="923" spans="1:7">
      <c r="A923" s="3536">
        <v>922</v>
      </c>
      <c r="B923" s="3481" t="s">
        <v>3862</v>
      </c>
      <c r="C923" s="3481" t="s">
        <v>3338</v>
      </c>
      <c r="D923" s="3482">
        <v>12.88</v>
      </c>
      <c r="E923" s="3519">
        <f t="shared" si="14"/>
        <v>3002.3291925465837</v>
      </c>
      <c r="F923" s="3481">
        <v>38670</v>
      </c>
      <c r="G923" s="3482" t="s">
        <v>3863</v>
      </c>
    </row>
    <row r="924" spans="1:7">
      <c r="A924" s="3536">
        <v>923</v>
      </c>
      <c r="B924" s="3481" t="s">
        <v>4121</v>
      </c>
      <c r="C924" s="3481" t="s">
        <v>3338</v>
      </c>
      <c r="D924" s="3482">
        <v>191.6</v>
      </c>
      <c r="E924" s="3519">
        <f t="shared" si="14"/>
        <v>13675.845511482255</v>
      </c>
      <c r="F924" s="3481">
        <v>2620292</v>
      </c>
      <c r="G924" s="3482" t="s">
        <v>4104</v>
      </c>
    </row>
    <row r="925" spans="1:7">
      <c r="A925" s="3536">
        <v>924</v>
      </c>
      <c r="B925" s="3481" t="s">
        <v>4145</v>
      </c>
      <c r="C925" s="3481" t="s">
        <v>3338</v>
      </c>
      <c r="D925" s="3482">
        <v>192.69</v>
      </c>
      <c r="E925" s="3519">
        <f t="shared" si="14"/>
        <v>13655.109242825263</v>
      </c>
      <c r="F925" s="3481">
        <v>2631203</v>
      </c>
      <c r="G925" s="3482" t="s">
        <v>4140</v>
      </c>
    </row>
    <row r="926" spans="1:7">
      <c r="A926" s="3536">
        <v>925</v>
      </c>
      <c r="B926" s="3481" t="s">
        <v>3864</v>
      </c>
      <c r="C926" s="3481" t="s">
        <v>3338</v>
      </c>
      <c r="D926" s="3482">
        <v>28.98</v>
      </c>
      <c r="E926" s="3519">
        <f t="shared" si="14"/>
        <v>3001.0351966873704</v>
      </c>
      <c r="F926" s="3481">
        <v>86970</v>
      </c>
      <c r="G926" s="3482" t="s">
        <v>3863</v>
      </c>
    </row>
    <row r="927" spans="1:7">
      <c r="A927" s="3536">
        <v>926</v>
      </c>
      <c r="B927" s="3481" t="s">
        <v>8565</v>
      </c>
      <c r="C927" s="3481" t="s">
        <v>3395</v>
      </c>
      <c r="D927" s="3482">
        <v>83.54</v>
      </c>
      <c r="E927" s="3519">
        <f t="shared" si="14"/>
        <v>32218.817333014122</v>
      </c>
      <c r="F927" s="3481">
        <v>2691560</v>
      </c>
      <c r="G927" s="3482" t="s">
        <v>8563</v>
      </c>
    </row>
    <row r="928" spans="1:7">
      <c r="A928" s="3536">
        <v>927</v>
      </c>
      <c r="B928" s="3481" t="s">
        <v>8579</v>
      </c>
      <c r="C928" s="3481" t="s">
        <v>3395</v>
      </c>
      <c r="D928" s="3482">
        <v>83.92</v>
      </c>
      <c r="E928" s="3519">
        <f t="shared" si="14"/>
        <v>32185.045281220209</v>
      </c>
      <c r="F928" s="3481">
        <v>2700969</v>
      </c>
      <c r="G928" s="3482" t="s">
        <v>4343</v>
      </c>
    </row>
    <row r="929" spans="1:7">
      <c r="A929" s="3536">
        <v>928</v>
      </c>
      <c r="B929" s="3481" t="s">
        <v>8625</v>
      </c>
      <c r="C929" s="3481" t="s">
        <v>3395</v>
      </c>
      <c r="D929" s="3482">
        <v>83.92</v>
      </c>
      <c r="E929" s="3519">
        <f t="shared" si="14"/>
        <v>31538.06005719733</v>
      </c>
      <c r="F929" s="3481">
        <v>2646674</v>
      </c>
      <c r="G929" s="3482" t="s">
        <v>8620</v>
      </c>
    </row>
    <row r="930" spans="1:7">
      <c r="A930" s="3536">
        <v>929</v>
      </c>
      <c r="B930" s="3481" t="s">
        <v>8586</v>
      </c>
      <c r="C930" s="3481" t="s">
        <v>3395</v>
      </c>
      <c r="D930" s="3482">
        <v>83.54</v>
      </c>
      <c r="E930" s="3519">
        <f t="shared" si="14"/>
        <v>32218.817333014122</v>
      </c>
      <c r="F930" s="3481">
        <v>2691560</v>
      </c>
      <c r="G930" s="3482" t="s">
        <v>8587</v>
      </c>
    </row>
    <row r="931" spans="1:7">
      <c r="A931" s="3536">
        <v>930</v>
      </c>
      <c r="B931" s="3481" t="s">
        <v>7769</v>
      </c>
      <c r="C931" s="3481" t="s">
        <v>3395</v>
      </c>
      <c r="D931" s="3482">
        <v>83.92</v>
      </c>
      <c r="E931" s="3519">
        <f t="shared" si="14"/>
        <v>33292.576263107723</v>
      </c>
      <c r="F931" s="3481">
        <v>2793913</v>
      </c>
      <c r="G931" s="3482" t="s">
        <v>3888</v>
      </c>
    </row>
    <row r="932" spans="1:7">
      <c r="A932" s="3536">
        <v>931</v>
      </c>
      <c r="B932" s="3481" t="s">
        <v>8583</v>
      </c>
      <c r="C932" s="3481" t="s">
        <v>3395</v>
      </c>
      <c r="D932" s="3482">
        <v>83.54</v>
      </c>
      <c r="E932" s="3519">
        <f t="shared" si="14"/>
        <v>34819.583433085943</v>
      </c>
      <c r="F932" s="3481">
        <v>2908828</v>
      </c>
      <c r="G932" s="3482" t="s">
        <v>8581</v>
      </c>
    </row>
    <row r="933" spans="1:7">
      <c r="A933" s="3536">
        <v>932</v>
      </c>
      <c r="B933" s="3481" t="s">
        <v>8556</v>
      </c>
      <c r="C933" s="3481" t="s">
        <v>3395</v>
      </c>
      <c r="D933" s="3482">
        <v>73.760000000000005</v>
      </c>
      <c r="E933" s="3519">
        <f t="shared" si="14"/>
        <v>37092.394251626894</v>
      </c>
      <c r="F933" s="3481">
        <v>2735935</v>
      </c>
      <c r="G933" s="3482" t="s">
        <v>8553</v>
      </c>
    </row>
    <row r="934" spans="1:7">
      <c r="A934" s="3536">
        <v>933</v>
      </c>
      <c r="B934" s="3481" t="s">
        <v>8588</v>
      </c>
      <c r="C934" s="3481" t="s">
        <v>3395</v>
      </c>
      <c r="D934" s="3482">
        <v>74.22</v>
      </c>
      <c r="E934" s="3519">
        <f t="shared" si="14"/>
        <v>36745.917542441392</v>
      </c>
      <c r="F934" s="3481">
        <v>2727282</v>
      </c>
      <c r="G934" s="3482" t="s">
        <v>8587</v>
      </c>
    </row>
    <row r="935" spans="1:7">
      <c r="A935" s="3536">
        <v>934</v>
      </c>
      <c r="B935" s="3481" t="s">
        <v>8445</v>
      </c>
      <c r="C935" s="3481" t="s">
        <v>5318</v>
      </c>
      <c r="D935" s="3482">
        <v>193.57</v>
      </c>
      <c r="E935" s="3519">
        <f t="shared" si="14"/>
        <v>24643.281500232475</v>
      </c>
      <c r="F935" s="3481">
        <v>4770200</v>
      </c>
      <c r="G935" s="3482" t="s">
        <v>4326</v>
      </c>
    </row>
    <row r="936" spans="1:7">
      <c r="A936" s="3536">
        <v>935</v>
      </c>
      <c r="B936" s="3481" t="s">
        <v>4325</v>
      </c>
      <c r="C936" s="3481" t="s">
        <v>3338</v>
      </c>
      <c r="D936" s="3482">
        <v>12.61</v>
      </c>
      <c r="E936" s="3519">
        <f t="shared" si="14"/>
        <v>3000</v>
      </c>
      <c r="F936" s="3481">
        <v>37830</v>
      </c>
      <c r="G936" s="3482" t="s">
        <v>4326</v>
      </c>
    </row>
    <row r="937" spans="1:7">
      <c r="A937" s="3536">
        <v>936</v>
      </c>
      <c r="B937" s="3481" t="s">
        <v>8356</v>
      </c>
      <c r="C937" s="3481" t="s">
        <v>5305</v>
      </c>
      <c r="D937" s="3482">
        <v>73.349999999999994</v>
      </c>
      <c r="E937" s="3519">
        <f t="shared" si="14"/>
        <v>37223.694614860258</v>
      </c>
      <c r="F937" s="3481">
        <v>2730358</v>
      </c>
      <c r="G937" s="3482" t="s">
        <v>4274</v>
      </c>
    </row>
    <row r="938" spans="1:7">
      <c r="A938" s="3536">
        <v>937</v>
      </c>
      <c r="B938" s="3481" t="s">
        <v>4273</v>
      </c>
      <c r="C938" s="3481" t="s">
        <v>3338</v>
      </c>
      <c r="D938" s="3482">
        <v>99.03</v>
      </c>
      <c r="E938" s="3519">
        <f t="shared" si="14"/>
        <v>16197.31394526911</v>
      </c>
      <c r="F938" s="3481">
        <v>1604020</v>
      </c>
      <c r="G938" s="3482" t="s">
        <v>4274</v>
      </c>
    </row>
    <row r="939" spans="1:7">
      <c r="A939" s="3536">
        <v>938</v>
      </c>
      <c r="B939" s="3481" t="s">
        <v>8316</v>
      </c>
      <c r="C939" s="3481" t="s">
        <v>5305</v>
      </c>
      <c r="D939" s="3482">
        <v>72.97</v>
      </c>
      <c r="E939" s="3519">
        <f t="shared" si="14"/>
        <v>37223.585034945871</v>
      </c>
      <c r="F939" s="3481">
        <v>2716205</v>
      </c>
      <c r="G939" s="3482" t="s">
        <v>4243</v>
      </c>
    </row>
    <row r="940" spans="1:7">
      <c r="A940" s="3536">
        <v>939</v>
      </c>
      <c r="B940" s="3481" t="s">
        <v>4242</v>
      </c>
      <c r="C940" s="3481" t="s">
        <v>3338</v>
      </c>
      <c r="D940" s="3482">
        <v>97.62</v>
      </c>
      <c r="E940" s="3519">
        <f t="shared" si="14"/>
        <v>13356.79164105716</v>
      </c>
      <c r="F940" s="3481">
        <v>1303890</v>
      </c>
      <c r="G940" s="3482" t="s">
        <v>4243</v>
      </c>
    </row>
    <row r="941" spans="1:7">
      <c r="A941" s="3536">
        <v>940</v>
      </c>
      <c r="B941" s="3481" t="s">
        <v>8446</v>
      </c>
      <c r="C941" s="3481" t="s">
        <v>5318</v>
      </c>
      <c r="D941" s="3482">
        <v>192.64</v>
      </c>
      <c r="E941" s="3519">
        <f t="shared" si="14"/>
        <v>25193.833056478408</v>
      </c>
      <c r="F941" s="3481">
        <v>4853340</v>
      </c>
      <c r="G941" s="3482" t="s">
        <v>4326</v>
      </c>
    </row>
    <row r="942" spans="1:7">
      <c r="A942" s="3536">
        <v>941</v>
      </c>
      <c r="B942" s="3481" t="s">
        <v>4327</v>
      </c>
      <c r="C942" s="3481" t="s">
        <v>3338</v>
      </c>
      <c r="D942" s="3482">
        <v>12.61</v>
      </c>
      <c r="E942" s="3519">
        <f t="shared" si="14"/>
        <v>3000</v>
      </c>
      <c r="F942" s="3481">
        <v>37830</v>
      </c>
      <c r="G942" s="3482" t="s">
        <v>4326</v>
      </c>
    </row>
    <row r="943" spans="1:7">
      <c r="A943" s="3536">
        <v>942</v>
      </c>
      <c r="B943" s="3481" t="s">
        <v>4328</v>
      </c>
      <c r="C943" s="3481" t="s">
        <v>3338</v>
      </c>
      <c r="D943" s="3482">
        <v>53.96</v>
      </c>
      <c r="E943" s="3519">
        <f t="shared" si="14"/>
        <v>3001.6679021497407</v>
      </c>
      <c r="F943" s="3481">
        <v>161970</v>
      </c>
      <c r="G943" s="3482" t="s">
        <v>4326</v>
      </c>
    </row>
    <row r="944" spans="1:7">
      <c r="A944" s="3536">
        <v>943</v>
      </c>
      <c r="B944" s="3481" t="s">
        <v>4275</v>
      </c>
      <c r="C944" s="3481" t="s">
        <v>3338</v>
      </c>
      <c r="D944" s="3482">
        <v>189.21</v>
      </c>
      <c r="E944" s="3519">
        <f t="shared" si="14"/>
        <v>17001.802230326091</v>
      </c>
      <c r="F944" s="3481">
        <v>3216911</v>
      </c>
      <c r="G944" s="3482" t="s">
        <v>4274</v>
      </c>
    </row>
    <row r="945" spans="1:7">
      <c r="A945" s="3536">
        <v>944</v>
      </c>
      <c r="B945" s="3481" t="s">
        <v>4244</v>
      </c>
      <c r="C945" s="3481" t="s">
        <v>3338</v>
      </c>
      <c r="D945" s="3482">
        <v>187.95</v>
      </c>
      <c r="E945" s="3519">
        <f t="shared" si="14"/>
        <v>13354.110135674382</v>
      </c>
      <c r="F945" s="3481">
        <v>2509905</v>
      </c>
      <c r="G945" s="3482" t="s">
        <v>4243</v>
      </c>
    </row>
    <row r="946" spans="1:7">
      <c r="A946" s="3536">
        <v>945</v>
      </c>
      <c r="B946" s="3481" t="s">
        <v>4329</v>
      </c>
      <c r="C946" s="3481" t="s">
        <v>3338</v>
      </c>
      <c r="D946" s="3482">
        <v>53.42</v>
      </c>
      <c r="E946" s="3519">
        <f t="shared" si="14"/>
        <v>3001.6847622613254</v>
      </c>
      <c r="F946" s="3481">
        <v>160350</v>
      </c>
      <c r="G946" s="3482" t="s">
        <v>4326</v>
      </c>
    </row>
    <row r="947" spans="1:7">
      <c r="A947" s="3536">
        <v>946</v>
      </c>
      <c r="B947" s="3481" t="s">
        <v>8088</v>
      </c>
      <c r="C947" s="3481" t="s">
        <v>3395</v>
      </c>
      <c r="D947" s="3482">
        <v>83.82</v>
      </c>
      <c r="E947" s="3519">
        <f t="shared" si="14"/>
        <v>32493.378668575522</v>
      </c>
      <c r="F947" s="3481">
        <v>2723595</v>
      </c>
      <c r="G947" s="3482" t="s">
        <v>4123</v>
      </c>
    </row>
    <row r="948" spans="1:7">
      <c r="A948" s="3536">
        <v>947</v>
      </c>
      <c r="B948" s="3481" t="s">
        <v>8423</v>
      </c>
      <c r="C948" s="3481" t="s">
        <v>3395</v>
      </c>
      <c r="D948" s="3482">
        <v>83.44</v>
      </c>
      <c r="E948" s="3519">
        <f t="shared" si="14"/>
        <v>33149.089165867692</v>
      </c>
      <c r="F948" s="3481">
        <v>2765960</v>
      </c>
      <c r="G948" s="3482" t="s">
        <v>4306</v>
      </c>
    </row>
    <row r="949" spans="1:7">
      <c r="A949" s="3536">
        <v>948</v>
      </c>
      <c r="B949" s="3481" t="s">
        <v>8451</v>
      </c>
      <c r="C949" s="3481" t="s">
        <v>3395</v>
      </c>
      <c r="D949" s="3482">
        <v>83.82</v>
      </c>
      <c r="E949" s="3519">
        <f t="shared" si="14"/>
        <v>32831.853972798861</v>
      </c>
      <c r="F949" s="3481">
        <v>2751966</v>
      </c>
      <c r="G949" s="3482" t="s">
        <v>8452</v>
      </c>
    </row>
    <row r="950" spans="1:7">
      <c r="A950" s="3536">
        <v>949</v>
      </c>
      <c r="B950" s="3481" t="s">
        <v>8518</v>
      </c>
      <c r="C950" s="3481" t="s">
        <v>3395</v>
      </c>
      <c r="D950" s="3482">
        <v>83.44</v>
      </c>
      <c r="E950" s="3519">
        <f t="shared" si="14"/>
        <v>33494.391179290506</v>
      </c>
      <c r="F950" s="3481">
        <v>2794772</v>
      </c>
      <c r="G950" s="3482" t="s">
        <v>8517</v>
      </c>
    </row>
    <row r="951" spans="1:7">
      <c r="A951" s="3536">
        <v>950</v>
      </c>
      <c r="B951" s="3481" t="s">
        <v>8426</v>
      </c>
      <c r="C951" s="3481" t="s">
        <v>3395</v>
      </c>
      <c r="D951" s="3482">
        <v>83.82</v>
      </c>
      <c r="E951" s="3519">
        <f t="shared" si="14"/>
        <v>33498.472918157961</v>
      </c>
      <c r="F951" s="3481">
        <v>2807842</v>
      </c>
      <c r="G951" s="3482" t="s">
        <v>4309</v>
      </c>
    </row>
    <row r="952" spans="1:7">
      <c r="A952" s="3536">
        <v>951</v>
      </c>
      <c r="B952" s="3481" t="s">
        <v>8520</v>
      </c>
      <c r="C952" s="3481" t="s">
        <v>3395</v>
      </c>
      <c r="D952" s="3482">
        <v>83.44</v>
      </c>
      <c r="E952" s="3519">
        <f t="shared" si="14"/>
        <v>32911.625119846598</v>
      </c>
      <c r="F952" s="3481">
        <v>2746146</v>
      </c>
      <c r="G952" s="3482" t="s">
        <v>8521</v>
      </c>
    </row>
    <row r="953" spans="1:7">
      <c r="A953" s="3536">
        <v>952</v>
      </c>
      <c r="B953" s="3481" t="s">
        <v>8505</v>
      </c>
      <c r="C953" s="3481" t="s">
        <v>3395</v>
      </c>
      <c r="D953" s="3482">
        <v>74.13</v>
      </c>
      <c r="E953" s="3519">
        <f t="shared" si="14"/>
        <v>34312.370160528801</v>
      </c>
      <c r="F953" s="3481">
        <v>2543576</v>
      </c>
      <c r="G953" s="3482" t="s">
        <v>8506</v>
      </c>
    </row>
    <row r="954" spans="1:7">
      <c r="A954" s="3536">
        <v>953</v>
      </c>
      <c r="B954" s="3481" t="s">
        <v>8541</v>
      </c>
      <c r="C954" s="3481" t="s">
        <v>3395</v>
      </c>
      <c r="D954" s="3482">
        <v>73.67</v>
      </c>
      <c r="E954" s="3519">
        <f t="shared" si="14"/>
        <v>34519.180127596039</v>
      </c>
      <c r="F954" s="3481">
        <v>2543028</v>
      </c>
      <c r="G954" s="3482" t="s">
        <v>8542</v>
      </c>
    </row>
    <row r="955" spans="1:7">
      <c r="A955" s="3536">
        <v>954</v>
      </c>
      <c r="B955" s="3481" t="s">
        <v>8443</v>
      </c>
      <c r="C955" s="3481" t="s">
        <v>5318</v>
      </c>
      <c r="D955" s="3482">
        <v>192.64</v>
      </c>
      <c r="E955" s="3519">
        <f t="shared" si="14"/>
        <v>24251.557308970103</v>
      </c>
      <c r="F955" s="3481">
        <v>4671820</v>
      </c>
      <c r="G955" s="3482" t="s">
        <v>4323</v>
      </c>
    </row>
    <row r="956" spans="1:7">
      <c r="A956" s="3536">
        <v>955</v>
      </c>
      <c r="B956" s="3481" t="s">
        <v>4322</v>
      </c>
      <c r="C956" s="3481" t="s">
        <v>3338</v>
      </c>
      <c r="D956" s="3482">
        <v>12.61</v>
      </c>
      <c r="E956" s="3519">
        <f t="shared" si="14"/>
        <v>3000</v>
      </c>
      <c r="F956" s="3481">
        <v>37830</v>
      </c>
      <c r="G956" s="3482" t="s">
        <v>4323</v>
      </c>
    </row>
    <row r="957" spans="1:7">
      <c r="A957" s="3536">
        <v>956</v>
      </c>
      <c r="B957" s="3481" t="s">
        <v>6797</v>
      </c>
      <c r="C957" s="3481" t="s">
        <v>5305</v>
      </c>
      <c r="D957" s="3482">
        <v>72.97</v>
      </c>
      <c r="E957" s="3519">
        <f t="shared" si="14"/>
        <v>37223.585034945871</v>
      </c>
      <c r="F957" s="3481">
        <v>2716205</v>
      </c>
      <c r="G957" s="3482" t="s">
        <v>4243</v>
      </c>
    </row>
    <row r="958" spans="1:7">
      <c r="A958" s="3536">
        <v>957</v>
      </c>
      <c r="B958" s="3481" t="s">
        <v>3415</v>
      </c>
      <c r="C958" s="3481" t="s">
        <v>3338</v>
      </c>
      <c r="D958" s="3482">
        <v>97.62</v>
      </c>
      <c r="E958" s="3519">
        <f t="shared" si="14"/>
        <v>13356.79164105716</v>
      </c>
      <c r="F958" s="3481">
        <v>1303890</v>
      </c>
      <c r="G958" s="3482" t="s">
        <v>4243</v>
      </c>
    </row>
    <row r="959" spans="1:7">
      <c r="A959" s="3536">
        <v>958</v>
      </c>
      <c r="B959" s="3481" t="s">
        <v>8500</v>
      </c>
      <c r="C959" s="3481" t="s">
        <v>5305</v>
      </c>
      <c r="D959" s="3482">
        <v>72.97</v>
      </c>
      <c r="E959" s="3519">
        <f t="shared" si="14"/>
        <v>37223.585034945871</v>
      </c>
      <c r="F959" s="3481">
        <v>2716205</v>
      </c>
      <c r="G959" s="3482" t="s">
        <v>4337</v>
      </c>
    </row>
    <row r="960" spans="1:7">
      <c r="A960" s="3536">
        <v>959</v>
      </c>
      <c r="B960" s="3481" t="s">
        <v>4336</v>
      </c>
      <c r="C960" s="3481" t="s">
        <v>3338</v>
      </c>
      <c r="D960" s="3482">
        <v>97.62</v>
      </c>
      <c r="E960" s="3519">
        <f t="shared" si="14"/>
        <v>16185.720139315714</v>
      </c>
      <c r="F960" s="3481">
        <v>1580050</v>
      </c>
      <c r="G960" s="3482" t="s">
        <v>4337</v>
      </c>
    </row>
    <row r="961" spans="1:7">
      <c r="A961" s="3536">
        <v>960</v>
      </c>
      <c r="B961" s="3481" t="s">
        <v>8431</v>
      </c>
      <c r="C961" s="3481" t="s">
        <v>5318</v>
      </c>
      <c r="D961" s="3482">
        <v>192.64</v>
      </c>
      <c r="E961" s="3519">
        <f t="shared" si="14"/>
        <v>24251.557308970103</v>
      </c>
      <c r="F961" s="3481">
        <v>4671820</v>
      </c>
      <c r="G961" s="3482" t="s">
        <v>4317</v>
      </c>
    </row>
    <row r="962" spans="1:7">
      <c r="A962" s="3536">
        <v>961</v>
      </c>
      <c r="B962" s="3481" t="s">
        <v>4316</v>
      </c>
      <c r="C962" s="3481" t="s">
        <v>3338</v>
      </c>
      <c r="D962" s="3482">
        <v>12.61</v>
      </c>
      <c r="E962" s="3519">
        <f t="shared" si="14"/>
        <v>3000</v>
      </c>
      <c r="F962" s="3481">
        <v>37830</v>
      </c>
      <c r="G962" s="3482" t="s">
        <v>4317</v>
      </c>
    </row>
    <row r="963" spans="1:7">
      <c r="A963" s="3536">
        <v>962</v>
      </c>
      <c r="B963" s="3481" t="s">
        <v>4324</v>
      </c>
      <c r="C963" s="3481" t="s">
        <v>3338</v>
      </c>
      <c r="D963" s="3482">
        <v>53.42</v>
      </c>
      <c r="E963" s="3519">
        <f t="shared" ref="E963:E1026" si="15">F963/D963</f>
        <v>3001.6847622613254</v>
      </c>
      <c r="F963" s="3481">
        <v>160350</v>
      </c>
      <c r="G963" s="3482" t="s">
        <v>4323</v>
      </c>
    </row>
    <row r="964" spans="1:7">
      <c r="A964" s="3536">
        <v>963</v>
      </c>
      <c r="B964" s="3481" t="s">
        <v>4245</v>
      </c>
      <c r="C964" s="3481" t="s">
        <v>3338</v>
      </c>
      <c r="D964" s="3482">
        <v>187.95</v>
      </c>
      <c r="E964" s="3519">
        <f t="shared" si="15"/>
        <v>13354.110135674382</v>
      </c>
      <c r="F964" s="3481">
        <v>2509905</v>
      </c>
      <c r="G964" s="3482" t="s">
        <v>4243</v>
      </c>
    </row>
    <row r="965" spans="1:7">
      <c r="A965" s="3536">
        <v>964</v>
      </c>
      <c r="B965" s="3481" t="s">
        <v>4338</v>
      </c>
      <c r="C965" s="3481" t="s">
        <v>3338</v>
      </c>
      <c r="D965" s="3482">
        <v>187.95</v>
      </c>
      <c r="E965" s="3519">
        <f t="shared" si="15"/>
        <v>17001.808991753125</v>
      </c>
      <c r="F965" s="3481">
        <v>3195490</v>
      </c>
      <c r="G965" s="3482" t="s">
        <v>4337</v>
      </c>
    </row>
    <row r="966" spans="1:7">
      <c r="A966" s="3536">
        <v>965</v>
      </c>
      <c r="B966" s="3481" t="s">
        <v>4318</v>
      </c>
      <c r="C966" s="3481" t="s">
        <v>3338</v>
      </c>
      <c r="D966" s="3482">
        <v>53.42</v>
      </c>
      <c r="E966" s="3519">
        <f t="shared" si="15"/>
        <v>3001.6847622613254</v>
      </c>
      <c r="F966" s="3481">
        <v>160350</v>
      </c>
      <c r="G966" s="3482" t="s">
        <v>4317</v>
      </c>
    </row>
    <row r="967" spans="1:7">
      <c r="A967" s="3536">
        <v>966</v>
      </c>
      <c r="B967" s="3481" t="s">
        <v>8507</v>
      </c>
      <c r="C967" s="3481" t="s">
        <v>3395</v>
      </c>
      <c r="D967" s="3482">
        <v>83.44</v>
      </c>
      <c r="E967" s="3519">
        <f t="shared" si="15"/>
        <v>33159.443911792907</v>
      </c>
      <c r="F967" s="3481">
        <v>2766824</v>
      </c>
      <c r="G967" s="3482" t="s">
        <v>8506</v>
      </c>
    </row>
    <row r="968" spans="1:7">
      <c r="A968" s="3536">
        <v>967</v>
      </c>
      <c r="B968" s="3481" t="s">
        <v>8449</v>
      </c>
      <c r="C968" s="3481" t="s">
        <v>3395</v>
      </c>
      <c r="D968" s="3482">
        <v>83.44</v>
      </c>
      <c r="E968" s="3519">
        <f t="shared" si="15"/>
        <v>33149.089165867692</v>
      </c>
      <c r="F968" s="3481">
        <v>2765960</v>
      </c>
      <c r="G968" s="3482" t="s">
        <v>4334</v>
      </c>
    </row>
    <row r="969" spans="1:7">
      <c r="A969" s="3536">
        <v>968</v>
      </c>
      <c r="B969" s="3481" t="s">
        <v>8508</v>
      </c>
      <c r="C969" s="3481" t="s">
        <v>3395</v>
      </c>
      <c r="D969" s="3482">
        <v>83.44</v>
      </c>
      <c r="E969" s="3519">
        <f t="shared" si="15"/>
        <v>32864.621284755514</v>
      </c>
      <c r="F969" s="3481">
        <v>2742224</v>
      </c>
      <c r="G969" s="3482" t="s">
        <v>8506</v>
      </c>
    </row>
    <row r="970" spans="1:7">
      <c r="A970" s="3536">
        <v>969</v>
      </c>
      <c r="B970" s="3481" t="s">
        <v>8533</v>
      </c>
      <c r="C970" s="3481" t="s">
        <v>3395</v>
      </c>
      <c r="D970" s="3482">
        <v>83.44</v>
      </c>
      <c r="E970" s="3519">
        <f t="shared" si="15"/>
        <v>33206.95110258869</v>
      </c>
      <c r="F970" s="3481">
        <v>2770788</v>
      </c>
      <c r="G970" s="3482" t="s">
        <v>8534</v>
      </c>
    </row>
    <row r="971" spans="1:7">
      <c r="A971" s="3536">
        <v>970</v>
      </c>
      <c r="B971" s="3481" t="s">
        <v>8543</v>
      </c>
      <c r="C971" s="3481" t="s">
        <v>3395</v>
      </c>
      <c r="D971" s="3482">
        <v>83.44</v>
      </c>
      <c r="E971" s="3519">
        <f t="shared" si="15"/>
        <v>33590.364333652928</v>
      </c>
      <c r="F971" s="3481">
        <v>2802780</v>
      </c>
      <c r="G971" s="3482" t="s">
        <v>8542</v>
      </c>
    </row>
    <row r="972" spans="1:7">
      <c r="A972" s="3536">
        <v>971</v>
      </c>
      <c r="B972" s="3481" t="s">
        <v>8530</v>
      </c>
      <c r="C972" s="3481" t="s">
        <v>3395</v>
      </c>
      <c r="D972" s="3482">
        <v>83.44</v>
      </c>
      <c r="E972" s="3519">
        <f t="shared" si="15"/>
        <v>33254.458293384472</v>
      </c>
      <c r="F972" s="3481">
        <v>2774752</v>
      </c>
      <c r="G972" s="3482" t="s">
        <v>8529</v>
      </c>
    </row>
    <row r="973" spans="1:7">
      <c r="A973" s="3536">
        <v>972</v>
      </c>
      <c r="B973" s="3481" t="s">
        <v>8481</v>
      </c>
      <c r="C973" s="3481" t="s">
        <v>3395</v>
      </c>
      <c r="D973" s="3482">
        <v>73.67</v>
      </c>
      <c r="E973" s="3519">
        <f t="shared" si="15"/>
        <v>34867.856658069773</v>
      </c>
      <c r="F973" s="3481">
        <v>2568715</v>
      </c>
      <c r="G973" s="3482" t="s">
        <v>8482</v>
      </c>
    </row>
    <row r="974" spans="1:7">
      <c r="A974" s="3536">
        <v>973</v>
      </c>
      <c r="B974" s="3481" t="s">
        <v>8531</v>
      </c>
      <c r="C974" s="3481" t="s">
        <v>3395</v>
      </c>
      <c r="D974" s="3482">
        <v>73.67</v>
      </c>
      <c r="E974" s="3519">
        <f t="shared" si="15"/>
        <v>34867.856658069773</v>
      </c>
      <c r="F974" s="3481">
        <v>2568715</v>
      </c>
      <c r="G974" s="3482" t="s">
        <v>8529</v>
      </c>
    </row>
    <row r="975" spans="1:7">
      <c r="A975" s="3536">
        <v>974</v>
      </c>
      <c r="B975" s="3481" t="s">
        <v>8427</v>
      </c>
      <c r="C975" s="3481" t="s">
        <v>5318</v>
      </c>
      <c r="D975" s="3482">
        <v>178.1</v>
      </c>
      <c r="E975" s="3519">
        <f t="shared" si="15"/>
        <v>25979.505895564289</v>
      </c>
      <c r="F975" s="3481">
        <v>4626950</v>
      </c>
      <c r="G975" s="3482" t="s">
        <v>4309</v>
      </c>
    </row>
    <row r="976" spans="1:7">
      <c r="A976" s="3536">
        <v>975</v>
      </c>
      <c r="B976" s="3481" t="s">
        <v>4308</v>
      </c>
      <c r="C976" s="3481" t="s">
        <v>3338</v>
      </c>
      <c r="D976" s="3482">
        <v>25.87</v>
      </c>
      <c r="E976" s="3519">
        <f t="shared" si="15"/>
        <v>3000</v>
      </c>
      <c r="F976" s="3481">
        <v>77610</v>
      </c>
      <c r="G976" s="3482" t="s">
        <v>4309</v>
      </c>
    </row>
    <row r="977" spans="1:7">
      <c r="A977" s="3536">
        <v>976</v>
      </c>
      <c r="B977" s="3481" t="s">
        <v>8317</v>
      </c>
      <c r="C977" s="3481" t="s">
        <v>5305</v>
      </c>
      <c r="D977" s="3482">
        <v>72.97</v>
      </c>
      <c r="E977" s="3519">
        <f t="shared" si="15"/>
        <v>37223.585034945871</v>
      </c>
      <c r="F977" s="3481">
        <v>2716205</v>
      </c>
      <c r="G977" s="3482" t="s">
        <v>4243</v>
      </c>
    </row>
    <row r="978" spans="1:7">
      <c r="A978" s="3536">
        <v>977</v>
      </c>
      <c r="B978" s="3481" t="s">
        <v>4246</v>
      </c>
      <c r="C978" s="3481" t="s">
        <v>3338</v>
      </c>
      <c r="D978" s="3482">
        <v>97.72</v>
      </c>
      <c r="E978" s="3519">
        <f t="shared" si="15"/>
        <v>13577.834629553827</v>
      </c>
      <c r="F978" s="3481">
        <v>1326826</v>
      </c>
      <c r="G978" s="3482" t="s">
        <v>4243</v>
      </c>
    </row>
    <row r="979" spans="1:7">
      <c r="A979" s="3536">
        <v>978</v>
      </c>
      <c r="B979" s="3481" t="s">
        <v>8318</v>
      </c>
      <c r="C979" s="3481" t="s">
        <v>5305</v>
      </c>
      <c r="D979" s="3482">
        <v>72.97</v>
      </c>
      <c r="E979" s="3519">
        <f t="shared" si="15"/>
        <v>37223.585034945871</v>
      </c>
      <c r="F979" s="3481">
        <v>2716205</v>
      </c>
      <c r="G979" s="3482" t="s">
        <v>4243</v>
      </c>
    </row>
    <row r="980" spans="1:7">
      <c r="A980" s="3536">
        <v>979</v>
      </c>
      <c r="B980" s="3481" t="s">
        <v>4247</v>
      </c>
      <c r="C980" s="3481" t="s">
        <v>3338</v>
      </c>
      <c r="D980" s="3482">
        <v>97.62</v>
      </c>
      <c r="E980" s="3519">
        <f t="shared" si="15"/>
        <v>12866.482278221676</v>
      </c>
      <c r="F980" s="3481">
        <v>1256026</v>
      </c>
      <c r="G980" s="3482" t="s">
        <v>4243</v>
      </c>
    </row>
    <row r="981" spans="1:7">
      <c r="A981" s="3536">
        <v>980</v>
      </c>
      <c r="B981" s="3481" t="s">
        <v>8340</v>
      </c>
      <c r="C981" s="3481" t="s">
        <v>5318</v>
      </c>
      <c r="D981" s="3482">
        <v>178.1</v>
      </c>
      <c r="E981" s="3519">
        <f t="shared" si="15"/>
        <v>26540.988208871422</v>
      </c>
      <c r="F981" s="3481">
        <v>4726950</v>
      </c>
      <c r="G981" s="3482" t="s">
        <v>4254</v>
      </c>
    </row>
    <row r="982" spans="1:7">
      <c r="A982" s="3536">
        <v>981</v>
      </c>
      <c r="B982" s="3481" t="s">
        <v>4258</v>
      </c>
      <c r="C982" s="3481" t="s">
        <v>3338</v>
      </c>
      <c r="D982" s="3482">
        <v>25.87</v>
      </c>
      <c r="E982" s="3519">
        <f t="shared" si="15"/>
        <v>3000</v>
      </c>
      <c r="F982" s="3481">
        <v>77610</v>
      </c>
      <c r="G982" s="3482" t="s">
        <v>4259</v>
      </c>
    </row>
    <row r="983" spans="1:7">
      <c r="A983" s="3536">
        <v>982</v>
      </c>
      <c r="B983" s="3481" t="s">
        <v>4310</v>
      </c>
      <c r="C983" s="3481" t="s">
        <v>3338</v>
      </c>
      <c r="D983" s="3482">
        <v>28.48</v>
      </c>
      <c r="E983" s="3519">
        <f t="shared" si="15"/>
        <v>3000</v>
      </c>
      <c r="F983" s="3481">
        <v>85440</v>
      </c>
      <c r="G983" s="3482" t="s">
        <v>4309</v>
      </c>
    </row>
    <row r="984" spans="1:7">
      <c r="A984" s="3536">
        <v>983</v>
      </c>
      <c r="B984" s="3481" t="s">
        <v>4248</v>
      </c>
      <c r="C984" s="3481" t="s">
        <v>3338</v>
      </c>
      <c r="D984" s="3482">
        <v>183.01</v>
      </c>
      <c r="E984" s="3519">
        <f t="shared" si="15"/>
        <v>13589.246489262883</v>
      </c>
      <c r="F984" s="3481">
        <v>2486968</v>
      </c>
      <c r="G984" s="3482" t="s">
        <v>4243</v>
      </c>
    </row>
    <row r="985" spans="1:7">
      <c r="A985" s="3536">
        <v>984</v>
      </c>
      <c r="B985" s="3481" t="s">
        <v>4249</v>
      </c>
      <c r="C985" s="3481" t="s">
        <v>3338</v>
      </c>
      <c r="D985" s="3482">
        <v>187.95</v>
      </c>
      <c r="E985" s="3519">
        <f t="shared" si="15"/>
        <v>12863.899973397181</v>
      </c>
      <c r="F985" s="3481">
        <v>2417770</v>
      </c>
      <c r="G985" s="3482" t="s">
        <v>4243</v>
      </c>
    </row>
    <row r="986" spans="1:7">
      <c r="A986" s="3536">
        <v>985</v>
      </c>
      <c r="B986" s="3481" t="s">
        <v>4260</v>
      </c>
      <c r="C986" s="3481" t="s">
        <v>3338</v>
      </c>
      <c r="D986" s="3482">
        <v>28.48</v>
      </c>
      <c r="E986" s="3519">
        <f t="shared" si="15"/>
        <v>3000</v>
      </c>
      <c r="F986" s="3481">
        <v>85440</v>
      </c>
      <c r="G986" s="3482" t="s">
        <v>4259</v>
      </c>
    </row>
    <row r="987" spans="1:7">
      <c r="A987" s="3536">
        <v>986</v>
      </c>
      <c r="B987" s="3481" t="s">
        <v>8509</v>
      </c>
      <c r="C987" s="3481" t="s">
        <v>3395</v>
      </c>
      <c r="D987" s="3482">
        <v>83.44</v>
      </c>
      <c r="E987" s="3519">
        <f t="shared" si="15"/>
        <v>32817.59348034516</v>
      </c>
      <c r="F987" s="3481">
        <v>2738300</v>
      </c>
      <c r="G987" s="3482" t="s">
        <v>8506</v>
      </c>
    </row>
    <row r="988" spans="1:7">
      <c r="A988" s="3536">
        <v>987</v>
      </c>
      <c r="B988" s="3481" t="s">
        <v>8522</v>
      </c>
      <c r="C988" s="3481" t="s">
        <v>3395</v>
      </c>
      <c r="D988" s="3482">
        <v>83.44</v>
      </c>
      <c r="E988" s="3519">
        <f t="shared" si="15"/>
        <v>33483.928571428572</v>
      </c>
      <c r="F988" s="3481">
        <v>2793899</v>
      </c>
      <c r="G988" s="3482" t="s">
        <v>8521</v>
      </c>
    </row>
    <row r="989" spans="1:7">
      <c r="A989" s="3536">
        <v>988</v>
      </c>
      <c r="B989" s="3481" t="s">
        <v>8523</v>
      </c>
      <c r="C989" s="3481" t="s">
        <v>3395</v>
      </c>
      <c r="D989" s="3482">
        <v>83.44</v>
      </c>
      <c r="E989" s="3519">
        <f t="shared" si="15"/>
        <v>32864.621284755514</v>
      </c>
      <c r="F989" s="3481">
        <v>2742224</v>
      </c>
      <c r="G989" s="3482" t="s">
        <v>8521</v>
      </c>
    </row>
    <row r="990" spans="1:7">
      <c r="A990" s="3536">
        <v>989</v>
      </c>
      <c r="B990" s="3481" t="s">
        <v>8532</v>
      </c>
      <c r="C990" s="3481" t="s">
        <v>3395</v>
      </c>
      <c r="D990" s="3482">
        <v>83.44</v>
      </c>
      <c r="E990" s="3519">
        <f t="shared" si="15"/>
        <v>33542.377756471717</v>
      </c>
      <c r="F990" s="3481">
        <v>2798776</v>
      </c>
      <c r="G990" s="3482" t="s">
        <v>8529</v>
      </c>
    </row>
    <row r="991" spans="1:7">
      <c r="A991" s="3536">
        <v>990</v>
      </c>
      <c r="B991" s="3481" t="s">
        <v>7779</v>
      </c>
      <c r="C991" s="3481" t="s">
        <v>3395</v>
      </c>
      <c r="D991" s="3482">
        <v>83.44</v>
      </c>
      <c r="E991" s="3519">
        <f t="shared" si="15"/>
        <v>33484.096356663475</v>
      </c>
      <c r="F991" s="3481">
        <v>2793913</v>
      </c>
      <c r="G991" s="3482" t="s">
        <v>7780</v>
      </c>
    </row>
    <row r="992" spans="1:7">
      <c r="A992" s="3536">
        <v>991</v>
      </c>
      <c r="B992" s="3481" t="s">
        <v>8535</v>
      </c>
      <c r="C992" s="3481" t="s">
        <v>3395</v>
      </c>
      <c r="D992" s="3482">
        <v>83.44</v>
      </c>
      <c r="E992" s="3519">
        <f t="shared" si="15"/>
        <v>33244.067593480344</v>
      </c>
      <c r="F992" s="3481">
        <v>2773885</v>
      </c>
      <c r="G992" s="3482" t="s">
        <v>8534</v>
      </c>
    </row>
    <row r="993" spans="1:7">
      <c r="A993" s="3536">
        <v>992</v>
      </c>
      <c r="B993" s="3481" t="s">
        <v>8501</v>
      </c>
      <c r="C993" s="3481" t="s">
        <v>3395</v>
      </c>
      <c r="D993" s="3482">
        <v>73.67</v>
      </c>
      <c r="E993" s="3519">
        <f t="shared" si="15"/>
        <v>34867.856658069773</v>
      </c>
      <c r="F993" s="3481">
        <v>2568715</v>
      </c>
      <c r="G993" s="3482" t="s">
        <v>8502</v>
      </c>
    </row>
    <row r="994" spans="1:7">
      <c r="A994" s="3536">
        <v>993</v>
      </c>
      <c r="B994" s="3481" t="s">
        <v>8539</v>
      </c>
      <c r="C994" s="3481" t="s">
        <v>3395</v>
      </c>
      <c r="D994" s="3482">
        <v>73.67</v>
      </c>
      <c r="E994" s="3519">
        <f t="shared" si="15"/>
        <v>33483.466811456492</v>
      </c>
      <c r="F994" s="3481">
        <v>2466727</v>
      </c>
      <c r="G994" s="3482" t="s">
        <v>8540</v>
      </c>
    </row>
    <row r="995" spans="1:7">
      <c r="A995" s="3536">
        <v>994</v>
      </c>
      <c r="B995" s="3481" t="s">
        <v>8396</v>
      </c>
      <c r="C995" s="3481" t="s">
        <v>5318</v>
      </c>
      <c r="D995" s="3482">
        <v>192.4</v>
      </c>
      <c r="E995" s="3519">
        <f t="shared" si="15"/>
        <v>25246.361746361745</v>
      </c>
      <c r="F995" s="3481">
        <v>4857400</v>
      </c>
      <c r="G995" s="3482" t="s">
        <v>4288</v>
      </c>
    </row>
    <row r="996" spans="1:7">
      <c r="A996" s="3536">
        <v>995</v>
      </c>
      <c r="B996" s="3481" t="s">
        <v>4287</v>
      </c>
      <c r="C996" s="3481" t="s">
        <v>3338</v>
      </c>
      <c r="D996" s="3482">
        <v>48.04</v>
      </c>
      <c r="E996" s="3519">
        <f t="shared" si="15"/>
        <v>3000</v>
      </c>
      <c r="F996" s="3481">
        <v>144120</v>
      </c>
      <c r="G996" s="3482" t="s">
        <v>4288</v>
      </c>
    </row>
    <row r="997" spans="1:7">
      <c r="A997" s="3536">
        <v>996</v>
      </c>
      <c r="B997" s="3481" t="s">
        <v>7988</v>
      </c>
      <c r="C997" s="3481" t="s">
        <v>5305</v>
      </c>
      <c r="D997" s="3482">
        <v>72.97</v>
      </c>
      <c r="E997" s="3519">
        <f t="shared" si="15"/>
        <v>37223.585034945871</v>
      </c>
      <c r="F997" s="3481">
        <v>2716205</v>
      </c>
      <c r="G997" s="3482" t="s">
        <v>4043</v>
      </c>
    </row>
    <row r="998" spans="1:7">
      <c r="A998" s="3536">
        <v>997</v>
      </c>
      <c r="B998" s="3481" t="s">
        <v>4042</v>
      </c>
      <c r="C998" s="3481" t="s">
        <v>3338</v>
      </c>
      <c r="D998" s="3482">
        <v>97.62</v>
      </c>
      <c r="E998" s="3519">
        <f t="shared" si="15"/>
        <v>14114.136447449293</v>
      </c>
      <c r="F998" s="3481">
        <v>1377822</v>
      </c>
      <c r="G998" s="3482" t="s">
        <v>4043</v>
      </c>
    </row>
    <row r="999" spans="1:7">
      <c r="A999" s="3536">
        <v>998</v>
      </c>
      <c r="B999" s="3481" t="s">
        <v>8413</v>
      </c>
      <c r="C999" s="3481" t="s">
        <v>5318</v>
      </c>
      <c r="D999" s="3482">
        <v>179.3</v>
      </c>
      <c r="E999" s="3519">
        <f t="shared" si="15"/>
        <v>25754.935861684327</v>
      </c>
      <c r="F999" s="3481">
        <v>4617860</v>
      </c>
      <c r="G999" s="3482" t="s">
        <v>4300</v>
      </c>
    </row>
    <row r="1000" spans="1:7">
      <c r="A1000" s="3536">
        <v>999</v>
      </c>
      <c r="B1000" s="3481" t="s">
        <v>4299</v>
      </c>
      <c r="C1000" s="3481" t="s">
        <v>3338</v>
      </c>
      <c r="D1000" s="3482">
        <v>28.9</v>
      </c>
      <c r="E1000" s="3519">
        <f t="shared" si="15"/>
        <v>3000</v>
      </c>
      <c r="F1000" s="3481">
        <v>86700</v>
      </c>
      <c r="G1000" s="3482" t="s">
        <v>4300</v>
      </c>
    </row>
    <row r="1001" spans="1:7">
      <c r="A1001" s="3536">
        <v>1000</v>
      </c>
      <c r="B1001" s="3481" t="s">
        <v>4044</v>
      </c>
      <c r="C1001" s="3481" t="s">
        <v>3338</v>
      </c>
      <c r="D1001" s="3482">
        <v>187.95</v>
      </c>
      <c r="E1001" s="3519">
        <f t="shared" si="15"/>
        <v>13599.217877094972</v>
      </c>
      <c r="F1001" s="3481">
        <v>2555973</v>
      </c>
      <c r="G1001" s="3482" t="s">
        <v>4043</v>
      </c>
    </row>
    <row r="1002" spans="1:7">
      <c r="A1002" s="3536">
        <v>1001</v>
      </c>
      <c r="B1002" s="3481" t="s">
        <v>4301</v>
      </c>
      <c r="C1002" s="3481" t="s">
        <v>3338</v>
      </c>
      <c r="D1002" s="3482">
        <v>28.48</v>
      </c>
      <c r="E1002" s="3519">
        <f t="shared" si="15"/>
        <v>3000</v>
      </c>
      <c r="F1002" s="3481">
        <v>85440</v>
      </c>
      <c r="G1002" s="3482" t="s">
        <v>4300</v>
      </c>
    </row>
    <row r="1003" spans="1:7">
      <c r="A1003" s="3536">
        <v>1002</v>
      </c>
      <c r="B1003" s="3481" t="s">
        <v>8453</v>
      </c>
      <c r="C1003" s="3481" t="s">
        <v>3395</v>
      </c>
      <c r="D1003" s="3482">
        <v>83.44</v>
      </c>
      <c r="E1003" s="3519">
        <f t="shared" si="15"/>
        <v>32817.59348034516</v>
      </c>
      <c r="F1003" s="3481">
        <v>2738300</v>
      </c>
      <c r="G1003" s="3482" t="s">
        <v>8452</v>
      </c>
    </row>
    <row r="1004" spans="1:7">
      <c r="A1004" s="3536">
        <v>1003</v>
      </c>
      <c r="B1004" s="3481" t="s">
        <v>7687</v>
      </c>
      <c r="C1004" s="3481" t="s">
        <v>3395</v>
      </c>
      <c r="D1004" s="3482">
        <v>83.82</v>
      </c>
      <c r="E1004" s="3519">
        <f t="shared" si="15"/>
        <v>33475.208780720597</v>
      </c>
      <c r="F1004" s="3481">
        <v>2805892</v>
      </c>
      <c r="G1004" s="3482" t="s">
        <v>3802</v>
      </c>
    </row>
    <row r="1005" spans="1:7">
      <c r="A1005" s="3536">
        <v>1004</v>
      </c>
      <c r="B1005" s="3481" t="s">
        <v>8536</v>
      </c>
      <c r="C1005" s="3481" t="s">
        <v>3395</v>
      </c>
      <c r="D1005" s="3482">
        <v>83.44</v>
      </c>
      <c r="E1005" s="3519">
        <f t="shared" si="15"/>
        <v>33542.377756471717</v>
      </c>
      <c r="F1005" s="3481">
        <v>2798776</v>
      </c>
      <c r="G1005" s="3482" t="s">
        <v>8534</v>
      </c>
    </row>
    <row r="1006" spans="1:7">
      <c r="A1006" s="3536">
        <v>1005</v>
      </c>
      <c r="B1006" s="3481" t="s">
        <v>7812</v>
      </c>
      <c r="C1006" s="3481" t="s">
        <v>3395</v>
      </c>
      <c r="D1006" s="3482">
        <v>83.82</v>
      </c>
      <c r="E1006" s="3519">
        <f t="shared" si="15"/>
        <v>34189.167263183015</v>
      </c>
      <c r="F1006" s="3481">
        <v>2865736</v>
      </c>
      <c r="G1006" s="3482" t="s">
        <v>3930</v>
      </c>
    </row>
    <row r="1007" spans="1:7">
      <c r="A1007" s="3536">
        <v>1006</v>
      </c>
      <c r="B1007" s="3481" t="s">
        <v>8524</v>
      </c>
      <c r="C1007" s="3481" t="s">
        <v>3395</v>
      </c>
      <c r="D1007" s="3482">
        <v>83.44</v>
      </c>
      <c r="E1007" s="3519">
        <f t="shared" si="15"/>
        <v>33244.067593480344</v>
      </c>
      <c r="F1007" s="3481">
        <v>2773885</v>
      </c>
      <c r="G1007" s="3482" t="s">
        <v>8521</v>
      </c>
    </row>
    <row r="1008" spans="1:7">
      <c r="A1008" s="3536">
        <v>1007</v>
      </c>
      <c r="B1008" s="3481" t="s">
        <v>5805</v>
      </c>
      <c r="C1008" s="3481" t="s">
        <v>3395</v>
      </c>
      <c r="D1008" s="3482">
        <v>83.82</v>
      </c>
      <c r="E1008" s="3519">
        <f t="shared" si="15"/>
        <v>32927.702219040802</v>
      </c>
      <c r="F1008" s="3481">
        <v>2760000</v>
      </c>
      <c r="G1008" s="3482" t="s">
        <v>3937</v>
      </c>
    </row>
    <row r="1009" spans="1:7">
      <c r="A1009" s="3536">
        <v>1008</v>
      </c>
      <c r="B1009" s="3481" t="s">
        <v>8525</v>
      </c>
      <c r="C1009" s="3481" t="s">
        <v>3395</v>
      </c>
      <c r="D1009" s="3482">
        <v>73.67</v>
      </c>
      <c r="E1009" s="3519">
        <f t="shared" si="15"/>
        <v>34163.309352517987</v>
      </c>
      <c r="F1009" s="3481">
        <v>2516811</v>
      </c>
      <c r="G1009" s="3482" t="s">
        <v>8526</v>
      </c>
    </row>
    <row r="1010" spans="1:7">
      <c r="A1010" s="3536">
        <v>1009</v>
      </c>
      <c r="B1010" s="3481" t="s">
        <v>8498</v>
      </c>
      <c r="C1010" s="3481" t="s">
        <v>3395</v>
      </c>
      <c r="D1010" s="3482">
        <v>74.13</v>
      </c>
      <c r="E1010" s="3519">
        <f t="shared" si="15"/>
        <v>37574.922433562664</v>
      </c>
      <c r="F1010" s="3481">
        <v>2785429</v>
      </c>
      <c r="G1010" s="3482" t="s">
        <v>8499</v>
      </c>
    </row>
    <row r="1011" spans="1:7">
      <c r="A1011" s="3536">
        <v>1010</v>
      </c>
      <c r="B1011" s="3481" t="s">
        <v>7513</v>
      </c>
      <c r="C1011" s="3481" t="s">
        <v>5318</v>
      </c>
      <c r="D1011" s="3482">
        <v>169.07</v>
      </c>
      <c r="E1011" s="3519">
        <f t="shared" si="15"/>
        <v>28912.787602768087</v>
      </c>
      <c r="F1011" s="3481">
        <v>4888285</v>
      </c>
      <c r="G1011" s="3482" t="s">
        <v>3621</v>
      </c>
    </row>
    <row r="1012" spans="1:7">
      <c r="A1012" s="3536">
        <v>1011</v>
      </c>
      <c r="B1012" s="3481" t="s">
        <v>3620</v>
      </c>
      <c r="C1012" s="3481" t="s">
        <v>3338</v>
      </c>
      <c r="D1012" s="3482">
        <v>12.67</v>
      </c>
      <c r="E1012" s="3519">
        <f t="shared" si="15"/>
        <v>8174.8224151539071</v>
      </c>
      <c r="F1012" s="3481">
        <v>103575</v>
      </c>
      <c r="G1012" s="3482" t="s">
        <v>3621</v>
      </c>
    </row>
    <row r="1013" spans="1:7">
      <c r="A1013" s="3536">
        <v>1012</v>
      </c>
      <c r="B1013" s="3481" t="s">
        <v>7347</v>
      </c>
      <c r="C1013" s="3481" t="s">
        <v>5305</v>
      </c>
      <c r="D1013" s="3482">
        <v>73.42</v>
      </c>
      <c r="E1013" s="3519">
        <f t="shared" si="15"/>
        <v>36910.923454099699</v>
      </c>
      <c r="F1013" s="3481">
        <v>2710000</v>
      </c>
      <c r="G1013" s="3482" t="s">
        <v>3520</v>
      </c>
    </row>
    <row r="1014" spans="1:7">
      <c r="A1014" s="3536">
        <v>1013</v>
      </c>
      <c r="B1014" s="3481" t="s">
        <v>3519</v>
      </c>
      <c r="C1014" s="3481" t="s">
        <v>3338</v>
      </c>
      <c r="D1014" s="3482">
        <v>99.42</v>
      </c>
      <c r="E1014" s="3519">
        <f t="shared" si="15"/>
        <v>10863.005431502716</v>
      </c>
      <c r="F1014" s="3481">
        <v>1080000</v>
      </c>
      <c r="G1014" s="3482" t="s">
        <v>3520</v>
      </c>
    </row>
    <row r="1015" spans="1:7">
      <c r="A1015" s="3536">
        <v>1014</v>
      </c>
      <c r="B1015" s="3481" t="s">
        <v>7514</v>
      </c>
      <c r="C1015" s="3481" t="s">
        <v>5305</v>
      </c>
      <c r="D1015" s="3482">
        <v>73.040000000000006</v>
      </c>
      <c r="E1015" s="3519">
        <f t="shared" si="15"/>
        <v>32198.165388828038</v>
      </c>
      <c r="F1015" s="3481">
        <v>2351754</v>
      </c>
      <c r="G1015" s="3482" t="s">
        <v>3624</v>
      </c>
    </row>
    <row r="1016" spans="1:7">
      <c r="A1016" s="3536">
        <v>1015</v>
      </c>
      <c r="B1016" s="3481" t="s">
        <v>3623</v>
      </c>
      <c r="C1016" s="3481" t="s">
        <v>3338</v>
      </c>
      <c r="D1016" s="3482">
        <v>98.01</v>
      </c>
      <c r="E1016" s="3519">
        <f t="shared" si="15"/>
        <v>13408.366493214977</v>
      </c>
      <c r="F1016" s="3481">
        <v>1314154</v>
      </c>
      <c r="G1016" s="3482" t="s">
        <v>3624</v>
      </c>
    </row>
    <row r="1017" spans="1:7">
      <c r="A1017" s="3536">
        <v>1016</v>
      </c>
      <c r="B1017" s="3481" t="s">
        <v>8430</v>
      </c>
      <c r="C1017" s="3481" t="s">
        <v>5318</v>
      </c>
      <c r="D1017" s="3482">
        <v>192.79</v>
      </c>
      <c r="E1017" s="3519">
        <f t="shared" si="15"/>
        <v>25170.02956584885</v>
      </c>
      <c r="F1017" s="3481">
        <v>4852530</v>
      </c>
      <c r="G1017" s="3482" t="s">
        <v>4312</v>
      </c>
    </row>
    <row r="1018" spans="1:7">
      <c r="A1018" s="3536">
        <v>1017</v>
      </c>
      <c r="B1018" s="3481" t="s">
        <v>4314</v>
      </c>
      <c r="C1018" s="3481" t="s">
        <v>3338</v>
      </c>
      <c r="D1018" s="3482">
        <v>12.67</v>
      </c>
      <c r="E1018" s="3519">
        <f t="shared" si="15"/>
        <v>3000</v>
      </c>
      <c r="F1018" s="3481">
        <v>38010</v>
      </c>
      <c r="G1018" s="3482" t="s">
        <v>4312</v>
      </c>
    </row>
    <row r="1019" spans="1:7">
      <c r="A1019" s="3536">
        <v>1018</v>
      </c>
      <c r="B1019" s="3481" t="s">
        <v>3622</v>
      </c>
      <c r="C1019" s="3481" t="s">
        <v>3338</v>
      </c>
      <c r="D1019" s="3482">
        <v>45.5</v>
      </c>
      <c r="E1019" s="3519">
        <f t="shared" si="15"/>
        <v>2276.3736263736264</v>
      </c>
      <c r="F1019" s="3481">
        <v>103575</v>
      </c>
      <c r="G1019" s="3482" t="s">
        <v>3621</v>
      </c>
    </row>
    <row r="1020" spans="1:7">
      <c r="A1020" s="3536">
        <v>1019</v>
      </c>
      <c r="B1020" s="3481" t="s">
        <v>3521</v>
      </c>
      <c r="C1020" s="3481" t="s">
        <v>3338</v>
      </c>
      <c r="D1020" s="3482">
        <v>190.12</v>
      </c>
      <c r="E1020" s="3519">
        <f t="shared" si="15"/>
        <v>10519.671786240269</v>
      </c>
      <c r="F1020" s="3481">
        <v>2000000</v>
      </c>
      <c r="G1020" s="3482" t="s">
        <v>3520</v>
      </c>
    </row>
    <row r="1021" spans="1:7">
      <c r="A1021" s="3536">
        <v>1020</v>
      </c>
      <c r="B1021" s="3481" t="s">
        <v>3625</v>
      </c>
      <c r="C1021" s="3481" t="s">
        <v>3338</v>
      </c>
      <c r="D1021" s="3482">
        <v>188.31</v>
      </c>
      <c r="E1021" s="3519">
        <f t="shared" si="15"/>
        <v>13481.068450958526</v>
      </c>
      <c r="F1021" s="3481">
        <v>2538620</v>
      </c>
      <c r="G1021" s="3482" t="s">
        <v>3624</v>
      </c>
    </row>
    <row r="1022" spans="1:7">
      <c r="A1022" s="3536">
        <v>1021</v>
      </c>
      <c r="B1022" s="3481" t="s">
        <v>4315</v>
      </c>
      <c r="C1022" s="3481" t="s">
        <v>3338</v>
      </c>
      <c r="D1022" s="3482">
        <v>53.63</v>
      </c>
      <c r="E1022" s="3519">
        <f t="shared" si="15"/>
        <v>3001.6781652060413</v>
      </c>
      <c r="F1022" s="3481">
        <v>160980</v>
      </c>
      <c r="G1022" s="3482" t="s">
        <v>4312</v>
      </c>
    </row>
    <row r="1023" spans="1:7">
      <c r="A1023" s="3536">
        <v>1022</v>
      </c>
      <c r="B1023" s="3481" t="s">
        <v>8474</v>
      </c>
      <c r="C1023" s="3481" t="s">
        <v>3395</v>
      </c>
      <c r="D1023" s="3482">
        <v>83.91</v>
      </c>
      <c r="E1023" s="3519">
        <f t="shared" si="15"/>
        <v>33398.522226194735</v>
      </c>
      <c r="F1023" s="3481">
        <v>2802470</v>
      </c>
      <c r="G1023" s="3482" t="s">
        <v>8475</v>
      </c>
    </row>
    <row r="1024" spans="1:7">
      <c r="A1024" s="3536">
        <v>1023</v>
      </c>
      <c r="B1024" s="3481" t="s">
        <v>8454</v>
      </c>
      <c r="C1024" s="3481" t="s">
        <v>3395</v>
      </c>
      <c r="D1024" s="3482">
        <v>83.53</v>
      </c>
      <c r="E1024" s="3519">
        <f t="shared" si="15"/>
        <v>32911.648509517538</v>
      </c>
      <c r="F1024" s="3481">
        <v>2749110</v>
      </c>
      <c r="G1024" s="3482" t="s">
        <v>8455</v>
      </c>
    </row>
    <row r="1025" spans="1:7">
      <c r="A1025" s="3536">
        <v>1024</v>
      </c>
      <c r="B1025" s="3481" t="s">
        <v>8485</v>
      </c>
      <c r="C1025" s="3481" t="s">
        <v>3395</v>
      </c>
      <c r="D1025" s="3482">
        <v>83.91</v>
      </c>
      <c r="E1025" s="3519">
        <f t="shared" si="15"/>
        <v>33446.514122273868</v>
      </c>
      <c r="F1025" s="3481">
        <v>2806497</v>
      </c>
      <c r="G1025" s="3482" t="s">
        <v>8484</v>
      </c>
    </row>
    <row r="1026" spans="1:7">
      <c r="A1026" s="3536">
        <v>1025</v>
      </c>
      <c r="B1026" s="3481" t="s">
        <v>8472</v>
      </c>
      <c r="C1026" s="3481" t="s">
        <v>3395</v>
      </c>
      <c r="D1026" s="3482">
        <v>83.53</v>
      </c>
      <c r="E1026" s="3519">
        <f t="shared" si="15"/>
        <v>33111.959774931165</v>
      </c>
      <c r="F1026" s="3481">
        <v>2765842</v>
      </c>
      <c r="G1026" s="3482" t="s">
        <v>8473</v>
      </c>
    </row>
    <row r="1027" spans="1:7">
      <c r="A1027" s="3536">
        <v>1026</v>
      </c>
      <c r="B1027" s="3481" t="s">
        <v>8503</v>
      </c>
      <c r="C1027" s="3481" t="s">
        <v>3395</v>
      </c>
      <c r="D1027" s="3482">
        <v>83.91</v>
      </c>
      <c r="E1027" s="3519">
        <f t="shared" ref="E1027:E1090" si="16">F1027/D1027</f>
        <v>31748.504349898703</v>
      </c>
      <c r="F1027" s="3481">
        <v>2664017</v>
      </c>
      <c r="G1027" s="3482" t="s">
        <v>8502</v>
      </c>
    </row>
    <row r="1028" spans="1:7">
      <c r="A1028" s="3536">
        <v>1027</v>
      </c>
      <c r="B1028" s="3481" t="s">
        <v>8174</v>
      </c>
      <c r="C1028" s="3481" t="s">
        <v>3395</v>
      </c>
      <c r="D1028" s="3482">
        <v>83.53</v>
      </c>
      <c r="E1028" s="3519">
        <f t="shared" si="16"/>
        <v>33579.887465581225</v>
      </c>
      <c r="F1028" s="3481">
        <v>2804928</v>
      </c>
      <c r="G1028" s="3482" t="s">
        <v>8173</v>
      </c>
    </row>
    <row r="1029" spans="1:7">
      <c r="A1029" s="3536">
        <v>1028</v>
      </c>
      <c r="B1029" s="3481" t="s">
        <v>8476</v>
      </c>
      <c r="C1029" s="3481" t="s">
        <v>3395</v>
      </c>
      <c r="D1029" s="3482">
        <v>74.209999999999994</v>
      </c>
      <c r="E1029" s="3519">
        <f t="shared" si="16"/>
        <v>35358.644387548848</v>
      </c>
      <c r="F1029" s="3481">
        <v>2623965</v>
      </c>
      <c r="G1029" s="3482" t="s">
        <v>8477</v>
      </c>
    </row>
    <row r="1030" spans="1:7">
      <c r="A1030" s="3536">
        <v>1029</v>
      </c>
      <c r="B1030" s="3481" t="s">
        <v>8486</v>
      </c>
      <c r="C1030" s="3481" t="s">
        <v>3395</v>
      </c>
      <c r="D1030" s="3482">
        <v>73.75</v>
      </c>
      <c r="E1030" s="3519">
        <f t="shared" si="16"/>
        <v>35715.444067796612</v>
      </c>
      <c r="F1030" s="3481">
        <v>2634014</v>
      </c>
      <c r="G1030" s="3482" t="s">
        <v>8487</v>
      </c>
    </row>
    <row r="1031" spans="1:7">
      <c r="A1031" s="3536">
        <v>1030</v>
      </c>
      <c r="B1031" s="3481" t="s">
        <v>7505</v>
      </c>
      <c r="C1031" s="3481" t="s">
        <v>5318</v>
      </c>
      <c r="D1031" s="3482">
        <v>178.25</v>
      </c>
      <c r="E1031" s="3519">
        <f t="shared" si="16"/>
        <v>27423.758765778402</v>
      </c>
      <c r="F1031" s="3481">
        <v>4888285</v>
      </c>
      <c r="G1031" s="3482" t="s">
        <v>3612</v>
      </c>
    </row>
    <row r="1032" spans="1:7">
      <c r="A1032" s="3536">
        <v>1031</v>
      </c>
      <c r="B1032" s="3481" t="s">
        <v>3611</v>
      </c>
      <c r="C1032" s="3481" t="s">
        <v>3338</v>
      </c>
      <c r="D1032" s="3482">
        <v>25.99</v>
      </c>
      <c r="E1032" s="3519">
        <f t="shared" si="16"/>
        <v>3985.1866102347058</v>
      </c>
      <c r="F1032" s="3481">
        <v>103575</v>
      </c>
      <c r="G1032" s="3482" t="s">
        <v>3612</v>
      </c>
    </row>
    <row r="1033" spans="1:7">
      <c r="A1033" s="3536">
        <v>1032</v>
      </c>
      <c r="B1033" s="3481" t="s">
        <v>7507</v>
      </c>
      <c r="C1033" s="3481" t="s">
        <v>5305</v>
      </c>
      <c r="D1033" s="3482">
        <v>73.040000000000006</v>
      </c>
      <c r="E1033" s="3519">
        <f t="shared" si="16"/>
        <v>32198.165388828038</v>
      </c>
      <c r="F1033" s="3481">
        <v>2351754</v>
      </c>
      <c r="G1033" s="3482" t="s">
        <v>3615</v>
      </c>
    </row>
    <row r="1034" spans="1:7">
      <c r="A1034" s="3536">
        <v>1033</v>
      </c>
      <c r="B1034" s="3481" t="s">
        <v>3614</v>
      </c>
      <c r="C1034" s="3481" t="s">
        <v>3338</v>
      </c>
      <c r="D1034" s="3482">
        <v>98.11</v>
      </c>
      <c r="E1034" s="3519">
        <f t="shared" si="16"/>
        <v>13394.699826725104</v>
      </c>
      <c r="F1034" s="3481">
        <v>1314154</v>
      </c>
      <c r="G1034" s="3482" t="s">
        <v>3615</v>
      </c>
    </row>
    <row r="1035" spans="1:7">
      <c r="A1035" s="3536">
        <v>1034</v>
      </c>
      <c r="B1035" s="3481" t="s">
        <v>8442</v>
      </c>
      <c r="C1035" s="3481" t="s">
        <v>5318</v>
      </c>
      <c r="D1035" s="3482">
        <v>179.5</v>
      </c>
      <c r="E1035" s="3519">
        <f t="shared" si="16"/>
        <v>26043.565459610028</v>
      </c>
      <c r="F1035" s="3481">
        <v>4674820</v>
      </c>
      <c r="G1035" s="3482" t="s">
        <v>4320</v>
      </c>
    </row>
    <row r="1036" spans="1:7">
      <c r="A1036" s="3536">
        <v>1035</v>
      </c>
      <c r="B1036" s="3481" t="s">
        <v>4319</v>
      </c>
      <c r="C1036" s="3481" t="s">
        <v>3338</v>
      </c>
      <c r="D1036" s="3482">
        <v>26.47</v>
      </c>
      <c r="E1036" s="3519">
        <f t="shared" si="16"/>
        <v>3000</v>
      </c>
      <c r="F1036" s="3481">
        <v>79410</v>
      </c>
      <c r="G1036" s="3482" t="s">
        <v>4320</v>
      </c>
    </row>
    <row r="1037" spans="1:7">
      <c r="A1037" s="3536">
        <v>1036</v>
      </c>
      <c r="B1037" s="3481" t="s">
        <v>3613</v>
      </c>
      <c r="C1037" s="3481" t="s">
        <v>3338</v>
      </c>
      <c r="D1037" s="3482">
        <v>28.59</v>
      </c>
      <c r="E1037" s="3519">
        <f t="shared" si="16"/>
        <v>3622.770199370409</v>
      </c>
      <c r="F1037" s="3481">
        <v>103575</v>
      </c>
      <c r="G1037" s="3482" t="s">
        <v>3612</v>
      </c>
    </row>
    <row r="1038" spans="1:7">
      <c r="A1038" s="3536">
        <v>1037</v>
      </c>
      <c r="B1038" s="3481" t="s">
        <v>3616</v>
      </c>
      <c r="C1038" s="3481" t="s">
        <v>3338</v>
      </c>
      <c r="D1038" s="3482">
        <v>183.75</v>
      </c>
      <c r="E1038" s="3519">
        <f t="shared" si="16"/>
        <v>13815.619047619048</v>
      </c>
      <c r="F1038" s="3481">
        <v>2538620</v>
      </c>
      <c r="G1038" s="3482" t="s">
        <v>3615</v>
      </c>
    </row>
    <row r="1039" spans="1:7">
      <c r="A1039" s="3536">
        <v>1038</v>
      </c>
      <c r="B1039" s="3481" t="s">
        <v>4321</v>
      </c>
      <c r="C1039" s="3481" t="s">
        <v>3338</v>
      </c>
      <c r="D1039" s="3482">
        <v>28.59</v>
      </c>
      <c r="E1039" s="3519">
        <f t="shared" si="16"/>
        <v>3000</v>
      </c>
      <c r="F1039" s="3481">
        <v>85770</v>
      </c>
      <c r="G1039" s="3482" t="s">
        <v>4320</v>
      </c>
    </row>
    <row r="1040" spans="1:7">
      <c r="A1040" s="3536">
        <v>1039</v>
      </c>
      <c r="B1040" s="3481" t="s">
        <v>8460</v>
      </c>
      <c r="C1040" s="3481" t="s">
        <v>3395</v>
      </c>
      <c r="D1040" s="3482">
        <v>83.53</v>
      </c>
      <c r="E1040" s="3519">
        <f t="shared" si="16"/>
        <v>33446.426433616667</v>
      </c>
      <c r="F1040" s="3481">
        <v>2793780</v>
      </c>
      <c r="G1040" s="3482" t="s">
        <v>8461</v>
      </c>
    </row>
    <row r="1041" spans="1:7">
      <c r="A1041" s="3536">
        <v>1040</v>
      </c>
      <c r="B1041" s="3481" t="s">
        <v>8504</v>
      </c>
      <c r="C1041" s="3481" t="s">
        <v>3395</v>
      </c>
      <c r="D1041" s="3482">
        <v>83.53</v>
      </c>
      <c r="E1041" s="3519">
        <f t="shared" si="16"/>
        <v>33101.616185801511</v>
      </c>
      <c r="F1041" s="3481">
        <v>2764978</v>
      </c>
      <c r="G1041" s="3482" t="s">
        <v>8502</v>
      </c>
    </row>
    <row r="1042" spans="1:7">
      <c r="A1042" s="3536">
        <v>1041</v>
      </c>
      <c r="B1042" s="3481" t="s">
        <v>8470</v>
      </c>
      <c r="C1042" s="3481" t="s">
        <v>3395</v>
      </c>
      <c r="D1042" s="3482">
        <v>83.53</v>
      </c>
      <c r="E1042" s="3519">
        <f t="shared" si="16"/>
        <v>32817.610439363103</v>
      </c>
      <c r="F1042" s="3481">
        <v>2741255</v>
      </c>
      <c r="G1042" s="3482" t="s">
        <v>8471</v>
      </c>
    </row>
    <row r="1043" spans="1:7">
      <c r="A1043" s="3536">
        <v>1042</v>
      </c>
      <c r="B1043" s="3481" t="s">
        <v>8441</v>
      </c>
      <c r="C1043" s="3481" t="s">
        <v>3395</v>
      </c>
      <c r="D1043" s="3482">
        <v>83.53</v>
      </c>
      <c r="E1043" s="3519">
        <f t="shared" si="16"/>
        <v>33149.108104872503</v>
      </c>
      <c r="F1043" s="3481">
        <v>2768945</v>
      </c>
      <c r="G1043" s="3482" t="s">
        <v>4320</v>
      </c>
    </row>
    <row r="1044" spans="1:7">
      <c r="A1044" s="3536">
        <v>1043</v>
      </c>
      <c r="B1044" s="3481" t="s">
        <v>8458</v>
      </c>
      <c r="C1044" s="3481" t="s">
        <v>3395</v>
      </c>
      <c r="D1044" s="3482">
        <v>83.53</v>
      </c>
      <c r="E1044" s="3519">
        <f t="shared" si="16"/>
        <v>33254.471447384174</v>
      </c>
      <c r="F1044" s="3481">
        <v>2777746</v>
      </c>
      <c r="G1044" s="3482" t="s">
        <v>8459</v>
      </c>
    </row>
    <row r="1045" spans="1:7">
      <c r="A1045" s="3536">
        <v>1044</v>
      </c>
      <c r="B1045" s="3481" t="s">
        <v>8519</v>
      </c>
      <c r="C1045" s="3481" t="s">
        <v>3395</v>
      </c>
      <c r="D1045" s="3482">
        <v>83.53</v>
      </c>
      <c r="E1045" s="3519">
        <f t="shared" si="16"/>
        <v>33929.677960014364</v>
      </c>
      <c r="F1045" s="3481">
        <v>2834146</v>
      </c>
      <c r="G1045" s="3482" t="s">
        <v>8517</v>
      </c>
    </row>
    <row r="1046" spans="1:7">
      <c r="A1046" s="3536">
        <v>1045</v>
      </c>
      <c r="B1046" s="3481" t="s">
        <v>8490</v>
      </c>
      <c r="C1046" s="3481" t="s">
        <v>3395</v>
      </c>
      <c r="D1046" s="3482">
        <v>73.75</v>
      </c>
      <c r="E1046" s="3519">
        <f t="shared" si="16"/>
        <v>34993.911864406778</v>
      </c>
      <c r="F1046" s="3481">
        <v>2580801</v>
      </c>
      <c r="G1046" s="3482" t="s">
        <v>8491</v>
      </c>
    </row>
    <row r="1047" spans="1:7">
      <c r="A1047" s="3536">
        <v>1046</v>
      </c>
      <c r="B1047" s="3481" t="s">
        <v>8510</v>
      </c>
      <c r="C1047" s="3481" t="s">
        <v>3395</v>
      </c>
      <c r="D1047" s="3482">
        <v>73.75</v>
      </c>
      <c r="E1047" s="3519">
        <f t="shared" si="16"/>
        <v>34993.911864406778</v>
      </c>
      <c r="F1047" s="3481">
        <v>2580801</v>
      </c>
      <c r="G1047" s="3482" t="s">
        <v>8506</v>
      </c>
    </row>
    <row r="1048" spans="1:7">
      <c r="A1048" s="3536">
        <v>1047</v>
      </c>
      <c r="B1048" s="3481" t="s">
        <v>7936</v>
      </c>
      <c r="C1048" s="3481" t="s">
        <v>5318</v>
      </c>
      <c r="D1048" s="3482">
        <v>193.26</v>
      </c>
      <c r="E1048" s="3519">
        <f t="shared" si="16"/>
        <v>25609.179343889064</v>
      </c>
      <c r="F1048" s="3481">
        <v>4949230</v>
      </c>
      <c r="G1048" s="3482" t="s">
        <v>4011</v>
      </c>
    </row>
    <row r="1049" spans="1:7">
      <c r="A1049" s="3536">
        <v>1048</v>
      </c>
      <c r="B1049" s="3481" t="s">
        <v>4010</v>
      </c>
      <c r="C1049" s="3481" t="s">
        <v>3338</v>
      </c>
      <c r="D1049" s="3482">
        <v>12.67</v>
      </c>
      <c r="E1049" s="3519">
        <f t="shared" si="16"/>
        <v>3000</v>
      </c>
      <c r="F1049" s="3481">
        <v>38010</v>
      </c>
      <c r="G1049" s="3482" t="s">
        <v>4011</v>
      </c>
    </row>
    <row r="1050" spans="1:7">
      <c r="A1050" s="3536">
        <v>1049</v>
      </c>
      <c r="B1050" s="3481" t="s">
        <v>7461</v>
      </c>
      <c r="C1050" s="3481" t="s">
        <v>5305</v>
      </c>
      <c r="D1050" s="3482">
        <v>73.040000000000006</v>
      </c>
      <c r="E1050" s="3519">
        <f t="shared" si="16"/>
        <v>34250.164293537782</v>
      </c>
      <c r="F1050" s="3481">
        <v>2501632</v>
      </c>
      <c r="G1050" s="3482" t="s">
        <v>3579</v>
      </c>
    </row>
    <row r="1051" spans="1:7">
      <c r="A1051" s="3536">
        <v>1050</v>
      </c>
      <c r="B1051" s="3481" t="s">
        <v>3578</v>
      </c>
      <c r="C1051" s="3481" t="s">
        <v>3338</v>
      </c>
      <c r="D1051" s="3482">
        <v>100.07</v>
      </c>
      <c r="E1051" s="3519">
        <f t="shared" si="16"/>
        <v>13538.503047866494</v>
      </c>
      <c r="F1051" s="3481">
        <v>1354798</v>
      </c>
      <c r="G1051" s="3482" t="s">
        <v>3579</v>
      </c>
    </row>
    <row r="1052" spans="1:7">
      <c r="A1052" s="3536">
        <v>1051</v>
      </c>
      <c r="B1052" s="3481" t="s">
        <v>7454</v>
      </c>
      <c r="C1052" s="3481" t="s">
        <v>5305</v>
      </c>
      <c r="D1052" s="3482">
        <v>73.040000000000006</v>
      </c>
      <c r="E1052" s="3519">
        <f t="shared" si="16"/>
        <v>31845.523001095287</v>
      </c>
      <c r="F1052" s="3481">
        <v>2325997</v>
      </c>
      <c r="G1052" s="3482" t="s">
        <v>3573</v>
      </c>
    </row>
    <row r="1053" spans="1:7">
      <c r="A1053" s="3536">
        <v>1052</v>
      </c>
      <c r="B1053" s="3481" t="s">
        <v>3572</v>
      </c>
      <c r="C1053" s="3481" t="s">
        <v>3338</v>
      </c>
      <c r="D1053" s="3482">
        <v>98.01</v>
      </c>
      <c r="E1053" s="3519">
        <f t="shared" si="16"/>
        <v>13373.614937251301</v>
      </c>
      <c r="F1053" s="3481">
        <v>1310748</v>
      </c>
      <c r="G1053" s="3482" t="s">
        <v>3573</v>
      </c>
    </row>
    <row r="1054" spans="1:7">
      <c r="A1054" s="3536">
        <v>1053</v>
      </c>
      <c r="B1054" s="3481" t="s">
        <v>8401</v>
      </c>
      <c r="C1054" s="3481" t="s">
        <v>5318</v>
      </c>
      <c r="D1054" s="3482">
        <v>192.79</v>
      </c>
      <c r="E1054" s="3519">
        <f t="shared" si="16"/>
        <v>25429.379117174129</v>
      </c>
      <c r="F1054" s="3481">
        <v>4902530</v>
      </c>
      <c r="G1054" s="3482" t="s">
        <v>4290</v>
      </c>
    </row>
    <row r="1055" spans="1:7">
      <c r="A1055" s="3536">
        <v>1054</v>
      </c>
      <c r="B1055" s="3481" t="s">
        <v>4292</v>
      </c>
      <c r="C1055" s="3481" t="s">
        <v>3338</v>
      </c>
      <c r="D1055" s="3482">
        <v>12.67</v>
      </c>
      <c r="E1055" s="3519">
        <f t="shared" si="16"/>
        <v>3000</v>
      </c>
      <c r="F1055" s="3481">
        <v>38010</v>
      </c>
      <c r="G1055" s="3482" t="s">
        <v>4290</v>
      </c>
    </row>
    <row r="1056" spans="1:7">
      <c r="A1056" s="3536">
        <v>1055</v>
      </c>
      <c r="B1056" s="3481" t="s">
        <v>4012</v>
      </c>
      <c r="C1056" s="3481" t="s">
        <v>3338</v>
      </c>
      <c r="D1056" s="3482">
        <v>55.29</v>
      </c>
      <c r="E1056" s="3519">
        <f t="shared" si="16"/>
        <v>2971.2425393380358</v>
      </c>
      <c r="F1056" s="3481">
        <v>164280</v>
      </c>
      <c r="G1056" s="3482" t="s">
        <v>4011</v>
      </c>
    </row>
    <row r="1057" spans="1:7">
      <c r="A1057" s="3536">
        <v>1056</v>
      </c>
      <c r="B1057" s="3481" t="s">
        <v>3580</v>
      </c>
      <c r="C1057" s="3481" t="s">
        <v>3338</v>
      </c>
      <c r="D1057" s="3482">
        <v>192.62</v>
      </c>
      <c r="E1057" s="3519">
        <f t="shared" si="16"/>
        <v>13724.27577613955</v>
      </c>
      <c r="F1057" s="3481">
        <v>2643570</v>
      </c>
      <c r="G1057" s="3482" t="s">
        <v>3579</v>
      </c>
    </row>
    <row r="1058" spans="1:7">
      <c r="A1058" s="3536">
        <v>1057</v>
      </c>
      <c r="B1058" s="3481" t="s">
        <v>3574</v>
      </c>
      <c r="C1058" s="3481" t="s">
        <v>3338</v>
      </c>
      <c r="D1058" s="3482">
        <v>188.71</v>
      </c>
      <c r="E1058" s="3519">
        <f t="shared" si="16"/>
        <v>13577.627046791373</v>
      </c>
      <c r="F1058" s="3481">
        <v>2562234</v>
      </c>
      <c r="G1058" s="3482" t="s">
        <v>3573</v>
      </c>
    </row>
    <row r="1059" spans="1:7">
      <c r="A1059" s="3536">
        <v>1058</v>
      </c>
      <c r="B1059" s="3481" t="s">
        <v>4293</v>
      </c>
      <c r="C1059" s="3481" t="s">
        <v>3338</v>
      </c>
      <c r="D1059" s="3482">
        <v>53.63</v>
      </c>
      <c r="E1059" s="3519">
        <f t="shared" si="16"/>
        <v>3001.6781652060413</v>
      </c>
      <c r="F1059" s="3481">
        <v>160980</v>
      </c>
      <c r="G1059" s="3482" t="s">
        <v>4290</v>
      </c>
    </row>
    <row r="1060" spans="1:7">
      <c r="A1060" s="3536">
        <v>1059</v>
      </c>
      <c r="B1060" s="3481" t="s">
        <v>8467</v>
      </c>
      <c r="C1060" s="3481" t="s">
        <v>3395</v>
      </c>
      <c r="D1060" s="3482">
        <v>83.53</v>
      </c>
      <c r="E1060" s="3519">
        <f t="shared" si="16"/>
        <v>33446.426433616667</v>
      </c>
      <c r="F1060" s="3481">
        <v>2793780</v>
      </c>
      <c r="G1060" s="3482" t="s">
        <v>8468</v>
      </c>
    </row>
    <row r="1061" spans="1:7">
      <c r="A1061" s="3536">
        <v>1060</v>
      </c>
      <c r="B1061" s="3481" t="s">
        <v>8478</v>
      </c>
      <c r="C1061" s="3481" t="s">
        <v>3395</v>
      </c>
      <c r="D1061" s="3482">
        <v>83.53</v>
      </c>
      <c r="E1061" s="3519">
        <f t="shared" si="16"/>
        <v>33435.97509876691</v>
      </c>
      <c r="F1061" s="3481">
        <v>2792907</v>
      </c>
      <c r="G1061" s="3482" t="s">
        <v>8477</v>
      </c>
    </row>
    <row r="1062" spans="1:7">
      <c r="A1062" s="3536">
        <v>1061</v>
      </c>
      <c r="B1062" s="3481" t="s">
        <v>8469</v>
      </c>
      <c r="C1062" s="3481" t="s">
        <v>3395</v>
      </c>
      <c r="D1062" s="3482">
        <v>83.53</v>
      </c>
      <c r="E1062" s="3519">
        <f t="shared" si="16"/>
        <v>33159.46366574883</v>
      </c>
      <c r="F1062" s="3481">
        <v>2769810</v>
      </c>
      <c r="G1062" s="3482" t="s">
        <v>8468</v>
      </c>
    </row>
    <row r="1063" spans="1:7">
      <c r="A1063" s="3536">
        <v>1062</v>
      </c>
      <c r="B1063" s="3481" t="s">
        <v>7765</v>
      </c>
      <c r="C1063" s="3481" t="s">
        <v>3395</v>
      </c>
      <c r="D1063" s="3482">
        <v>83.53</v>
      </c>
      <c r="E1063" s="3519">
        <f t="shared" si="16"/>
        <v>33495.762001676041</v>
      </c>
      <c r="F1063" s="3481">
        <v>2797901</v>
      </c>
      <c r="G1063" s="3482" t="s">
        <v>7766</v>
      </c>
    </row>
    <row r="1064" spans="1:7">
      <c r="A1064" s="3536">
        <v>1063</v>
      </c>
      <c r="B1064" s="3481" t="s">
        <v>8496</v>
      </c>
      <c r="C1064" s="3481" t="s">
        <v>3395</v>
      </c>
      <c r="D1064" s="3482">
        <v>83.53</v>
      </c>
      <c r="E1064" s="3519">
        <f t="shared" si="16"/>
        <v>33244.091943014486</v>
      </c>
      <c r="F1064" s="3481">
        <v>2776879</v>
      </c>
      <c r="G1064" s="3482" t="s">
        <v>8497</v>
      </c>
    </row>
    <row r="1065" spans="1:7">
      <c r="A1065" s="3536">
        <v>1064</v>
      </c>
      <c r="B1065" s="3481" t="s">
        <v>8492</v>
      </c>
      <c r="C1065" s="3481" t="s">
        <v>3395</v>
      </c>
      <c r="D1065" s="3482">
        <v>83.53</v>
      </c>
      <c r="E1065" s="3519">
        <f t="shared" si="16"/>
        <v>33244.091943014486</v>
      </c>
      <c r="F1065" s="3481">
        <v>2776879</v>
      </c>
      <c r="G1065" s="3482" t="s">
        <v>8493</v>
      </c>
    </row>
    <row r="1066" spans="1:7">
      <c r="A1066" s="3536">
        <v>1065</v>
      </c>
      <c r="B1066" s="3481" t="s">
        <v>8537</v>
      </c>
      <c r="C1066" s="3481" t="s">
        <v>3395</v>
      </c>
      <c r="D1066" s="3482">
        <v>73.75</v>
      </c>
      <c r="E1066" s="3519">
        <f t="shared" si="16"/>
        <v>34633.152542372882</v>
      </c>
      <c r="F1066" s="3481">
        <v>2554195</v>
      </c>
      <c r="G1066" s="3482" t="s">
        <v>8534</v>
      </c>
    </row>
    <row r="1067" spans="1:7">
      <c r="A1067" s="3536">
        <v>1066</v>
      </c>
      <c r="B1067" s="3481" t="s">
        <v>8513</v>
      </c>
      <c r="C1067" s="3481" t="s">
        <v>3395</v>
      </c>
      <c r="D1067" s="3482">
        <v>73.75</v>
      </c>
      <c r="E1067" s="3519">
        <f t="shared" si="16"/>
        <v>34633.152542372882</v>
      </c>
      <c r="F1067" s="3481">
        <v>2554195</v>
      </c>
      <c r="G1067" s="3482" t="s">
        <v>8514</v>
      </c>
    </row>
    <row r="1068" spans="1:7">
      <c r="A1068" s="3536">
        <v>1067</v>
      </c>
      <c r="B1068" s="3481" t="s">
        <v>8450</v>
      </c>
      <c r="C1068" s="3481" t="s">
        <v>5318</v>
      </c>
      <c r="D1068" s="3482">
        <v>178.25</v>
      </c>
      <c r="E1068" s="3519">
        <f t="shared" si="16"/>
        <v>26795.287517531557</v>
      </c>
      <c r="F1068" s="3481">
        <v>4776260</v>
      </c>
      <c r="G1068" s="3482" t="s">
        <v>4334</v>
      </c>
    </row>
    <row r="1069" spans="1:7">
      <c r="A1069" s="3536">
        <v>1068</v>
      </c>
      <c r="B1069" s="3481" t="s">
        <v>4333</v>
      </c>
      <c r="C1069" s="3481" t="s">
        <v>3338</v>
      </c>
      <c r="D1069" s="3482">
        <v>25.99</v>
      </c>
      <c r="E1069" s="3519">
        <f t="shared" si="16"/>
        <v>3000</v>
      </c>
      <c r="F1069" s="3481">
        <v>77970</v>
      </c>
      <c r="G1069" s="3482" t="s">
        <v>4334</v>
      </c>
    </row>
    <row r="1070" spans="1:7">
      <c r="A1070" s="3536">
        <v>1069</v>
      </c>
      <c r="B1070" s="3481" t="s">
        <v>6924</v>
      </c>
      <c r="C1070" s="3481" t="s">
        <v>5305</v>
      </c>
      <c r="D1070" s="3482">
        <v>73.040000000000006</v>
      </c>
      <c r="E1070" s="3519">
        <f t="shared" si="16"/>
        <v>31852.587623220152</v>
      </c>
      <c r="F1070" s="3481">
        <v>2326513</v>
      </c>
      <c r="G1070" s="3482" t="s">
        <v>3446</v>
      </c>
    </row>
    <row r="1071" spans="1:7">
      <c r="A1071" s="3536">
        <v>1070</v>
      </c>
      <c r="B1071" s="3481" t="s">
        <v>3445</v>
      </c>
      <c r="C1071" s="3481" t="s">
        <v>3338</v>
      </c>
      <c r="D1071" s="3482">
        <v>98.11</v>
      </c>
      <c r="E1071" s="3519">
        <f t="shared" si="16"/>
        <v>13229.314035266538</v>
      </c>
      <c r="F1071" s="3481">
        <v>1297928</v>
      </c>
      <c r="G1071" s="3482" t="s">
        <v>3446</v>
      </c>
    </row>
    <row r="1072" spans="1:7">
      <c r="A1072" s="3536">
        <v>1071</v>
      </c>
      <c r="B1072" s="3481" t="s">
        <v>7411</v>
      </c>
      <c r="C1072" s="3481" t="s">
        <v>5305</v>
      </c>
      <c r="D1072" s="3482">
        <v>73.040000000000006</v>
      </c>
      <c r="E1072" s="3519">
        <f t="shared" si="16"/>
        <v>32167.19605695509</v>
      </c>
      <c r="F1072" s="3481">
        <v>2349492</v>
      </c>
      <c r="G1072" s="3482" t="s">
        <v>3537</v>
      </c>
    </row>
    <row r="1073" spans="1:7">
      <c r="A1073" s="3536">
        <v>1072</v>
      </c>
      <c r="B1073" s="3481" t="s">
        <v>3536</v>
      </c>
      <c r="C1073" s="3481" t="s">
        <v>3338</v>
      </c>
      <c r="D1073" s="3482">
        <v>98.01</v>
      </c>
      <c r="E1073" s="3519">
        <f t="shared" si="16"/>
        <v>13373.614937251301</v>
      </c>
      <c r="F1073" s="3481">
        <v>1310748</v>
      </c>
      <c r="G1073" s="3482" t="s">
        <v>3537</v>
      </c>
    </row>
    <row r="1074" spans="1:7">
      <c r="A1074" s="3536">
        <v>1073</v>
      </c>
      <c r="B1074" s="3481" t="s">
        <v>8402</v>
      </c>
      <c r="C1074" s="3481" t="s">
        <v>5318</v>
      </c>
      <c r="D1074" s="3482">
        <v>178.25</v>
      </c>
      <c r="E1074" s="3519">
        <f t="shared" si="16"/>
        <v>26514.782608695652</v>
      </c>
      <c r="F1074" s="3481">
        <v>4726260</v>
      </c>
      <c r="G1074" s="3482" t="s">
        <v>4290</v>
      </c>
    </row>
    <row r="1075" spans="1:7">
      <c r="A1075" s="3536">
        <v>1074</v>
      </c>
      <c r="B1075" s="3481" t="s">
        <v>4294</v>
      </c>
      <c r="C1075" s="3481" t="s">
        <v>3338</v>
      </c>
      <c r="D1075" s="3482">
        <v>25.99</v>
      </c>
      <c r="E1075" s="3519">
        <f t="shared" si="16"/>
        <v>3000</v>
      </c>
      <c r="F1075" s="3481">
        <v>77970</v>
      </c>
      <c r="G1075" s="3482" t="s">
        <v>4290</v>
      </c>
    </row>
    <row r="1076" spans="1:7">
      <c r="A1076" s="3536">
        <v>1075</v>
      </c>
      <c r="B1076" s="3481" t="s">
        <v>4335</v>
      </c>
      <c r="C1076" s="3481" t="s">
        <v>3338</v>
      </c>
      <c r="D1076" s="3482">
        <v>28.59</v>
      </c>
      <c r="E1076" s="3519">
        <f t="shared" si="16"/>
        <v>3000</v>
      </c>
      <c r="F1076" s="3481">
        <v>85770</v>
      </c>
      <c r="G1076" s="3482" t="s">
        <v>4334</v>
      </c>
    </row>
    <row r="1077" spans="1:7">
      <c r="A1077" s="3536">
        <v>1076</v>
      </c>
      <c r="B1077" s="3481" t="s">
        <v>3447</v>
      </c>
      <c r="C1077" s="3481" t="s">
        <v>3338</v>
      </c>
      <c r="D1077" s="3482">
        <v>183.75</v>
      </c>
      <c r="E1077" s="3519">
        <f t="shared" si="16"/>
        <v>13807.749659863946</v>
      </c>
      <c r="F1077" s="3481">
        <v>2537174</v>
      </c>
      <c r="G1077" s="3482" t="s">
        <v>3446</v>
      </c>
    </row>
    <row r="1078" spans="1:7">
      <c r="A1078" s="3536">
        <v>1077</v>
      </c>
      <c r="B1078" s="3481" t="s">
        <v>3538</v>
      </c>
      <c r="C1078" s="3481" t="s">
        <v>3338</v>
      </c>
      <c r="D1078" s="3482">
        <v>188.71</v>
      </c>
      <c r="E1078" s="3519">
        <f t="shared" si="16"/>
        <v>13441.85257802978</v>
      </c>
      <c r="F1078" s="3481">
        <v>2536612</v>
      </c>
      <c r="G1078" s="3482" t="s">
        <v>3537</v>
      </c>
    </row>
    <row r="1079" spans="1:7">
      <c r="A1079" s="3536">
        <v>1078</v>
      </c>
      <c r="B1079" s="3481" t="s">
        <v>4295</v>
      </c>
      <c r="C1079" s="3481" t="s">
        <v>3338</v>
      </c>
      <c r="D1079" s="3482">
        <v>28.59</v>
      </c>
      <c r="E1079" s="3519">
        <f t="shared" si="16"/>
        <v>3000</v>
      </c>
      <c r="F1079" s="3481">
        <v>85770</v>
      </c>
      <c r="G1079" s="3482" t="s">
        <v>4290</v>
      </c>
    </row>
    <row r="1080" spans="1:7">
      <c r="A1080" s="3536">
        <v>1079</v>
      </c>
      <c r="B1080" s="3481" t="s">
        <v>8436</v>
      </c>
      <c r="C1080" s="3481" t="s">
        <v>3395</v>
      </c>
      <c r="D1080" s="3482">
        <v>83.53</v>
      </c>
      <c r="E1080" s="3519">
        <f t="shared" si="16"/>
        <v>32780.833233568774</v>
      </c>
      <c r="F1080" s="3481">
        <v>2738183</v>
      </c>
      <c r="G1080" s="3482" t="s">
        <v>8437</v>
      </c>
    </row>
    <row r="1081" spans="1:7">
      <c r="A1081" s="3536">
        <v>1080</v>
      </c>
      <c r="B1081" s="3481" t="s">
        <v>8444</v>
      </c>
      <c r="C1081" s="3481" t="s">
        <v>3395</v>
      </c>
      <c r="D1081" s="3482">
        <v>83.53</v>
      </c>
      <c r="E1081" s="3519">
        <f t="shared" si="16"/>
        <v>32862.444630671613</v>
      </c>
      <c r="F1081" s="3481">
        <v>2745000</v>
      </c>
      <c r="G1081" s="3482" t="s">
        <v>4326</v>
      </c>
    </row>
    <row r="1082" spans="1:7">
      <c r="A1082" s="3536">
        <v>1081</v>
      </c>
      <c r="B1082" s="3481" t="s">
        <v>8466</v>
      </c>
      <c r="C1082" s="3481" t="s">
        <v>3395</v>
      </c>
      <c r="D1082" s="3482">
        <v>83.53</v>
      </c>
      <c r="E1082" s="3519">
        <f t="shared" si="16"/>
        <v>32827.870226266015</v>
      </c>
      <c r="F1082" s="3481">
        <v>2742112</v>
      </c>
      <c r="G1082" s="3482" t="s">
        <v>8465</v>
      </c>
    </row>
    <row r="1083" spans="1:7">
      <c r="A1083" s="3536">
        <v>1082</v>
      </c>
      <c r="B1083" s="3481" t="s">
        <v>7735</v>
      </c>
      <c r="C1083" s="3481" t="s">
        <v>3395</v>
      </c>
      <c r="D1083" s="3482">
        <v>83.53</v>
      </c>
      <c r="E1083" s="3519">
        <f t="shared" si="16"/>
        <v>33494.301448581347</v>
      </c>
      <c r="F1083" s="3481">
        <v>2797779</v>
      </c>
      <c r="G1083" s="3482" t="s">
        <v>3853</v>
      </c>
    </row>
    <row r="1084" spans="1:7">
      <c r="A1084" s="3536">
        <v>1083</v>
      </c>
      <c r="B1084" s="3481" t="s">
        <v>8494</v>
      </c>
      <c r="C1084" s="3481" t="s">
        <v>3395</v>
      </c>
      <c r="D1084" s="3482">
        <v>83.53</v>
      </c>
      <c r="E1084" s="3519">
        <f t="shared" si="16"/>
        <v>33244.091943014486</v>
      </c>
      <c r="F1084" s="3481">
        <v>2776879</v>
      </c>
      <c r="G1084" s="3482" t="s">
        <v>8493</v>
      </c>
    </row>
    <row r="1085" spans="1:7">
      <c r="A1085" s="3536">
        <v>1084</v>
      </c>
      <c r="B1085" s="3481" t="s">
        <v>8495</v>
      </c>
      <c r="C1085" s="3481" t="s">
        <v>3395</v>
      </c>
      <c r="D1085" s="3482">
        <v>83.53</v>
      </c>
      <c r="E1085" s="3519">
        <f t="shared" si="16"/>
        <v>32911.648509517538</v>
      </c>
      <c r="F1085" s="3481">
        <v>2749110</v>
      </c>
      <c r="G1085" s="3482" t="s">
        <v>8493</v>
      </c>
    </row>
    <row r="1086" spans="1:7">
      <c r="A1086" s="3536">
        <v>1085</v>
      </c>
      <c r="B1086" s="3481" t="s">
        <v>8538</v>
      </c>
      <c r="C1086" s="3481" t="s">
        <v>3395</v>
      </c>
      <c r="D1086" s="3482">
        <v>73.75</v>
      </c>
      <c r="E1086" s="3519">
        <f t="shared" si="16"/>
        <v>34633.152542372882</v>
      </c>
      <c r="F1086" s="3481">
        <v>2554195</v>
      </c>
      <c r="G1086" s="3482" t="s">
        <v>8534</v>
      </c>
    </row>
    <row r="1087" spans="1:7">
      <c r="A1087" s="3536">
        <v>1086</v>
      </c>
      <c r="B1087" s="3481" t="s">
        <v>8515</v>
      </c>
      <c r="C1087" s="3481" t="s">
        <v>3395</v>
      </c>
      <c r="D1087" s="3482">
        <v>73.75</v>
      </c>
      <c r="E1087" s="3519">
        <f t="shared" si="16"/>
        <v>34286.820338983052</v>
      </c>
      <c r="F1087" s="3481">
        <v>2528653</v>
      </c>
      <c r="G1087" s="3482" t="s">
        <v>8514</v>
      </c>
    </row>
    <row r="1088" spans="1:7">
      <c r="A1088" s="3536">
        <v>1087</v>
      </c>
      <c r="B1088" s="3481" t="s">
        <v>8414</v>
      </c>
      <c r="C1088" s="3481" t="s">
        <v>5318</v>
      </c>
      <c r="D1088" s="3482">
        <v>192.79</v>
      </c>
      <c r="E1088" s="3519">
        <f t="shared" si="16"/>
        <v>25429.379117174129</v>
      </c>
      <c r="F1088" s="3481">
        <v>4902530</v>
      </c>
      <c r="G1088" s="3482" t="s">
        <v>8415</v>
      </c>
    </row>
    <row r="1089" spans="1:7">
      <c r="A1089" s="3536">
        <v>1088</v>
      </c>
      <c r="B1089" s="3481" t="s">
        <v>4302</v>
      </c>
      <c r="C1089" s="3481" t="s">
        <v>3338</v>
      </c>
      <c r="D1089" s="3482">
        <v>12.67</v>
      </c>
      <c r="E1089" s="3519">
        <f t="shared" si="16"/>
        <v>3000</v>
      </c>
      <c r="F1089" s="3481">
        <v>38010</v>
      </c>
      <c r="G1089" s="3482" t="s">
        <v>4303</v>
      </c>
    </row>
    <row r="1090" spans="1:7">
      <c r="A1090" s="3536">
        <v>1089</v>
      </c>
      <c r="B1090" s="3481" t="s">
        <v>7446</v>
      </c>
      <c r="C1090" s="3481" t="s">
        <v>5305</v>
      </c>
      <c r="D1090" s="3482">
        <v>73.040000000000006</v>
      </c>
      <c r="E1090" s="3519">
        <f t="shared" si="16"/>
        <v>33162.048192771079</v>
      </c>
      <c r="F1090" s="3481">
        <v>2422156</v>
      </c>
      <c r="G1090" s="3482" t="s">
        <v>3557</v>
      </c>
    </row>
    <row r="1091" spans="1:7">
      <c r="A1091" s="3536">
        <v>1090</v>
      </c>
      <c r="B1091" s="3481" t="s">
        <v>3556</v>
      </c>
      <c r="C1091" s="3481" t="s">
        <v>3338</v>
      </c>
      <c r="D1091" s="3482">
        <v>98.01</v>
      </c>
      <c r="E1091" s="3519">
        <f t="shared" ref="E1091:E1154" si="17">F1091/D1091</f>
        <v>13649.36230996837</v>
      </c>
      <c r="F1091" s="3481">
        <v>1337774</v>
      </c>
      <c r="G1091" s="3482" t="s">
        <v>3557</v>
      </c>
    </row>
    <row r="1092" spans="1:7">
      <c r="A1092" s="3536">
        <v>1091</v>
      </c>
      <c r="B1092" s="3481" t="s">
        <v>7056</v>
      </c>
      <c r="C1092" s="3481" t="s">
        <v>5305</v>
      </c>
      <c r="D1092" s="3482">
        <v>73.42</v>
      </c>
      <c r="E1092" s="3519">
        <f t="shared" si="17"/>
        <v>30848.501770634703</v>
      </c>
      <c r="F1092" s="3481">
        <v>2264897</v>
      </c>
      <c r="G1092" s="3482" t="s">
        <v>3474</v>
      </c>
    </row>
    <row r="1093" spans="1:7">
      <c r="A1093" s="3536">
        <v>1092</v>
      </c>
      <c r="B1093" s="3481" t="s">
        <v>3473</v>
      </c>
      <c r="C1093" s="3481" t="s">
        <v>3338</v>
      </c>
      <c r="D1093" s="3482">
        <v>99.43</v>
      </c>
      <c r="E1093" s="3519">
        <f t="shared" si="17"/>
        <v>13053.686010258472</v>
      </c>
      <c r="F1093" s="3481">
        <v>1297928</v>
      </c>
      <c r="G1093" s="3482" t="s">
        <v>3474</v>
      </c>
    </row>
    <row r="1094" spans="1:7">
      <c r="A1094" s="3536">
        <v>1093</v>
      </c>
      <c r="B1094" s="3481" t="s">
        <v>8425</v>
      </c>
      <c r="C1094" s="3481" t="s">
        <v>5318</v>
      </c>
      <c r="D1094" s="3482">
        <v>193.73</v>
      </c>
      <c r="E1094" s="3519">
        <f t="shared" si="17"/>
        <v>25297.475868476748</v>
      </c>
      <c r="F1094" s="3481">
        <v>4900880</v>
      </c>
      <c r="G1094" s="3482" t="s">
        <v>4306</v>
      </c>
    </row>
    <row r="1095" spans="1:7">
      <c r="A1095" s="3536">
        <v>1094</v>
      </c>
      <c r="B1095" s="3481" t="s">
        <v>4305</v>
      </c>
      <c r="C1095" s="3481" t="s">
        <v>3338</v>
      </c>
      <c r="D1095" s="3482">
        <v>12.67</v>
      </c>
      <c r="E1095" s="3519">
        <f t="shared" si="17"/>
        <v>3000</v>
      </c>
      <c r="F1095" s="3481">
        <v>38010</v>
      </c>
      <c r="G1095" s="3482" t="s">
        <v>4306</v>
      </c>
    </row>
    <row r="1096" spans="1:7">
      <c r="A1096" s="3536">
        <v>1095</v>
      </c>
      <c r="B1096" s="3481" t="s">
        <v>4304</v>
      </c>
      <c r="C1096" s="3481" t="s">
        <v>3338</v>
      </c>
      <c r="D1096" s="3482">
        <v>53.63</v>
      </c>
      <c r="E1096" s="3519">
        <f t="shared" si="17"/>
        <v>2069.3641618497109</v>
      </c>
      <c r="F1096" s="3481">
        <v>110980</v>
      </c>
      <c r="G1096" s="3482" t="s">
        <v>4303</v>
      </c>
    </row>
    <row r="1097" spans="1:7">
      <c r="A1097" s="3536">
        <v>1096</v>
      </c>
      <c r="B1097" s="3481" t="s">
        <v>3558</v>
      </c>
      <c r="C1097" s="3481" t="s">
        <v>3338</v>
      </c>
      <c r="D1097" s="3482">
        <v>188.71</v>
      </c>
      <c r="E1097" s="3519">
        <f t="shared" si="17"/>
        <v>13997.551799056753</v>
      </c>
      <c r="F1097" s="3481">
        <v>2641478</v>
      </c>
      <c r="G1097" s="3482" t="s">
        <v>3557</v>
      </c>
    </row>
    <row r="1098" spans="1:7">
      <c r="A1098" s="3536">
        <v>1097</v>
      </c>
      <c r="B1098" s="3481" t="s">
        <v>3475</v>
      </c>
      <c r="C1098" s="3481" t="s">
        <v>3338</v>
      </c>
      <c r="D1098" s="3482">
        <v>189.72</v>
      </c>
      <c r="E1098" s="3519">
        <f t="shared" si="17"/>
        <v>13373.260594560405</v>
      </c>
      <c r="F1098" s="3481">
        <v>2537175</v>
      </c>
      <c r="G1098" s="3482" t="s">
        <v>3474</v>
      </c>
    </row>
    <row r="1099" spans="1:7">
      <c r="A1099" s="3536">
        <v>1098</v>
      </c>
      <c r="B1099" s="3481" t="s">
        <v>4307</v>
      </c>
      <c r="C1099" s="3481" t="s">
        <v>3338</v>
      </c>
      <c r="D1099" s="3482">
        <v>54.18</v>
      </c>
      <c r="E1099" s="3519">
        <f t="shared" si="17"/>
        <v>3001.6611295681064</v>
      </c>
      <c r="F1099" s="3481">
        <v>162630</v>
      </c>
      <c r="G1099" s="3482" t="s">
        <v>4306</v>
      </c>
    </row>
    <row r="1100" spans="1:7">
      <c r="A1100" s="3536">
        <v>1099</v>
      </c>
      <c r="B1100" s="3481" t="s">
        <v>8447</v>
      </c>
      <c r="C1100" s="3481" t="s">
        <v>3395</v>
      </c>
      <c r="D1100" s="3482">
        <v>83.53</v>
      </c>
      <c r="E1100" s="3519">
        <f t="shared" si="17"/>
        <v>32780.833233568774</v>
      </c>
      <c r="F1100" s="3481">
        <v>2738183</v>
      </c>
      <c r="G1100" s="3482" t="s">
        <v>4331</v>
      </c>
    </row>
    <row r="1101" spans="1:7">
      <c r="A1101" s="3536">
        <v>1100</v>
      </c>
      <c r="B1101" s="3481" t="s">
        <v>8456</v>
      </c>
      <c r="C1101" s="3481" t="s">
        <v>3395</v>
      </c>
      <c r="D1101" s="3482">
        <v>83.91</v>
      </c>
      <c r="E1101" s="3519">
        <f t="shared" si="17"/>
        <v>32780.931950899772</v>
      </c>
      <c r="F1101" s="3481">
        <v>2750648</v>
      </c>
      <c r="G1101" s="3482" t="s">
        <v>8457</v>
      </c>
    </row>
    <row r="1102" spans="1:7">
      <c r="A1102" s="3536">
        <v>1101</v>
      </c>
      <c r="B1102" s="3481" t="s">
        <v>8462</v>
      </c>
      <c r="C1102" s="3481" t="s">
        <v>3395</v>
      </c>
      <c r="D1102" s="3482">
        <v>83.53</v>
      </c>
      <c r="E1102" s="3519">
        <f t="shared" si="17"/>
        <v>33159.46366574883</v>
      </c>
      <c r="F1102" s="3481">
        <v>2769810</v>
      </c>
      <c r="G1102" s="3482" t="s">
        <v>8461</v>
      </c>
    </row>
    <row r="1103" spans="1:7">
      <c r="A1103" s="3536">
        <v>1102</v>
      </c>
      <c r="B1103" s="3481" t="s">
        <v>8463</v>
      </c>
      <c r="C1103" s="3481" t="s">
        <v>3395</v>
      </c>
      <c r="D1103" s="3482">
        <v>83.91</v>
      </c>
      <c r="E1103" s="3519">
        <f t="shared" si="17"/>
        <v>33112.04862352521</v>
      </c>
      <c r="F1103" s="3481">
        <v>2778432</v>
      </c>
      <c r="G1103" s="3482" t="s">
        <v>8461</v>
      </c>
    </row>
    <row r="1104" spans="1:7">
      <c r="A1104" s="3536">
        <v>1103</v>
      </c>
      <c r="B1104" s="3481" t="s">
        <v>6891</v>
      </c>
      <c r="C1104" s="3481" t="s">
        <v>3395</v>
      </c>
      <c r="D1104" s="3482">
        <v>83.53</v>
      </c>
      <c r="E1104" s="3519">
        <f t="shared" si="17"/>
        <v>28672.333293427509</v>
      </c>
      <c r="F1104" s="3481">
        <v>2395000</v>
      </c>
      <c r="G1104" s="3482" t="s">
        <v>3437</v>
      </c>
    </row>
    <row r="1105" spans="1:7">
      <c r="A1105" s="3536">
        <v>1104</v>
      </c>
      <c r="B1105" s="3481" t="s">
        <v>7798</v>
      </c>
      <c r="C1105" s="3481" t="s">
        <v>3395</v>
      </c>
      <c r="D1105" s="3482">
        <v>83.91</v>
      </c>
      <c r="E1105" s="3519">
        <f t="shared" si="17"/>
        <v>33909.665117387682</v>
      </c>
      <c r="F1105" s="3481">
        <v>2845360</v>
      </c>
      <c r="G1105" s="3482" t="s">
        <v>7799</v>
      </c>
    </row>
    <row r="1106" spans="1:7">
      <c r="A1106" s="3536">
        <v>1105</v>
      </c>
      <c r="B1106" s="3481" t="s">
        <v>8488</v>
      </c>
      <c r="C1106" s="3481" t="s">
        <v>3395</v>
      </c>
      <c r="D1106" s="3482">
        <v>73.75</v>
      </c>
      <c r="E1106" s="3519">
        <f t="shared" si="17"/>
        <v>34633.152542372882</v>
      </c>
      <c r="F1106" s="3481">
        <v>2554195</v>
      </c>
      <c r="G1106" s="3482" t="s">
        <v>8489</v>
      </c>
    </row>
    <row r="1107" spans="1:7">
      <c r="A1107" s="3536">
        <v>1106</v>
      </c>
      <c r="B1107" s="3481" t="s">
        <v>8527</v>
      </c>
      <c r="C1107" s="3481" t="s">
        <v>3395</v>
      </c>
      <c r="D1107" s="3482">
        <v>74.209999999999994</v>
      </c>
      <c r="E1107" s="3519">
        <f t="shared" si="17"/>
        <v>37391.133270448729</v>
      </c>
      <c r="F1107" s="3481">
        <v>2774796</v>
      </c>
      <c r="G1107" s="3482" t="s">
        <v>8526</v>
      </c>
    </row>
    <row r="1108" spans="1:7">
      <c r="A1108" s="3536">
        <v>1107</v>
      </c>
      <c r="B1108" s="3481" t="s">
        <v>7894</v>
      </c>
      <c r="C1108" s="3481" t="s">
        <v>5318</v>
      </c>
      <c r="D1108" s="3482">
        <v>193.06</v>
      </c>
      <c r="E1108" s="3519">
        <f t="shared" si="17"/>
        <v>24862.995959805241</v>
      </c>
      <c r="F1108" s="3481">
        <v>4800050</v>
      </c>
      <c r="G1108" s="3482" t="s">
        <v>3968</v>
      </c>
    </row>
    <row r="1109" spans="1:7">
      <c r="A1109" s="3536">
        <v>1108</v>
      </c>
      <c r="B1109" s="3481" t="s">
        <v>3976</v>
      </c>
      <c r="C1109" s="3481" t="s">
        <v>3338</v>
      </c>
      <c r="D1109" s="3482">
        <v>12.62</v>
      </c>
      <c r="E1109" s="3519">
        <f t="shared" si="17"/>
        <v>3000</v>
      </c>
      <c r="F1109" s="3481">
        <v>37860</v>
      </c>
      <c r="G1109" s="3482" t="s">
        <v>3968</v>
      </c>
    </row>
    <row r="1110" spans="1:7">
      <c r="A1110" s="3536">
        <v>1109</v>
      </c>
      <c r="B1110" s="3481" t="s">
        <v>7878</v>
      </c>
      <c r="C1110" s="3481" t="s">
        <v>5305</v>
      </c>
      <c r="D1110" s="3482">
        <v>73.12</v>
      </c>
      <c r="E1110" s="3519">
        <f t="shared" si="17"/>
        <v>38346.252735229755</v>
      </c>
      <c r="F1110" s="3481">
        <v>2803878</v>
      </c>
      <c r="G1110" s="3482" t="s">
        <v>3968</v>
      </c>
    </row>
    <row r="1111" spans="1:7">
      <c r="A1111" s="3536">
        <v>1110</v>
      </c>
      <c r="B1111" s="3481" t="s">
        <v>3977</v>
      </c>
      <c r="C1111" s="3481" t="s">
        <v>3338</v>
      </c>
      <c r="D1111" s="3482">
        <v>99.38</v>
      </c>
      <c r="E1111" s="3519">
        <f t="shared" si="17"/>
        <v>18001.811229623669</v>
      </c>
      <c r="F1111" s="3481">
        <v>1789020</v>
      </c>
      <c r="G1111" s="3482" t="s">
        <v>3968</v>
      </c>
    </row>
    <row r="1112" spans="1:7">
      <c r="A1112" s="3536">
        <v>1111</v>
      </c>
      <c r="B1112" s="3481" t="s">
        <v>7879</v>
      </c>
      <c r="C1112" s="3481" t="s">
        <v>5305</v>
      </c>
      <c r="D1112" s="3482">
        <v>72.739999999999995</v>
      </c>
      <c r="E1112" s="3519">
        <f t="shared" si="17"/>
        <v>38346.178168820457</v>
      </c>
      <c r="F1112" s="3481">
        <v>2789301</v>
      </c>
      <c r="G1112" s="3482" t="s">
        <v>3968</v>
      </c>
    </row>
    <row r="1113" spans="1:7">
      <c r="A1113" s="3536">
        <v>1112</v>
      </c>
      <c r="B1113" s="3481" t="s">
        <v>3978</v>
      </c>
      <c r="C1113" s="3481" t="s">
        <v>3338</v>
      </c>
      <c r="D1113" s="3482">
        <v>97.99</v>
      </c>
      <c r="E1113" s="3519">
        <f t="shared" si="17"/>
        <v>18000</v>
      </c>
      <c r="F1113" s="3481">
        <v>1763820</v>
      </c>
      <c r="G1113" s="3482" t="s">
        <v>3968</v>
      </c>
    </row>
    <row r="1114" spans="1:7">
      <c r="A1114" s="3536">
        <v>1113</v>
      </c>
      <c r="B1114" s="3481" t="s">
        <v>7839</v>
      </c>
      <c r="C1114" s="3481" t="s">
        <v>5318</v>
      </c>
      <c r="D1114" s="3482">
        <v>192.12</v>
      </c>
      <c r="E1114" s="3519">
        <f t="shared" si="17"/>
        <v>26294.503435352904</v>
      </c>
      <c r="F1114" s="3481">
        <v>5051700</v>
      </c>
      <c r="G1114" s="3482" t="s">
        <v>3946</v>
      </c>
    </row>
    <row r="1115" spans="1:7">
      <c r="A1115" s="3536">
        <v>1114</v>
      </c>
      <c r="B1115" s="3481" t="s">
        <v>3950</v>
      </c>
      <c r="C1115" s="3481" t="s">
        <v>3338</v>
      </c>
      <c r="D1115" s="3482">
        <v>12.62</v>
      </c>
      <c r="E1115" s="3519">
        <f t="shared" si="17"/>
        <v>3000</v>
      </c>
      <c r="F1115" s="3481">
        <v>37860</v>
      </c>
      <c r="G1115" s="3482" t="s">
        <v>3946</v>
      </c>
    </row>
    <row r="1116" spans="1:7">
      <c r="A1116" s="3536">
        <v>1115</v>
      </c>
      <c r="B1116" s="3481" t="s">
        <v>3979</v>
      </c>
      <c r="C1116" s="3481" t="s">
        <v>3338</v>
      </c>
      <c r="D1116" s="3482">
        <v>54</v>
      </c>
      <c r="E1116" s="3519">
        <f t="shared" si="17"/>
        <v>3001.6666666666665</v>
      </c>
      <c r="F1116" s="3481">
        <v>162090</v>
      </c>
      <c r="G1116" s="3482" t="s">
        <v>3968</v>
      </c>
    </row>
    <row r="1117" spans="1:7">
      <c r="A1117" s="3536">
        <v>1116</v>
      </c>
      <c r="B1117" s="3481" t="s">
        <v>3980</v>
      </c>
      <c r="C1117" s="3481" t="s">
        <v>3338</v>
      </c>
      <c r="D1117" s="3482">
        <v>189.7</v>
      </c>
      <c r="E1117" s="3519">
        <f t="shared" si="17"/>
        <v>10580.400632577755</v>
      </c>
      <c r="F1117" s="3481">
        <v>2007102</v>
      </c>
      <c r="G1117" s="3482" t="s">
        <v>3968</v>
      </c>
    </row>
    <row r="1118" spans="1:7">
      <c r="A1118" s="3536">
        <v>1117</v>
      </c>
      <c r="B1118" s="3481" t="s">
        <v>3981</v>
      </c>
      <c r="C1118" s="3481" t="s">
        <v>3338</v>
      </c>
      <c r="D1118" s="3482">
        <v>188.31</v>
      </c>
      <c r="E1118" s="3519">
        <f t="shared" si="17"/>
        <v>10869.730763103393</v>
      </c>
      <c r="F1118" s="3481">
        <v>2046879</v>
      </c>
      <c r="G1118" s="3482" t="s">
        <v>3968</v>
      </c>
    </row>
    <row r="1119" spans="1:7">
      <c r="A1119" s="3536">
        <v>1118</v>
      </c>
      <c r="B1119" s="3481" t="s">
        <v>3951</v>
      </c>
      <c r="C1119" s="3481" t="s">
        <v>3338</v>
      </c>
      <c r="D1119" s="3482">
        <v>53.46</v>
      </c>
      <c r="E1119" s="3519">
        <f t="shared" si="17"/>
        <v>3001.1223344556679</v>
      </c>
      <c r="F1119" s="3481">
        <v>160440</v>
      </c>
      <c r="G1119" s="3482" t="s">
        <v>3946</v>
      </c>
    </row>
    <row r="1120" spans="1:7">
      <c r="A1120" s="3536">
        <v>1119</v>
      </c>
      <c r="B1120" s="3481" t="s">
        <v>7880</v>
      </c>
      <c r="C1120" s="3481" t="s">
        <v>3395</v>
      </c>
      <c r="D1120" s="3482">
        <v>83.85</v>
      </c>
      <c r="E1120" s="3519">
        <f t="shared" si="17"/>
        <v>32915.921288014317</v>
      </c>
      <c r="F1120" s="3481">
        <v>2760000</v>
      </c>
      <c r="G1120" s="3482" t="s">
        <v>3968</v>
      </c>
    </row>
    <row r="1121" spans="1:7">
      <c r="A1121" s="3536">
        <v>1120</v>
      </c>
      <c r="B1121" s="3481" t="s">
        <v>7901</v>
      </c>
      <c r="C1121" s="3481" t="s">
        <v>3395</v>
      </c>
      <c r="D1121" s="3482">
        <v>83.47</v>
      </c>
      <c r="E1121" s="3519">
        <f t="shared" si="17"/>
        <v>31867.736911465199</v>
      </c>
      <c r="F1121" s="3481">
        <v>2660000</v>
      </c>
      <c r="G1121" s="3482" t="s">
        <v>7902</v>
      </c>
    </row>
    <row r="1122" spans="1:7">
      <c r="A1122" s="3536">
        <v>1121</v>
      </c>
      <c r="B1122" s="3481" t="s">
        <v>7905</v>
      </c>
      <c r="C1122" s="3481" t="s">
        <v>3395</v>
      </c>
      <c r="D1122" s="3482">
        <v>83.85</v>
      </c>
      <c r="E1122" s="3519">
        <f t="shared" si="17"/>
        <v>32200.357781753133</v>
      </c>
      <c r="F1122" s="3481">
        <v>2700000</v>
      </c>
      <c r="G1122" s="3482" t="s">
        <v>3989</v>
      </c>
    </row>
    <row r="1123" spans="1:7">
      <c r="A1123" s="3536">
        <v>1122</v>
      </c>
      <c r="B1123" s="3481" t="s">
        <v>7881</v>
      </c>
      <c r="C1123" s="3481" t="s">
        <v>3395</v>
      </c>
      <c r="D1123" s="3482">
        <v>83.47</v>
      </c>
      <c r="E1123" s="3519">
        <f t="shared" si="17"/>
        <v>33065.772133700732</v>
      </c>
      <c r="F1123" s="3481">
        <v>2760000</v>
      </c>
      <c r="G1123" s="3482" t="s">
        <v>3968</v>
      </c>
    </row>
    <row r="1124" spans="1:7">
      <c r="A1124" s="3536">
        <v>1123</v>
      </c>
      <c r="B1124" s="3481" t="s">
        <v>7882</v>
      </c>
      <c r="C1124" s="3481" t="s">
        <v>3395</v>
      </c>
      <c r="D1124" s="3482">
        <v>83.85</v>
      </c>
      <c r="E1124" s="3519">
        <f t="shared" si="17"/>
        <v>32915.921288014317</v>
      </c>
      <c r="F1124" s="3481">
        <v>2760000</v>
      </c>
      <c r="G1124" s="3482" t="s">
        <v>3968</v>
      </c>
    </row>
    <row r="1125" spans="1:7">
      <c r="A1125" s="3536">
        <v>1124</v>
      </c>
      <c r="B1125" s="3481" t="s">
        <v>7883</v>
      </c>
      <c r="C1125" s="3481" t="s">
        <v>3395</v>
      </c>
      <c r="D1125" s="3482">
        <v>83.47</v>
      </c>
      <c r="E1125" s="3519">
        <f t="shared" si="17"/>
        <v>33065.772133700732</v>
      </c>
      <c r="F1125" s="3481">
        <v>2760000</v>
      </c>
      <c r="G1125" s="3482" t="s">
        <v>3968</v>
      </c>
    </row>
    <row r="1126" spans="1:7">
      <c r="A1126" s="3536">
        <v>1125</v>
      </c>
      <c r="B1126" s="3481" t="s">
        <v>7911</v>
      </c>
      <c r="C1126" s="3481" t="s">
        <v>3395</v>
      </c>
      <c r="D1126" s="3482">
        <v>83.85</v>
      </c>
      <c r="E1126" s="3519">
        <f t="shared" si="17"/>
        <v>33070.518783542044</v>
      </c>
      <c r="F1126" s="3481">
        <v>2772963</v>
      </c>
      <c r="G1126" s="3482" t="s">
        <v>7910</v>
      </c>
    </row>
    <row r="1127" spans="1:7">
      <c r="A1127" s="3536">
        <v>1126</v>
      </c>
      <c r="B1127" s="3481" t="s">
        <v>7884</v>
      </c>
      <c r="C1127" s="3481" t="s">
        <v>3395</v>
      </c>
      <c r="D1127" s="3482">
        <v>83.47</v>
      </c>
      <c r="E1127" s="3519">
        <f t="shared" si="17"/>
        <v>32735.80927279262</v>
      </c>
      <c r="F1127" s="3481">
        <v>2732458</v>
      </c>
      <c r="G1127" s="3482" t="s">
        <v>3968</v>
      </c>
    </row>
    <row r="1128" spans="1:7">
      <c r="A1128" s="3536">
        <v>1127</v>
      </c>
      <c r="B1128" s="3481" t="s">
        <v>7810</v>
      </c>
      <c r="C1128" s="3481" t="s">
        <v>5318</v>
      </c>
      <c r="D1128" s="3482">
        <v>192.12</v>
      </c>
      <c r="E1128" s="3519">
        <f t="shared" si="17"/>
        <v>24993.233395794294</v>
      </c>
      <c r="F1128" s="3481">
        <v>4801700</v>
      </c>
      <c r="G1128" s="3482" t="s">
        <v>3927</v>
      </c>
    </row>
    <row r="1129" spans="1:7">
      <c r="A1129" s="3536">
        <v>1128</v>
      </c>
      <c r="B1129" s="3481" t="s">
        <v>3926</v>
      </c>
      <c r="C1129" s="3481" t="s">
        <v>3338</v>
      </c>
      <c r="D1129" s="3482">
        <v>12.62</v>
      </c>
      <c r="E1129" s="3519">
        <f t="shared" si="17"/>
        <v>3000</v>
      </c>
      <c r="F1129" s="3481">
        <v>37860</v>
      </c>
      <c r="G1129" s="3482" t="s">
        <v>3927</v>
      </c>
    </row>
    <row r="1130" spans="1:7">
      <c r="A1130" s="3536">
        <v>1129</v>
      </c>
      <c r="B1130" s="3481" t="s">
        <v>6892</v>
      </c>
      <c r="C1130" s="3481" t="s">
        <v>5305</v>
      </c>
      <c r="D1130" s="3482">
        <v>72.739999999999995</v>
      </c>
      <c r="E1130" s="3519">
        <f t="shared" si="17"/>
        <v>33975.460544404734</v>
      </c>
      <c r="F1130" s="3481">
        <v>2471375</v>
      </c>
      <c r="G1130" s="3482" t="s">
        <v>3437</v>
      </c>
    </row>
    <row r="1131" spans="1:7">
      <c r="A1131" s="3536">
        <v>1130</v>
      </c>
      <c r="B1131" s="3481" t="s">
        <v>3439</v>
      </c>
      <c r="C1131" s="3481" t="s">
        <v>3338</v>
      </c>
      <c r="D1131" s="3482">
        <v>97.99</v>
      </c>
      <c r="E1131" s="3519">
        <f t="shared" si="17"/>
        <v>11753.168690682724</v>
      </c>
      <c r="F1131" s="3481">
        <v>1151693</v>
      </c>
      <c r="G1131" s="3482" t="s">
        <v>3437</v>
      </c>
    </row>
    <row r="1132" spans="1:7">
      <c r="A1132" s="3536">
        <v>1131</v>
      </c>
      <c r="B1132" s="3481" t="s">
        <v>7791</v>
      </c>
      <c r="C1132" s="3481" t="s">
        <v>5318</v>
      </c>
      <c r="D1132" s="3482">
        <v>192.12</v>
      </c>
      <c r="E1132" s="3519">
        <f t="shared" si="17"/>
        <v>24993.233395794294</v>
      </c>
      <c r="F1132" s="3481">
        <v>4801700</v>
      </c>
      <c r="G1132" s="3482" t="s">
        <v>3901</v>
      </c>
    </row>
    <row r="1133" spans="1:7">
      <c r="A1133" s="3536">
        <v>1132</v>
      </c>
      <c r="B1133" s="3481" t="s">
        <v>3900</v>
      </c>
      <c r="C1133" s="3481" t="s">
        <v>3338</v>
      </c>
      <c r="D1133" s="3482">
        <v>12.62</v>
      </c>
      <c r="E1133" s="3519">
        <f t="shared" si="17"/>
        <v>3000</v>
      </c>
      <c r="F1133" s="3481">
        <v>37860</v>
      </c>
      <c r="G1133" s="3482" t="s">
        <v>3901</v>
      </c>
    </row>
    <row r="1134" spans="1:7">
      <c r="A1134" s="3536">
        <v>1133</v>
      </c>
      <c r="B1134" s="3481" t="s">
        <v>3928</v>
      </c>
      <c r="C1134" s="3481" t="s">
        <v>3338</v>
      </c>
      <c r="D1134" s="3482">
        <v>53.46</v>
      </c>
      <c r="E1134" s="3519">
        <f t="shared" si="17"/>
        <v>3001.1223344556679</v>
      </c>
      <c r="F1134" s="3481">
        <v>160440</v>
      </c>
      <c r="G1134" s="3482" t="s">
        <v>3927</v>
      </c>
    </row>
    <row r="1135" spans="1:7">
      <c r="A1135" s="3536">
        <v>1134</v>
      </c>
      <c r="B1135" s="3481" t="s">
        <v>3440</v>
      </c>
      <c r="C1135" s="3481" t="s">
        <v>3338</v>
      </c>
      <c r="D1135" s="3482">
        <v>188.31</v>
      </c>
      <c r="E1135" s="3519">
        <f t="shared" si="17"/>
        <v>11385.030003717275</v>
      </c>
      <c r="F1135" s="3481">
        <v>2143915</v>
      </c>
      <c r="G1135" s="3482" t="s">
        <v>3437</v>
      </c>
    </row>
    <row r="1136" spans="1:7">
      <c r="A1136" s="3536">
        <v>1135</v>
      </c>
      <c r="B1136" s="3481" t="s">
        <v>3902</v>
      </c>
      <c r="C1136" s="3481" t="s">
        <v>3338</v>
      </c>
      <c r="D1136" s="3482">
        <v>53.46</v>
      </c>
      <c r="E1136" s="3519">
        <f t="shared" si="17"/>
        <v>3001.1223344556679</v>
      </c>
      <c r="F1136" s="3481">
        <v>160440</v>
      </c>
      <c r="G1136" s="3482" t="s">
        <v>3901</v>
      </c>
    </row>
    <row r="1137" spans="1:7">
      <c r="A1137" s="3536">
        <v>1136</v>
      </c>
      <c r="B1137" s="3481" t="s">
        <v>7885</v>
      </c>
      <c r="C1137" s="3481" t="s">
        <v>3395</v>
      </c>
      <c r="D1137" s="3482">
        <v>83.47</v>
      </c>
      <c r="E1137" s="3519">
        <f t="shared" si="17"/>
        <v>33065.772133700732</v>
      </c>
      <c r="F1137" s="3481">
        <v>2760000</v>
      </c>
      <c r="G1137" s="3482" t="s">
        <v>3968</v>
      </c>
    </row>
    <row r="1138" spans="1:7">
      <c r="A1138" s="3536">
        <v>1137</v>
      </c>
      <c r="B1138" s="3481" t="s">
        <v>7886</v>
      </c>
      <c r="C1138" s="3481" t="s">
        <v>3395</v>
      </c>
      <c r="D1138" s="3482">
        <v>83.47</v>
      </c>
      <c r="E1138" s="3519">
        <f t="shared" si="17"/>
        <v>33065.772133700732</v>
      </c>
      <c r="F1138" s="3481">
        <v>2760000</v>
      </c>
      <c r="G1138" s="3482" t="s">
        <v>3968</v>
      </c>
    </row>
    <row r="1139" spans="1:7">
      <c r="A1139" s="3536">
        <v>1138</v>
      </c>
      <c r="B1139" s="3481" t="s">
        <v>7887</v>
      </c>
      <c r="C1139" s="3481" t="s">
        <v>3395</v>
      </c>
      <c r="D1139" s="3482">
        <v>83.47</v>
      </c>
      <c r="E1139" s="3519">
        <f t="shared" si="17"/>
        <v>33065.772133700732</v>
      </c>
      <c r="F1139" s="3481">
        <v>2760000</v>
      </c>
      <c r="G1139" s="3482" t="s">
        <v>3968</v>
      </c>
    </row>
    <row r="1140" spans="1:7">
      <c r="A1140" s="3536">
        <v>1139</v>
      </c>
      <c r="B1140" s="3481" t="s">
        <v>7912</v>
      </c>
      <c r="C1140" s="3481" t="s">
        <v>3395</v>
      </c>
      <c r="D1140" s="3482">
        <v>83.47</v>
      </c>
      <c r="E1140" s="3519">
        <f t="shared" si="17"/>
        <v>33066.478974481848</v>
      </c>
      <c r="F1140" s="3481">
        <v>2760059</v>
      </c>
      <c r="G1140" s="3482" t="s">
        <v>7913</v>
      </c>
    </row>
    <row r="1141" spans="1:7">
      <c r="A1141" s="3536">
        <v>1140</v>
      </c>
      <c r="B1141" s="3481" t="s">
        <v>7897</v>
      </c>
      <c r="C1141" s="3481" t="s">
        <v>3395</v>
      </c>
      <c r="D1141" s="3482">
        <v>83.47</v>
      </c>
      <c r="E1141" s="3519">
        <f t="shared" si="17"/>
        <v>33400.479214088897</v>
      </c>
      <c r="F1141" s="3481">
        <v>2787938</v>
      </c>
      <c r="G1141" s="3482" t="s">
        <v>7896</v>
      </c>
    </row>
    <row r="1142" spans="1:7">
      <c r="A1142" s="3536">
        <v>1141</v>
      </c>
      <c r="B1142" s="3481" t="s">
        <v>7888</v>
      </c>
      <c r="C1142" s="3481" t="s">
        <v>3395</v>
      </c>
      <c r="D1142" s="3482">
        <v>83.47</v>
      </c>
      <c r="E1142" s="3519">
        <f t="shared" si="17"/>
        <v>33065.772133700732</v>
      </c>
      <c r="F1142" s="3481">
        <v>2760000</v>
      </c>
      <c r="G1142" s="3482" t="s">
        <v>3968</v>
      </c>
    </row>
    <row r="1143" spans="1:7">
      <c r="A1143" s="3536">
        <v>1142</v>
      </c>
      <c r="B1143" s="3481" t="s">
        <v>7872</v>
      </c>
      <c r="C1143" s="3481" t="s">
        <v>3395</v>
      </c>
      <c r="D1143" s="3482">
        <v>83.47</v>
      </c>
      <c r="E1143" s="3519">
        <f t="shared" si="17"/>
        <v>33400.479214088897</v>
      </c>
      <c r="F1143" s="3481">
        <v>2787938</v>
      </c>
      <c r="G1143" s="3482" t="s">
        <v>7873</v>
      </c>
    </row>
    <row r="1144" spans="1:7">
      <c r="A1144" s="3536">
        <v>1143</v>
      </c>
      <c r="B1144" s="3481" t="s">
        <v>7868</v>
      </c>
      <c r="C1144" s="3481" t="s">
        <v>3395</v>
      </c>
      <c r="D1144" s="3482">
        <v>83.47</v>
      </c>
      <c r="E1144" s="3519">
        <f t="shared" si="17"/>
        <v>33400.479214088897</v>
      </c>
      <c r="F1144" s="3481">
        <v>2787938</v>
      </c>
      <c r="G1144" s="3482" t="s">
        <v>7869</v>
      </c>
    </row>
    <row r="1145" spans="1:7">
      <c r="A1145" s="3536">
        <v>1144</v>
      </c>
      <c r="B1145" s="3481" t="s">
        <v>7865</v>
      </c>
      <c r="C1145" s="3481" t="s">
        <v>5318</v>
      </c>
      <c r="D1145" s="3482">
        <v>177.58</v>
      </c>
      <c r="E1145" s="3519">
        <f t="shared" si="17"/>
        <v>28362.70976461313</v>
      </c>
      <c r="F1145" s="3481">
        <v>5036650</v>
      </c>
      <c r="G1145" s="3482" t="s">
        <v>3965</v>
      </c>
    </row>
    <row r="1146" spans="1:7">
      <c r="A1146" s="3536">
        <v>1145</v>
      </c>
      <c r="B1146" s="3481" t="s">
        <v>3964</v>
      </c>
      <c r="C1146" s="3481" t="s">
        <v>3338</v>
      </c>
      <c r="D1146" s="3482">
        <v>25.95</v>
      </c>
      <c r="E1146" s="3519">
        <f t="shared" si="17"/>
        <v>3000</v>
      </c>
      <c r="F1146" s="3481">
        <v>77850</v>
      </c>
      <c r="G1146" s="3482" t="s">
        <v>3965</v>
      </c>
    </row>
    <row r="1147" spans="1:7">
      <c r="A1147" s="3536">
        <v>1146</v>
      </c>
      <c r="B1147" s="3481" t="s">
        <v>7840</v>
      </c>
      <c r="C1147" s="3481" t="s">
        <v>5318</v>
      </c>
      <c r="D1147" s="3482">
        <v>178.78</v>
      </c>
      <c r="E1147" s="3519">
        <f t="shared" si="17"/>
        <v>28728.996532050565</v>
      </c>
      <c r="F1147" s="3481">
        <v>5136170</v>
      </c>
      <c r="G1147" s="3482" t="s">
        <v>3946</v>
      </c>
    </row>
    <row r="1148" spans="1:7">
      <c r="A1148" s="3536">
        <v>1147</v>
      </c>
      <c r="B1148" s="3481" t="s">
        <v>3952</v>
      </c>
      <c r="C1148" s="3481" t="s">
        <v>3338</v>
      </c>
      <c r="D1148" s="3482">
        <v>26.11</v>
      </c>
      <c r="E1148" s="3519">
        <f t="shared" si="17"/>
        <v>3000</v>
      </c>
      <c r="F1148" s="3481">
        <v>78330</v>
      </c>
      <c r="G1148" s="3482" t="s">
        <v>3946</v>
      </c>
    </row>
    <row r="1149" spans="1:7">
      <c r="A1149" s="3536">
        <v>1148</v>
      </c>
      <c r="B1149" s="3481" t="s">
        <v>3966</v>
      </c>
      <c r="C1149" s="3481" t="s">
        <v>3338</v>
      </c>
      <c r="D1149" s="3482">
        <v>28.5</v>
      </c>
      <c r="E1149" s="3519">
        <f t="shared" si="17"/>
        <v>3000</v>
      </c>
      <c r="F1149" s="3481">
        <v>85500</v>
      </c>
      <c r="G1149" s="3482" t="s">
        <v>3965</v>
      </c>
    </row>
    <row r="1150" spans="1:7">
      <c r="A1150" s="3536">
        <v>1149</v>
      </c>
      <c r="B1150" s="3481" t="s">
        <v>3953</v>
      </c>
      <c r="C1150" s="3481" t="s">
        <v>3338</v>
      </c>
      <c r="D1150" s="3482">
        <v>28.5</v>
      </c>
      <c r="E1150" s="3519">
        <f t="shared" si="17"/>
        <v>3000</v>
      </c>
      <c r="F1150" s="3481">
        <v>85500</v>
      </c>
      <c r="G1150" s="3482" t="s">
        <v>3946</v>
      </c>
    </row>
    <row r="1151" spans="1:7">
      <c r="A1151" s="3536">
        <v>1150</v>
      </c>
      <c r="B1151" s="3481" t="s">
        <v>7914</v>
      </c>
      <c r="C1151" s="3481" t="s">
        <v>3395</v>
      </c>
      <c r="D1151" s="3482">
        <v>83.47</v>
      </c>
      <c r="E1151" s="3519">
        <f t="shared" si="17"/>
        <v>33400.479214088897</v>
      </c>
      <c r="F1151" s="3481">
        <v>2787938</v>
      </c>
      <c r="G1151" s="3482" t="s">
        <v>7915</v>
      </c>
    </row>
    <row r="1152" spans="1:7">
      <c r="A1152" s="3536">
        <v>1151</v>
      </c>
      <c r="B1152" s="3481" t="s">
        <v>7870</v>
      </c>
      <c r="C1152" s="3481" t="s">
        <v>3395</v>
      </c>
      <c r="D1152" s="3482">
        <v>83.85</v>
      </c>
      <c r="E1152" s="3519">
        <f t="shared" si="17"/>
        <v>33404.555754323199</v>
      </c>
      <c r="F1152" s="3481">
        <v>2800972</v>
      </c>
      <c r="G1152" s="3482" t="s">
        <v>7871</v>
      </c>
    </row>
    <row r="1153" spans="1:7">
      <c r="A1153" s="3536">
        <v>1152</v>
      </c>
      <c r="B1153" s="3481" t="s">
        <v>7866</v>
      </c>
      <c r="C1153" s="3481" t="s">
        <v>3395</v>
      </c>
      <c r="D1153" s="3482">
        <v>83.47</v>
      </c>
      <c r="E1153" s="3519">
        <f t="shared" si="17"/>
        <v>33748.256858751651</v>
      </c>
      <c r="F1153" s="3481">
        <v>2816967</v>
      </c>
      <c r="G1153" s="3482" t="s">
        <v>7867</v>
      </c>
    </row>
    <row r="1154" spans="1:7">
      <c r="A1154" s="3536">
        <v>1153</v>
      </c>
      <c r="B1154" s="3481" t="s">
        <v>7903</v>
      </c>
      <c r="C1154" s="3481" t="s">
        <v>3395</v>
      </c>
      <c r="D1154" s="3482">
        <v>83.85</v>
      </c>
      <c r="E1154" s="3519">
        <f t="shared" si="17"/>
        <v>33404.555754323199</v>
      </c>
      <c r="F1154" s="3481">
        <v>2800972</v>
      </c>
      <c r="G1154" s="3482" t="s">
        <v>7904</v>
      </c>
    </row>
    <row r="1155" spans="1:7">
      <c r="A1155" s="3536">
        <v>1154</v>
      </c>
      <c r="B1155" s="3481" t="s">
        <v>7907</v>
      </c>
      <c r="C1155" s="3481" t="s">
        <v>3395</v>
      </c>
      <c r="D1155" s="3482">
        <v>83.47</v>
      </c>
      <c r="E1155" s="3519">
        <f t="shared" ref="E1155:E1218" si="18">F1155/D1155</f>
        <v>33066.478974481848</v>
      </c>
      <c r="F1155" s="3481">
        <v>2760059</v>
      </c>
      <c r="G1155" s="3482" t="s">
        <v>7908</v>
      </c>
    </row>
    <row r="1156" spans="1:7">
      <c r="A1156" s="3536">
        <v>1155</v>
      </c>
      <c r="B1156" s="3481" t="s">
        <v>7847</v>
      </c>
      <c r="C1156" s="3481" t="s">
        <v>3395</v>
      </c>
      <c r="D1156" s="3482">
        <v>83.85</v>
      </c>
      <c r="E1156" s="3519">
        <f t="shared" si="18"/>
        <v>33404.555754323199</v>
      </c>
      <c r="F1156" s="3481">
        <v>2800972</v>
      </c>
      <c r="G1156" s="3482" t="s">
        <v>3957</v>
      </c>
    </row>
    <row r="1157" spans="1:7">
      <c r="A1157" s="3536">
        <v>1156</v>
      </c>
      <c r="B1157" s="3481" t="s">
        <v>7726</v>
      </c>
      <c r="C1157" s="3481" t="s">
        <v>3395</v>
      </c>
      <c r="D1157" s="3482">
        <v>83.47</v>
      </c>
      <c r="E1157" s="3519">
        <f t="shared" si="18"/>
        <v>33497.064813705525</v>
      </c>
      <c r="F1157" s="3481">
        <v>2796000</v>
      </c>
      <c r="G1157" s="3482" t="s">
        <v>3835</v>
      </c>
    </row>
    <row r="1158" spans="1:7">
      <c r="A1158" s="3536">
        <v>1157</v>
      </c>
      <c r="B1158" s="3481" t="s">
        <v>7874</v>
      </c>
      <c r="C1158" s="3481" t="s">
        <v>3395</v>
      </c>
      <c r="D1158" s="3482">
        <v>83.85</v>
      </c>
      <c r="E1158" s="3519">
        <f t="shared" si="18"/>
        <v>33487.179487179492</v>
      </c>
      <c r="F1158" s="3481">
        <v>2807900</v>
      </c>
      <c r="G1158" s="3482" t="s">
        <v>7875</v>
      </c>
    </row>
    <row r="1159" spans="1:7">
      <c r="A1159" s="3536">
        <v>1158</v>
      </c>
      <c r="B1159" s="3481" t="s">
        <v>8294</v>
      </c>
      <c r="C1159" s="3481" t="s">
        <v>5318</v>
      </c>
      <c r="D1159" s="3482">
        <v>179.4</v>
      </c>
      <c r="E1159" s="3519">
        <f t="shared" si="18"/>
        <v>27695.445930880713</v>
      </c>
      <c r="F1159" s="3481">
        <v>4968563</v>
      </c>
      <c r="G1159" s="3482" t="s">
        <v>4234</v>
      </c>
    </row>
    <row r="1160" spans="1:7">
      <c r="A1160" s="3536">
        <v>1159</v>
      </c>
      <c r="B1160" s="3481" t="s">
        <v>4233</v>
      </c>
      <c r="C1160" s="3481" t="s">
        <v>3338</v>
      </c>
      <c r="D1160" s="3482">
        <v>13.02</v>
      </c>
      <c r="E1160" s="3519">
        <f t="shared" si="18"/>
        <v>3000</v>
      </c>
      <c r="F1160" s="3481">
        <v>39060</v>
      </c>
      <c r="G1160" s="3482" t="s">
        <v>4234</v>
      </c>
    </row>
    <row r="1161" spans="1:7">
      <c r="A1161" s="3536">
        <v>1160</v>
      </c>
      <c r="B1161" s="3481" t="s">
        <v>6835</v>
      </c>
      <c r="C1161" s="3481" t="s">
        <v>5305</v>
      </c>
      <c r="D1161" s="3482">
        <v>73.400000000000006</v>
      </c>
      <c r="E1161" s="3519">
        <f t="shared" si="18"/>
        <v>31696.362397820161</v>
      </c>
      <c r="F1161" s="3481">
        <v>2326513</v>
      </c>
      <c r="G1161" s="3482" t="s">
        <v>3426</v>
      </c>
    </row>
    <row r="1162" spans="1:7">
      <c r="A1162" s="3536">
        <v>1161</v>
      </c>
      <c r="B1162" s="3481" t="s">
        <v>3425</v>
      </c>
      <c r="C1162" s="3481" t="s">
        <v>3338</v>
      </c>
      <c r="D1162" s="3482">
        <v>103.22</v>
      </c>
      <c r="E1162" s="3519">
        <f t="shared" si="18"/>
        <v>12574.384809145515</v>
      </c>
      <c r="F1162" s="3481">
        <v>1297928</v>
      </c>
      <c r="G1162" s="3482" t="s">
        <v>3426</v>
      </c>
    </row>
    <row r="1163" spans="1:7">
      <c r="A1163" s="3536">
        <v>1162</v>
      </c>
      <c r="B1163" s="3481" t="s">
        <v>7715</v>
      </c>
      <c r="C1163" s="3481" t="s">
        <v>5305</v>
      </c>
      <c r="D1163" s="3482">
        <v>73.010000000000005</v>
      </c>
      <c r="E1163" s="3519">
        <f t="shared" si="18"/>
        <v>37224.585673195448</v>
      </c>
      <c r="F1163" s="3481">
        <v>2717767</v>
      </c>
      <c r="G1163" s="3482" t="s">
        <v>3830</v>
      </c>
    </row>
    <row r="1164" spans="1:7">
      <c r="A1164" s="3536">
        <v>1163</v>
      </c>
      <c r="B1164" s="3481" t="s">
        <v>3829</v>
      </c>
      <c r="C1164" s="3481" t="s">
        <v>3338</v>
      </c>
      <c r="D1164" s="3482">
        <v>101.65</v>
      </c>
      <c r="E1164" s="3519">
        <f t="shared" si="18"/>
        <v>18005.312346286275</v>
      </c>
      <c r="F1164" s="3481">
        <v>1830240</v>
      </c>
      <c r="G1164" s="3482" t="s">
        <v>3830</v>
      </c>
    </row>
    <row r="1165" spans="1:7">
      <c r="A1165" s="3536">
        <v>1164</v>
      </c>
      <c r="B1165" s="3481" t="s">
        <v>8293</v>
      </c>
      <c r="C1165" s="3481" t="s">
        <v>5318</v>
      </c>
      <c r="D1165" s="3482">
        <v>219.69</v>
      </c>
      <c r="E1165" s="3519">
        <f t="shared" si="18"/>
        <v>22707.560653648325</v>
      </c>
      <c r="F1165" s="3481">
        <v>4988624</v>
      </c>
      <c r="G1165" s="3482" t="s">
        <v>4232</v>
      </c>
    </row>
    <row r="1166" spans="1:7">
      <c r="A1166" s="3536">
        <v>1165</v>
      </c>
      <c r="B1166" s="3481" t="s">
        <v>4231</v>
      </c>
      <c r="C1166" s="3481" t="s">
        <v>3338</v>
      </c>
      <c r="D1166" s="3482">
        <v>18.38</v>
      </c>
      <c r="E1166" s="3519">
        <f t="shared" si="18"/>
        <v>3000</v>
      </c>
      <c r="F1166" s="3481">
        <v>55140</v>
      </c>
      <c r="G1166" s="3482" t="s">
        <v>4232</v>
      </c>
    </row>
    <row r="1167" spans="1:7">
      <c r="A1167" s="3536">
        <v>1166</v>
      </c>
      <c r="B1167" s="3481" t="s">
        <v>4235</v>
      </c>
      <c r="C1167" s="3481" t="s">
        <v>3338</v>
      </c>
      <c r="D1167" s="3482">
        <v>29.57</v>
      </c>
      <c r="E1167" s="3519">
        <f t="shared" si="18"/>
        <v>3000</v>
      </c>
      <c r="F1167" s="3481">
        <v>88710</v>
      </c>
      <c r="G1167" s="3482" t="s">
        <v>4234</v>
      </c>
    </row>
    <row r="1168" spans="1:7">
      <c r="A1168" s="3536">
        <v>1167</v>
      </c>
      <c r="B1168" s="3481" t="s">
        <v>3427</v>
      </c>
      <c r="C1168" s="3481" t="s">
        <v>3338</v>
      </c>
      <c r="D1168" s="3482">
        <v>192.21</v>
      </c>
      <c r="E1168" s="3519">
        <f t="shared" si="18"/>
        <v>13200.010405285884</v>
      </c>
      <c r="F1168" s="3481">
        <v>2537174</v>
      </c>
      <c r="G1168" s="3482" t="s">
        <v>3426</v>
      </c>
    </row>
    <row r="1169" spans="1:7">
      <c r="A1169" s="3536">
        <v>1168</v>
      </c>
      <c r="B1169" s="3481" t="s">
        <v>3831</v>
      </c>
      <c r="C1169" s="3481" t="s">
        <v>3338</v>
      </c>
      <c r="D1169" s="3482">
        <v>195.91</v>
      </c>
      <c r="E1169" s="3519">
        <f t="shared" si="18"/>
        <v>10321.030064825685</v>
      </c>
      <c r="F1169" s="3481">
        <v>2021993</v>
      </c>
      <c r="G1169" s="3482" t="s">
        <v>3830</v>
      </c>
    </row>
    <row r="1170" spans="1:7">
      <c r="A1170" s="3536">
        <v>1169</v>
      </c>
      <c r="B1170" s="3481" t="s">
        <v>8391</v>
      </c>
      <c r="C1170" s="3481" t="s">
        <v>3395</v>
      </c>
      <c r="D1170" s="3482">
        <v>83.88</v>
      </c>
      <c r="E1170" s="3519">
        <f t="shared" si="18"/>
        <v>33748.628993800667</v>
      </c>
      <c r="F1170" s="3481">
        <v>2830835</v>
      </c>
      <c r="G1170" s="3482" t="s">
        <v>4285</v>
      </c>
    </row>
    <row r="1171" spans="1:7">
      <c r="A1171" s="3536">
        <v>1170</v>
      </c>
      <c r="B1171" s="3481" t="s">
        <v>8364</v>
      </c>
      <c r="C1171" s="3481" t="s">
        <v>3395</v>
      </c>
      <c r="D1171" s="3482">
        <v>83.49</v>
      </c>
      <c r="E1171" s="3519">
        <f t="shared" si="18"/>
        <v>33076.943346508568</v>
      </c>
      <c r="F1171" s="3481">
        <v>2761594</v>
      </c>
      <c r="G1171" s="3482" t="s">
        <v>4277</v>
      </c>
    </row>
    <row r="1172" spans="1:7">
      <c r="A1172" s="3536">
        <v>1171</v>
      </c>
      <c r="B1172" s="3481" t="s">
        <v>8265</v>
      </c>
      <c r="C1172" s="3481" t="s">
        <v>3395</v>
      </c>
      <c r="D1172" s="3482">
        <v>83.88</v>
      </c>
      <c r="E1172" s="3519">
        <f t="shared" si="18"/>
        <v>33313.400095374345</v>
      </c>
      <c r="F1172" s="3481">
        <v>2794328</v>
      </c>
      <c r="G1172" s="3482" t="s">
        <v>8266</v>
      </c>
    </row>
    <row r="1173" spans="1:7">
      <c r="A1173" s="3536">
        <v>1172</v>
      </c>
      <c r="B1173" s="3481" t="s">
        <v>7952</v>
      </c>
      <c r="C1173" s="3481" t="s">
        <v>3395</v>
      </c>
      <c r="D1173" s="3482">
        <v>83.49</v>
      </c>
      <c r="E1173" s="3519">
        <f t="shared" si="18"/>
        <v>33631.309138819022</v>
      </c>
      <c r="F1173" s="3481">
        <v>2807878</v>
      </c>
      <c r="G1173" s="3482" t="s">
        <v>7951</v>
      </c>
    </row>
    <row r="1174" spans="1:7">
      <c r="A1174" s="3536">
        <v>1173</v>
      </c>
      <c r="B1174" s="3481" t="s">
        <v>8366</v>
      </c>
      <c r="C1174" s="3481" t="s">
        <v>3395</v>
      </c>
      <c r="D1174" s="3482">
        <v>83.88</v>
      </c>
      <c r="E1174" s="3519">
        <f t="shared" si="18"/>
        <v>34343.717215069148</v>
      </c>
      <c r="F1174" s="3481">
        <v>2880751</v>
      </c>
      <c r="G1174" s="3482" t="s">
        <v>8367</v>
      </c>
    </row>
    <row r="1175" spans="1:7">
      <c r="A1175" s="3536">
        <v>1174</v>
      </c>
      <c r="B1175" s="3481" t="s">
        <v>8089</v>
      </c>
      <c r="C1175" s="3481" t="s">
        <v>3395</v>
      </c>
      <c r="D1175" s="3482">
        <v>83.49</v>
      </c>
      <c r="E1175" s="3519">
        <f t="shared" si="18"/>
        <v>33311.270810875554</v>
      </c>
      <c r="F1175" s="3481">
        <v>2781158</v>
      </c>
      <c r="G1175" s="3482" t="s">
        <v>4123</v>
      </c>
    </row>
    <row r="1176" spans="1:7">
      <c r="A1176" s="3536">
        <v>1175</v>
      </c>
      <c r="B1176" s="3481" t="s">
        <v>8357</v>
      </c>
      <c r="C1176" s="3481" t="s">
        <v>3395</v>
      </c>
      <c r="D1176" s="3482">
        <v>74.180000000000007</v>
      </c>
      <c r="E1176" s="3519">
        <f t="shared" si="18"/>
        <v>34054.677810730653</v>
      </c>
      <c r="F1176" s="3481">
        <v>2526176</v>
      </c>
      <c r="G1176" s="3482" t="s">
        <v>4274</v>
      </c>
    </row>
    <row r="1177" spans="1:7">
      <c r="A1177" s="3536">
        <v>1176</v>
      </c>
      <c r="B1177" s="3481" t="s">
        <v>8226</v>
      </c>
      <c r="C1177" s="3481" t="s">
        <v>3395</v>
      </c>
      <c r="D1177" s="3482">
        <v>73.72</v>
      </c>
      <c r="E1177" s="3519">
        <f t="shared" si="18"/>
        <v>36204.6663049376</v>
      </c>
      <c r="F1177" s="3481">
        <v>2669008</v>
      </c>
      <c r="G1177" s="3482" t="s">
        <v>4191</v>
      </c>
    </row>
    <row r="1178" spans="1:7">
      <c r="A1178" s="3536">
        <v>1177</v>
      </c>
      <c r="B1178" s="3481" t="s">
        <v>8350</v>
      </c>
      <c r="C1178" s="3481" t="s">
        <v>5318</v>
      </c>
      <c r="D1178" s="3482">
        <v>192.74</v>
      </c>
      <c r="E1178" s="3519">
        <f t="shared" si="18"/>
        <v>26685.016083843519</v>
      </c>
      <c r="F1178" s="3481">
        <v>5143270</v>
      </c>
      <c r="G1178" s="3482" t="s">
        <v>4264</v>
      </c>
    </row>
    <row r="1179" spans="1:7">
      <c r="A1179" s="3536">
        <v>1178</v>
      </c>
      <c r="B1179" s="3481" t="s">
        <v>4266</v>
      </c>
      <c r="C1179" s="3481" t="s">
        <v>3338</v>
      </c>
      <c r="D1179" s="3482">
        <v>13.2</v>
      </c>
      <c r="E1179" s="3519">
        <f t="shared" si="18"/>
        <v>3002.2727272727275</v>
      </c>
      <c r="F1179" s="3481">
        <v>39630</v>
      </c>
      <c r="G1179" s="3482" t="s">
        <v>4264</v>
      </c>
    </row>
    <row r="1180" spans="1:7">
      <c r="A1180" s="3536">
        <v>1179</v>
      </c>
      <c r="B1180" s="3481" t="s">
        <v>7736</v>
      </c>
      <c r="C1180" s="3481" t="s">
        <v>5305</v>
      </c>
      <c r="D1180" s="3482">
        <v>73.010000000000005</v>
      </c>
      <c r="E1180" s="3519">
        <f t="shared" si="18"/>
        <v>37224.585673195448</v>
      </c>
      <c r="F1180" s="3481">
        <v>2717767</v>
      </c>
      <c r="G1180" s="3482" t="s">
        <v>3853</v>
      </c>
    </row>
    <row r="1181" spans="1:7">
      <c r="A1181" s="3536">
        <v>1180</v>
      </c>
      <c r="B1181" s="3481" t="s">
        <v>3852</v>
      </c>
      <c r="C1181" s="3481" t="s">
        <v>3338</v>
      </c>
      <c r="D1181" s="3482">
        <v>101.65</v>
      </c>
      <c r="E1181" s="3519">
        <f t="shared" si="18"/>
        <v>18005.312346286275</v>
      </c>
      <c r="F1181" s="3481">
        <v>1830240</v>
      </c>
      <c r="G1181" s="3482" t="s">
        <v>3853</v>
      </c>
    </row>
    <row r="1182" spans="1:7">
      <c r="A1182" s="3536">
        <v>1181</v>
      </c>
      <c r="B1182" s="3481" t="s">
        <v>6816</v>
      </c>
      <c r="C1182" s="3481" t="s">
        <v>5305</v>
      </c>
      <c r="D1182" s="3482">
        <v>73.010000000000005</v>
      </c>
      <c r="E1182" s="3519">
        <f t="shared" si="18"/>
        <v>37019.134365155456</v>
      </c>
      <c r="F1182" s="3481">
        <v>2702767</v>
      </c>
      <c r="G1182" s="3482" t="s">
        <v>3419</v>
      </c>
    </row>
    <row r="1183" spans="1:7">
      <c r="A1183" s="3536">
        <v>1182</v>
      </c>
      <c r="B1183" s="3481" t="s">
        <v>3420</v>
      </c>
      <c r="C1183" s="3481" t="s">
        <v>3338</v>
      </c>
      <c r="D1183" s="3482">
        <v>101.65</v>
      </c>
      <c r="E1183" s="3519">
        <f t="shared" si="18"/>
        <v>17995.474667978357</v>
      </c>
      <c r="F1183" s="3481">
        <v>1829240</v>
      </c>
      <c r="G1183" s="3482" t="s">
        <v>3419</v>
      </c>
    </row>
    <row r="1184" spans="1:7">
      <c r="A1184" s="3536">
        <v>1183</v>
      </c>
      <c r="B1184" s="3481" t="s">
        <v>8341</v>
      </c>
      <c r="C1184" s="3481" t="s">
        <v>5318</v>
      </c>
      <c r="D1184" s="3482">
        <v>192.74</v>
      </c>
      <c r="E1184" s="3519">
        <f t="shared" si="18"/>
        <v>24111.045968662445</v>
      </c>
      <c r="F1184" s="3481">
        <v>4647163</v>
      </c>
      <c r="G1184" s="3482" t="s">
        <v>4254</v>
      </c>
    </row>
    <row r="1185" spans="1:7">
      <c r="A1185" s="3536">
        <v>1184</v>
      </c>
      <c r="B1185" s="3481" t="s">
        <v>4256</v>
      </c>
      <c r="C1185" s="3481" t="s">
        <v>3338</v>
      </c>
      <c r="D1185" s="3482">
        <v>13.2</v>
      </c>
      <c r="E1185" s="3519">
        <f t="shared" si="18"/>
        <v>3002.2727272727275</v>
      </c>
      <c r="F1185" s="3481">
        <v>39630</v>
      </c>
      <c r="G1185" s="3482" t="s">
        <v>4254</v>
      </c>
    </row>
    <row r="1186" spans="1:7">
      <c r="A1186" s="3536">
        <v>1185</v>
      </c>
      <c r="B1186" s="3481" t="s">
        <v>4267</v>
      </c>
      <c r="C1186" s="3481" t="s">
        <v>3338</v>
      </c>
      <c r="D1186" s="3482">
        <v>55.67</v>
      </c>
      <c r="E1186" s="3519">
        <f t="shared" si="18"/>
        <v>3001.6166696604992</v>
      </c>
      <c r="F1186" s="3481">
        <v>167100</v>
      </c>
      <c r="G1186" s="3482" t="s">
        <v>4264</v>
      </c>
    </row>
    <row r="1187" spans="1:7">
      <c r="A1187" s="3536">
        <v>1186</v>
      </c>
      <c r="B1187" s="3481" t="s">
        <v>3854</v>
      </c>
      <c r="C1187" s="3481" t="s">
        <v>3338</v>
      </c>
      <c r="D1187" s="3482">
        <v>195.91</v>
      </c>
      <c r="E1187" s="3519">
        <f t="shared" si="18"/>
        <v>10474.161604818539</v>
      </c>
      <c r="F1187" s="3481">
        <v>2051993</v>
      </c>
      <c r="G1187" s="3482" t="s">
        <v>3853</v>
      </c>
    </row>
    <row r="1188" spans="1:7">
      <c r="A1188" s="3536">
        <v>1187</v>
      </c>
      <c r="B1188" s="3481" t="s">
        <v>3421</v>
      </c>
      <c r="C1188" s="3481" t="s">
        <v>3338</v>
      </c>
      <c r="D1188" s="3482">
        <v>195.91</v>
      </c>
      <c r="E1188" s="3519">
        <f t="shared" si="18"/>
        <v>10555.831759481394</v>
      </c>
      <c r="F1188" s="3481">
        <v>2067993</v>
      </c>
      <c r="G1188" s="3482" t="s">
        <v>3419</v>
      </c>
    </row>
    <row r="1189" spans="1:7">
      <c r="A1189" s="3536">
        <v>1188</v>
      </c>
      <c r="B1189" s="3481" t="s">
        <v>4257</v>
      </c>
      <c r="C1189" s="3481" t="s">
        <v>3338</v>
      </c>
      <c r="D1189" s="3482">
        <v>55.67</v>
      </c>
      <c r="E1189" s="3519">
        <f t="shared" si="18"/>
        <v>2103.4668582719596</v>
      </c>
      <c r="F1189" s="3481">
        <v>117100</v>
      </c>
      <c r="G1189" s="3482" t="s">
        <v>4254</v>
      </c>
    </row>
    <row r="1190" spans="1:7">
      <c r="A1190" s="3536">
        <v>1189</v>
      </c>
      <c r="B1190" s="3481" t="s">
        <v>8325</v>
      </c>
      <c r="C1190" s="3481" t="s">
        <v>3395</v>
      </c>
      <c r="D1190" s="3482">
        <v>83.49</v>
      </c>
      <c r="E1190" s="3519">
        <f t="shared" si="18"/>
        <v>32978.165049706557</v>
      </c>
      <c r="F1190" s="3481">
        <v>2753347</v>
      </c>
      <c r="G1190" s="3482" t="s">
        <v>4251</v>
      </c>
    </row>
    <row r="1191" spans="1:7">
      <c r="A1191" s="3536">
        <v>1190</v>
      </c>
      <c r="B1191" s="3481" t="s">
        <v>8326</v>
      </c>
      <c r="C1191" s="3481" t="s">
        <v>3395</v>
      </c>
      <c r="D1191" s="3482">
        <v>83.49</v>
      </c>
      <c r="E1191" s="3519">
        <f t="shared" si="18"/>
        <v>32978.165049706557</v>
      </c>
      <c r="F1191" s="3481">
        <v>2753347</v>
      </c>
      <c r="G1191" s="3482" t="s">
        <v>4251</v>
      </c>
    </row>
    <row r="1192" spans="1:7">
      <c r="A1192" s="3536">
        <v>1191</v>
      </c>
      <c r="B1192" s="3481" t="s">
        <v>8385</v>
      </c>
      <c r="C1192" s="3481" t="s">
        <v>3395</v>
      </c>
      <c r="D1192" s="3482">
        <v>83.49</v>
      </c>
      <c r="E1192" s="3519">
        <f t="shared" si="18"/>
        <v>33411.043238711223</v>
      </c>
      <c r="F1192" s="3481">
        <v>2789488</v>
      </c>
      <c r="G1192" s="3482" t="s">
        <v>8386</v>
      </c>
    </row>
    <row r="1193" spans="1:7">
      <c r="A1193" s="3536">
        <v>1192</v>
      </c>
      <c r="B1193" s="3481" t="s">
        <v>8197</v>
      </c>
      <c r="C1193" s="3481" t="s">
        <v>3395</v>
      </c>
      <c r="D1193" s="3482">
        <v>83.49</v>
      </c>
      <c r="E1193" s="3519">
        <f t="shared" si="18"/>
        <v>33987.627260749796</v>
      </c>
      <c r="F1193" s="3481">
        <v>2837627</v>
      </c>
      <c r="G1193" s="3482" t="s">
        <v>8195</v>
      </c>
    </row>
    <row r="1194" spans="1:7">
      <c r="A1194" s="3536">
        <v>1193</v>
      </c>
      <c r="B1194" s="3481" t="s">
        <v>8342</v>
      </c>
      <c r="C1194" s="3481" t="s">
        <v>3395</v>
      </c>
      <c r="D1194" s="3482">
        <v>83.49</v>
      </c>
      <c r="E1194" s="3519">
        <f t="shared" si="18"/>
        <v>32978.165049706557</v>
      </c>
      <c r="F1194" s="3481">
        <v>2753347</v>
      </c>
      <c r="G1194" s="3482" t="s">
        <v>4259</v>
      </c>
    </row>
    <row r="1195" spans="1:7">
      <c r="A1195" s="3536">
        <v>1194</v>
      </c>
      <c r="B1195" s="3481" t="s">
        <v>6853</v>
      </c>
      <c r="C1195" s="3481" t="s">
        <v>3395</v>
      </c>
      <c r="D1195" s="3482">
        <v>83.49</v>
      </c>
      <c r="E1195" s="3519">
        <f t="shared" si="18"/>
        <v>27578.45250928255</v>
      </c>
      <c r="F1195" s="3481">
        <v>2302525</v>
      </c>
      <c r="G1195" s="3482" t="s">
        <v>6854</v>
      </c>
    </row>
    <row r="1196" spans="1:7">
      <c r="A1196" s="3536">
        <v>1195</v>
      </c>
      <c r="B1196" s="3481" t="s">
        <v>8384</v>
      </c>
      <c r="C1196" s="3481" t="s">
        <v>3395</v>
      </c>
      <c r="D1196" s="3482">
        <v>73.72</v>
      </c>
      <c r="E1196" s="3519">
        <f t="shared" si="18"/>
        <v>34756.483993488881</v>
      </c>
      <c r="F1196" s="3481">
        <v>2562248</v>
      </c>
      <c r="G1196" s="3482" t="s">
        <v>8379</v>
      </c>
    </row>
    <row r="1197" spans="1:7">
      <c r="A1197" s="3536">
        <v>1196</v>
      </c>
      <c r="B1197" s="3481" t="s">
        <v>8324</v>
      </c>
      <c r="C1197" s="3481" t="s">
        <v>3395</v>
      </c>
      <c r="D1197" s="3482">
        <v>73.72</v>
      </c>
      <c r="E1197" s="3519">
        <f t="shared" si="18"/>
        <v>34756.483993488881</v>
      </c>
      <c r="F1197" s="3481">
        <v>2562248</v>
      </c>
      <c r="G1197" s="3482" t="s">
        <v>8322</v>
      </c>
    </row>
    <row r="1198" spans="1:7">
      <c r="A1198" s="3536">
        <v>1197</v>
      </c>
      <c r="B1198" s="3481" t="s">
        <v>8351</v>
      </c>
      <c r="C1198" s="3481" t="s">
        <v>5318</v>
      </c>
      <c r="D1198" s="3482">
        <v>178.2</v>
      </c>
      <c r="E1198" s="3519">
        <f t="shared" si="18"/>
        <v>27112.149270482605</v>
      </c>
      <c r="F1198" s="3481">
        <v>4831385</v>
      </c>
      <c r="G1198" s="3482" t="s">
        <v>4264</v>
      </c>
    </row>
    <row r="1199" spans="1:7">
      <c r="A1199" s="3536">
        <v>1198</v>
      </c>
      <c r="B1199" s="3481" t="s">
        <v>4268</v>
      </c>
      <c r="C1199" s="3481" t="s">
        <v>3338</v>
      </c>
      <c r="D1199" s="3482">
        <v>26.45</v>
      </c>
      <c r="E1199" s="3519">
        <f t="shared" si="18"/>
        <v>3000</v>
      </c>
      <c r="F1199" s="3481">
        <v>79350</v>
      </c>
      <c r="G1199" s="3482" t="s">
        <v>4264</v>
      </c>
    </row>
    <row r="1200" spans="1:7">
      <c r="A1200" s="3536">
        <v>1199</v>
      </c>
      <c r="B1200" s="3481" t="s">
        <v>7815</v>
      </c>
      <c r="C1200" s="3481" t="s">
        <v>5305</v>
      </c>
      <c r="D1200" s="3482">
        <v>73.400000000000006</v>
      </c>
      <c r="E1200" s="3519">
        <f t="shared" si="18"/>
        <v>37219.61852861035</v>
      </c>
      <c r="F1200" s="3481">
        <v>2731920</v>
      </c>
      <c r="G1200" s="3482" t="s">
        <v>3930</v>
      </c>
    </row>
    <row r="1201" spans="1:7">
      <c r="A1201" s="3536">
        <v>1200</v>
      </c>
      <c r="B1201" s="3481" t="s">
        <v>3934</v>
      </c>
      <c r="C1201" s="3481" t="s">
        <v>3338</v>
      </c>
      <c r="D1201" s="3482">
        <v>103.11</v>
      </c>
      <c r="E1201" s="3519">
        <f t="shared" si="18"/>
        <v>18005.237125400057</v>
      </c>
      <c r="F1201" s="3481">
        <v>1856520</v>
      </c>
      <c r="G1201" s="3482" t="s">
        <v>3930</v>
      </c>
    </row>
    <row r="1202" spans="1:7">
      <c r="A1202" s="3536">
        <v>1201</v>
      </c>
      <c r="B1202" s="3481" t="s">
        <v>8344</v>
      </c>
      <c r="C1202" s="3481" t="s">
        <v>5318</v>
      </c>
      <c r="D1202" s="3482">
        <v>179.4</v>
      </c>
      <c r="E1202" s="3519">
        <f t="shared" si="18"/>
        <v>27994.437012263097</v>
      </c>
      <c r="F1202" s="3481">
        <v>5022202</v>
      </c>
      <c r="G1202" s="3482" t="s">
        <v>4259</v>
      </c>
    </row>
    <row r="1203" spans="1:7">
      <c r="A1203" s="3536">
        <v>1202</v>
      </c>
      <c r="B1203" s="3481" t="s">
        <v>4261</v>
      </c>
      <c r="C1203" s="3481" t="s">
        <v>3338</v>
      </c>
      <c r="D1203" s="3482">
        <v>26.61</v>
      </c>
      <c r="E1203" s="3519">
        <f t="shared" si="18"/>
        <v>3000</v>
      </c>
      <c r="F1203" s="3481">
        <v>79830</v>
      </c>
      <c r="G1203" s="3482" t="s">
        <v>4259</v>
      </c>
    </row>
    <row r="1204" spans="1:7">
      <c r="A1204" s="3536">
        <v>1203</v>
      </c>
      <c r="B1204" s="3481" t="s">
        <v>4269</v>
      </c>
      <c r="C1204" s="3481" t="s">
        <v>3338</v>
      </c>
      <c r="D1204" s="3482">
        <v>29.57</v>
      </c>
      <c r="E1204" s="3519">
        <f t="shared" si="18"/>
        <v>3000</v>
      </c>
      <c r="F1204" s="3481">
        <v>88710</v>
      </c>
      <c r="G1204" s="3482" t="s">
        <v>4264</v>
      </c>
    </row>
    <row r="1205" spans="1:7">
      <c r="A1205" s="3536">
        <v>1204</v>
      </c>
      <c r="B1205" s="3481" t="s">
        <v>3935</v>
      </c>
      <c r="C1205" s="3481" t="s">
        <v>3338</v>
      </c>
      <c r="D1205" s="3482">
        <v>197.37</v>
      </c>
      <c r="E1205" s="3519">
        <f t="shared" si="18"/>
        <v>10951.816385468916</v>
      </c>
      <c r="F1205" s="3481">
        <v>2161560</v>
      </c>
      <c r="G1205" s="3482" t="s">
        <v>3930</v>
      </c>
    </row>
    <row r="1206" spans="1:7">
      <c r="A1206" s="3536">
        <v>1205</v>
      </c>
      <c r="B1206" s="3481" t="s">
        <v>4262</v>
      </c>
      <c r="C1206" s="3481" t="s">
        <v>3338</v>
      </c>
      <c r="D1206" s="3482">
        <v>29.57</v>
      </c>
      <c r="E1206" s="3519">
        <f t="shared" si="18"/>
        <v>3000</v>
      </c>
      <c r="F1206" s="3481">
        <v>88710</v>
      </c>
      <c r="G1206" s="3482" t="s">
        <v>4259</v>
      </c>
    </row>
    <row r="1207" spans="1:7">
      <c r="A1207" s="3536">
        <v>1206</v>
      </c>
      <c r="B1207" s="3481" t="s">
        <v>8339</v>
      </c>
      <c r="C1207" s="3481" t="s">
        <v>3395</v>
      </c>
      <c r="D1207" s="3482">
        <v>83.49</v>
      </c>
      <c r="E1207" s="3519">
        <f t="shared" si="18"/>
        <v>33311.270810875554</v>
      </c>
      <c r="F1207" s="3481">
        <v>2781158</v>
      </c>
      <c r="G1207" s="3482" t="s">
        <v>4254</v>
      </c>
    </row>
    <row r="1208" spans="1:7">
      <c r="A1208" s="3536">
        <v>1207</v>
      </c>
      <c r="B1208" s="3481" t="s">
        <v>8393</v>
      </c>
      <c r="C1208" s="3481" t="s">
        <v>3395</v>
      </c>
      <c r="D1208" s="3482">
        <v>83.88</v>
      </c>
      <c r="E1208" s="3519">
        <f t="shared" si="18"/>
        <v>33411.146876490224</v>
      </c>
      <c r="F1208" s="3481">
        <v>2802527</v>
      </c>
      <c r="G1208" s="3482" t="s">
        <v>8394</v>
      </c>
    </row>
    <row r="1209" spans="1:7">
      <c r="A1209" s="3536">
        <v>1208</v>
      </c>
      <c r="B1209" s="3481" t="s">
        <v>7024</v>
      </c>
      <c r="C1209" s="3481" t="s">
        <v>3395</v>
      </c>
      <c r="D1209" s="3482">
        <v>83.49</v>
      </c>
      <c r="E1209" s="3519">
        <f t="shared" si="18"/>
        <v>29344.831716373221</v>
      </c>
      <c r="F1209" s="3481">
        <v>2450000</v>
      </c>
      <c r="G1209" s="3482" t="s">
        <v>7025</v>
      </c>
    </row>
    <row r="1210" spans="1:7">
      <c r="A1210" s="3536">
        <v>1209</v>
      </c>
      <c r="B1210" s="3481" t="s">
        <v>8358</v>
      </c>
      <c r="C1210" s="3481" t="s">
        <v>3395</v>
      </c>
      <c r="D1210" s="3482">
        <v>83.88</v>
      </c>
      <c r="E1210" s="3519">
        <f t="shared" si="18"/>
        <v>33313.400095374345</v>
      </c>
      <c r="F1210" s="3481">
        <v>2794328</v>
      </c>
      <c r="G1210" s="3482" t="s">
        <v>8359</v>
      </c>
    </row>
    <row r="1211" spans="1:7">
      <c r="A1211" s="3536">
        <v>1210</v>
      </c>
      <c r="B1211" s="3481" t="s">
        <v>8306</v>
      </c>
      <c r="C1211" s="3481" t="s">
        <v>3395</v>
      </c>
      <c r="D1211" s="3482">
        <v>83.49</v>
      </c>
      <c r="E1211" s="3519">
        <f t="shared" si="18"/>
        <v>32978.165049706557</v>
      </c>
      <c r="F1211" s="3481">
        <v>2753347</v>
      </c>
      <c r="G1211" s="3482" t="s">
        <v>8307</v>
      </c>
    </row>
    <row r="1212" spans="1:7">
      <c r="A1212" s="3536">
        <v>1211</v>
      </c>
      <c r="B1212" s="3481" t="s">
        <v>8387</v>
      </c>
      <c r="C1212" s="3481" t="s">
        <v>3395</v>
      </c>
      <c r="D1212" s="3482">
        <v>83.88</v>
      </c>
      <c r="E1212" s="3519">
        <f t="shared" si="18"/>
        <v>33748.628993800667</v>
      </c>
      <c r="F1212" s="3481">
        <v>2830835</v>
      </c>
      <c r="G1212" s="3482" t="s">
        <v>8386</v>
      </c>
    </row>
    <row r="1213" spans="1:7">
      <c r="A1213" s="3536">
        <v>1212</v>
      </c>
      <c r="B1213" s="3481" t="s">
        <v>8343</v>
      </c>
      <c r="C1213" s="3481" t="s">
        <v>3395</v>
      </c>
      <c r="D1213" s="3482">
        <v>73.72</v>
      </c>
      <c r="E1213" s="3519">
        <f t="shared" si="18"/>
        <v>35473.263700488336</v>
      </c>
      <c r="F1213" s="3481">
        <v>2615089</v>
      </c>
      <c r="G1213" s="3482" t="s">
        <v>4259</v>
      </c>
    </row>
    <row r="1214" spans="1:7">
      <c r="A1214" s="3536">
        <v>1213</v>
      </c>
      <c r="B1214" s="3481" t="s">
        <v>8368</v>
      </c>
      <c r="C1214" s="3481" t="s">
        <v>3395</v>
      </c>
      <c r="D1214" s="3482">
        <v>74.180000000000007</v>
      </c>
      <c r="E1214" s="3519">
        <f t="shared" si="18"/>
        <v>35107.913184146666</v>
      </c>
      <c r="F1214" s="3481">
        <v>2604305</v>
      </c>
      <c r="G1214" s="3482" t="s">
        <v>8367</v>
      </c>
    </row>
    <row r="1215" spans="1:7">
      <c r="A1215" s="3536">
        <v>1214</v>
      </c>
      <c r="B1215" s="3481" t="s">
        <v>7796</v>
      </c>
      <c r="C1215" s="3481" t="s">
        <v>5318</v>
      </c>
      <c r="D1215" s="3482">
        <v>192.79</v>
      </c>
      <c r="E1215" s="3519">
        <f t="shared" si="18"/>
        <v>25684.112246485816</v>
      </c>
      <c r="F1215" s="3481">
        <v>4951640</v>
      </c>
      <c r="G1215" s="3482" t="s">
        <v>3907</v>
      </c>
    </row>
    <row r="1216" spans="1:7">
      <c r="A1216" s="3536">
        <v>1215</v>
      </c>
      <c r="B1216" s="3481" t="s">
        <v>3911</v>
      </c>
      <c r="C1216" s="3481" t="s">
        <v>3338</v>
      </c>
      <c r="D1216" s="3482">
        <v>12.68</v>
      </c>
      <c r="E1216" s="3519">
        <f t="shared" si="18"/>
        <v>2988.1703470031548</v>
      </c>
      <c r="F1216" s="3481">
        <v>37890</v>
      </c>
      <c r="G1216" s="3482" t="s">
        <v>3907</v>
      </c>
    </row>
    <row r="1217" spans="1:7">
      <c r="A1217" s="3536">
        <v>1216</v>
      </c>
      <c r="B1217" s="3481" t="s">
        <v>3912</v>
      </c>
      <c r="C1217" s="3481" t="s">
        <v>3338</v>
      </c>
      <c r="D1217" s="3482">
        <v>53.65</v>
      </c>
      <c r="E1217" s="3519">
        <f t="shared" si="18"/>
        <v>2991.0531220876051</v>
      </c>
      <c r="F1217" s="3481">
        <v>160470</v>
      </c>
      <c r="G1217" s="3482" t="s">
        <v>3907</v>
      </c>
    </row>
    <row r="1218" spans="1:7">
      <c r="A1218" s="3536">
        <v>1217</v>
      </c>
      <c r="B1218" s="3481" t="s">
        <v>7424</v>
      </c>
      <c r="C1218" s="3481" t="s">
        <v>3395</v>
      </c>
      <c r="D1218" s="3482">
        <v>83.91</v>
      </c>
      <c r="E1218" s="3519">
        <f t="shared" si="18"/>
        <v>32773.209391014185</v>
      </c>
      <c r="F1218" s="3481">
        <v>2750000</v>
      </c>
      <c r="G1218" s="3482" t="s">
        <v>7423</v>
      </c>
    </row>
    <row r="1219" spans="1:7">
      <c r="A1219" s="3536">
        <v>1218</v>
      </c>
      <c r="B1219" s="3481" t="s">
        <v>7889</v>
      </c>
      <c r="C1219" s="3481" t="s">
        <v>3395</v>
      </c>
      <c r="D1219" s="3482">
        <v>83.53</v>
      </c>
      <c r="E1219" s="3519">
        <f t="shared" ref="E1219:E1282" si="19">F1219/D1219</f>
        <v>33042.020830839218</v>
      </c>
      <c r="F1219" s="3481">
        <v>2760000</v>
      </c>
      <c r="G1219" s="3482" t="s">
        <v>3968</v>
      </c>
    </row>
    <row r="1220" spans="1:7">
      <c r="A1220" s="3536">
        <v>1219</v>
      </c>
      <c r="B1220" s="3481" t="s">
        <v>6872</v>
      </c>
      <c r="C1220" s="3481" t="s">
        <v>3395</v>
      </c>
      <c r="D1220" s="3482">
        <v>83.91</v>
      </c>
      <c r="E1220" s="3519">
        <f t="shared" si="19"/>
        <v>28661.661303777859</v>
      </c>
      <c r="F1220" s="3481">
        <v>2405000</v>
      </c>
      <c r="G1220" s="3482" t="s">
        <v>6870</v>
      </c>
    </row>
    <row r="1221" spans="1:7">
      <c r="A1221" s="3536">
        <v>1220</v>
      </c>
      <c r="B1221" s="3481" t="s">
        <v>6849</v>
      </c>
      <c r="C1221" s="3481" t="s">
        <v>3395</v>
      </c>
      <c r="D1221" s="3482">
        <v>83.53</v>
      </c>
      <c r="E1221" s="3519">
        <f t="shared" si="19"/>
        <v>28911.768226984317</v>
      </c>
      <c r="F1221" s="3481">
        <v>2415000</v>
      </c>
      <c r="G1221" s="3482" t="s">
        <v>6850</v>
      </c>
    </row>
    <row r="1222" spans="1:7">
      <c r="A1222" s="3536">
        <v>1221</v>
      </c>
      <c r="B1222" s="3481" t="s">
        <v>6858</v>
      </c>
      <c r="C1222" s="3481" t="s">
        <v>3395</v>
      </c>
      <c r="D1222" s="3482">
        <v>83.91</v>
      </c>
      <c r="E1222" s="3519">
        <f t="shared" si="19"/>
        <v>27673.948277916817</v>
      </c>
      <c r="F1222" s="3481">
        <v>2322121</v>
      </c>
      <c r="G1222" s="3482" t="s">
        <v>6859</v>
      </c>
    </row>
    <row r="1223" spans="1:7">
      <c r="A1223" s="3536">
        <v>1222</v>
      </c>
      <c r="B1223" s="3481" t="s">
        <v>7805</v>
      </c>
      <c r="C1223" s="3481" t="s">
        <v>3395</v>
      </c>
      <c r="D1223" s="3482">
        <v>83.53</v>
      </c>
      <c r="E1223" s="3519">
        <f t="shared" si="19"/>
        <v>33760.325631509637</v>
      </c>
      <c r="F1223" s="3481">
        <v>2820000</v>
      </c>
      <c r="G1223" s="3482" t="s">
        <v>3919</v>
      </c>
    </row>
    <row r="1224" spans="1:7">
      <c r="A1224" s="3536">
        <v>1223</v>
      </c>
      <c r="B1224" s="3481" t="s">
        <v>8124</v>
      </c>
      <c r="C1224" s="3481" t="s">
        <v>3395</v>
      </c>
      <c r="D1224" s="3482">
        <v>74.209999999999994</v>
      </c>
      <c r="E1224" s="3519">
        <f t="shared" si="19"/>
        <v>35462.565691955264</v>
      </c>
      <c r="F1224" s="3481">
        <v>2631677</v>
      </c>
      <c r="G1224" s="3482" t="s">
        <v>8125</v>
      </c>
    </row>
    <row r="1225" spans="1:7">
      <c r="A1225" s="3536">
        <v>1224</v>
      </c>
      <c r="B1225" s="3481" t="s">
        <v>8126</v>
      </c>
      <c r="C1225" s="3481" t="s">
        <v>3395</v>
      </c>
      <c r="D1225" s="3482">
        <v>73.75</v>
      </c>
      <c r="E1225" s="3519">
        <f t="shared" si="19"/>
        <v>35831.606779661015</v>
      </c>
      <c r="F1225" s="3481">
        <v>2642581</v>
      </c>
      <c r="G1225" s="3482" t="s">
        <v>8127</v>
      </c>
    </row>
    <row r="1226" spans="1:7">
      <c r="A1226" s="3536">
        <v>1225</v>
      </c>
      <c r="B1226" s="3481" t="s">
        <v>7770</v>
      </c>
      <c r="C1226" s="3481" t="s">
        <v>5318</v>
      </c>
      <c r="D1226" s="3482">
        <v>179.5</v>
      </c>
      <c r="E1226" s="3519">
        <f t="shared" si="19"/>
        <v>27772.590529247911</v>
      </c>
      <c r="F1226" s="3481">
        <v>4985180</v>
      </c>
      <c r="G1226" s="3482" t="s">
        <v>3888</v>
      </c>
    </row>
    <row r="1227" spans="1:7">
      <c r="A1227" s="3536">
        <v>1226</v>
      </c>
      <c r="B1227" s="3481" t="s">
        <v>3887</v>
      </c>
      <c r="C1227" s="3481" t="s">
        <v>3338</v>
      </c>
      <c r="D1227" s="3482">
        <v>26.48</v>
      </c>
      <c r="E1227" s="3519">
        <f t="shared" si="19"/>
        <v>2994.3353474320243</v>
      </c>
      <c r="F1227" s="3481">
        <v>79290</v>
      </c>
      <c r="G1227" s="3482" t="s">
        <v>3888</v>
      </c>
    </row>
    <row r="1228" spans="1:7">
      <c r="A1228" s="3536">
        <v>1227</v>
      </c>
      <c r="B1228" s="3481" t="s">
        <v>3889</v>
      </c>
      <c r="C1228" s="3481" t="s">
        <v>3338</v>
      </c>
      <c r="D1228" s="3482">
        <v>28.6</v>
      </c>
      <c r="E1228" s="3519">
        <f t="shared" si="19"/>
        <v>2990.5594405594402</v>
      </c>
      <c r="F1228" s="3481">
        <v>85530</v>
      </c>
      <c r="G1228" s="3482" t="s">
        <v>3888</v>
      </c>
    </row>
    <row r="1229" spans="1:7">
      <c r="A1229" s="3536">
        <v>1228</v>
      </c>
      <c r="B1229" s="3481" t="s">
        <v>7890</v>
      </c>
      <c r="C1229" s="3481" t="s">
        <v>3395</v>
      </c>
      <c r="D1229" s="3482">
        <v>83.53</v>
      </c>
      <c r="E1229" s="3519">
        <f t="shared" si="19"/>
        <v>33042.020830839218</v>
      </c>
      <c r="F1229" s="3481">
        <v>2760000</v>
      </c>
      <c r="G1229" s="3482" t="s">
        <v>3968</v>
      </c>
    </row>
    <row r="1230" spans="1:7">
      <c r="A1230" s="3536">
        <v>1229</v>
      </c>
      <c r="B1230" s="3481" t="s">
        <v>7862</v>
      </c>
      <c r="C1230" s="3481" t="s">
        <v>3395</v>
      </c>
      <c r="D1230" s="3482">
        <v>83.53</v>
      </c>
      <c r="E1230" s="3519">
        <f t="shared" si="19"/>
        <v>33268.777684664194</v>
      </c>
      <c r="F1230" s="3481">
        <v>2778941</v>
      </c>
      <c r="G1230" s="3482" t="s">
        <v>7863</v>
      </c>
    </row>
    <row r="1231" spans="1:7">
      <c r="A1231" s="3536">
        <v>1230</v>
      </c>
      <c r="B1231" s="3481" t="s">
        <v>6836</v>
      </c>
      <c r="C1231" s="3481" t="s">
        <v>3395</v>
      </c>
      <c r="D1231" s="3482">
        <v>83.48</v>
      </c>
      <c r="E1231" s="3519">
        <f t="shared" si="19"/>
        <v>29140.009583133684</v>
      </c>
      <c r="F1231" s="3481">
        <v>2432608</v>
      </c>
      <c r="G1231" s="3482" t="s">
        <v>3426</v>
      </c>
    </row>
    <row r="1232" spans="1:7">
      <c r="A1232" s="3536">
        <v>1231</v>
      </c>
      <c r="B1232" s="3481" t="s">
        <v>7409</v>
      </c>
      <c r="C1232" s="3481" t="s">
        <v>3395</v>
      </c>
      <c r="D1232" s="3482">
        <v>83.53</v>
      </c>
      <c r="E1232" s="3519">
        <f t="shared" si="19"/>
        <v>33615.1801747875</v>
      </c>
      <c r="F1232" s="3481">
        <v>2807876</v>
      </c>
      <c r="G1232" s="3482" t="s">
        <v>7410</v>
      </c>
    </row>
    <row r="1233" spans="1:7">
      <c r="A1233" s="3536">
        <v>1232</v>
      </c>
      <c r="B1233" s="3481" t="s">
        <v>6837</v>
      </c>
      <c r="C1233" s="3481" t="s">
        <v>3395</v>
      </c>
      <c r="D1233" s="3482">
        <v>83.53</v>
      </c>
      <c r="E1233" s="3519">
        <f t="shared" si="19"/>
        <v>27774.452292589489</v>
      </c>
      <c r="F1233" s="3481">
        <v>2320000</v>
      </c>
      <c r="G1233" s="3482" t="s">
        <v>3426</v>
      </c>
    </row>
    <row r="1234" spans="1:7">
      <c r="A1234" s="3536">
        <v>1233</v>
      </c>
      <c r="B1234" s="3481" t="s">
        <v>6838</v>
      </c>
      <c r="C1234" s="3481" t="s">
        <v>3395</v>
      </c>
      <c r="D1234" s="3482">
        <v>83.53</v>
      </c>
      <c r="E1234" s="3519">
        <f t="shared" si="19"/>
        <v>27774.452292589489</v>
      </c>
      <c r="F1234" s="3481">
        <v>2320000</v>
      </c>
      <c r="G1234" s="3482" t="s">
        <v>3426</v>
      </c>
    </row>
    <row r="1235" spans="1:7">
      <c r="A1235" s="3536">
        <v>1234</v>
      </c>
      <c r="B1235" s="3481" t="s">
        <v>8116</v>
      </c>
      <c r="C1235" s="3481" t="s">
        <v>3395</v>
      </c>
      <c r="D1235" s="3482">
        <v>73.75</v>
      </c>
      <c r="E1235" s="3519">
        <f t="shared" si="19"/>
        <v>35107.579661016949</v>
      </c>
      <c r="F1235" s="3481">
        <v>2589184</v>
      </c>
      <c r="G1235" s="3482" t="s">
        <v>4153</v>
      </c>
    </row>
    <row r="1236" spans="1:7">
      <c r="A1236" s="3536">
        <v>1235</v>
      </c>
      <c r="B1236" s="3481" t="s">
        <v>8118</v>
      </c>
      <c r="C1236" s="3481" t="s">
        <v>3395</v>
      </c>
      <c r="D1236" s="3482">
        <v>73.75</v>
      </c>
      <c r="E1236" s="3519">
        <f t="shared" si="19"/>
        <v>35473.288135593219</v>
      </c>
      <c r="F1236" s="3481">
        <v>2616155</v>
      </c>
      <c r="G1236" s="3482" t="s">
        <v>8119</v>
      </c>
    </row>
    <row r="1237" spans="1:7">
      <c r="A1237" s="3536">
        <v>1236</v>
      </c>
      <c r="B1237" s="3481" t="s">
        <v>7666</v>
      </c>
      <c r="C1237" s="3481" t="s">
        <v>5318</v>
      </c>
      <c r="D1237" s="3482">
        <v>193.26</v>
      </c>
      <c r="E1237" s="3519">
        <f t="shared" si="19"/>
        <v>25717.934388906138</v>
      </c>
      <c r="F1237" s="3481">
        <v>4970248</v>
      </c>
      <c r="G1237" s="3482" t="s">
        <v>3788</v>
      </c>
    </row>
    <row r="1238" spans="1:7">
      <c r="A1238" s="3536">
        <v>1237</v>
      </c>
      <c r="B1238" s="3481" t="s">
        <v>3787</v>
      </c>
      <c r="C1238" s="3481" t="s">
        <v>3338</v>
      </c>
      <c r="D1238" s="3482">
        <v>12.68</v>
      </c>
      <c r="E1238" s="3519">
        <f t="shared" si="19"/>
        <v>10214.747634069401</v>
      </c>
      <c r="F1238" s="3481">
        <v>129523</v>
      </c>
      <c r="G1238" s="3482" t="s">
        <v>3788</v>
      </c>
    </row>
    <row r="1239" spans="1:7">
      <c r="A1239" s="3536">
        <v>1238</v>
      </c>
      <c r="B1239" s="3481" t="s">
        <v>7552</v>
      </c>
      <c r="C1239" s="3481" t="s">
        <v>5318</v>
      </c>
      <c r="D1239" s="3482">
        <v>192.79</v>
      </c>
      <c r="E1239" s="3519">
        <f t="shared" si="19"/>
        <v>25733.124124695267</v>
      </c>
      <c r="F1239" s="3481">
        <v>4961089</v>
      </c>
      <c r="G1239" s="3482" t="s">
        <v>3665</v>
      </c>
    </row>
    <row r="1240" spans="1:7">
      <c r="A1240" s="3536">
        <v>1239</v>
      </c>
      <c r="B1240" s="3481" t="s">
        <v>3664</v>
      </c>
      <c r="C1240" s="3481" t="s">
        <v>3338</v>
      </c>
      <c r="D1240" s="3482">
        <v>12.68</v>
      </c>
      <c r="E1240" s="3519">
        <f t="shared" si="19"/>
        <v>8687.2239747634067</v>
      </c>
      <c r="F1240" s="3481">
        <v>110154</v>
      </c>
      <c r="G1240" s="3482" t="s">
        <v>3665</v>
      </c>
    </row>
    <row r="1241" spans="1:7">
      <c r="A1241" s="3536">
        <v>1240</v>
      </c>
      <c r="B1241" s="3481" t="s">
        <v>3789</v>
      </c>
      <c r="C1241" s="3481" t="s">
        <v>3338</v>
      </c>
      <c r="D1241" s="3482">
        <v>55.31</v>
      </c>
      <c r="E1241" s="3519">
        <f t="shared" si="19"/>
        <v>2341.7645995299222</v>
      </c>
      <c r="F1241" s="3481">
        <v>129523</v>
      </c>
      <c r="G1241" s="3482" t="s">
        <v>3788</v>
      </c>
    </row>
    <row r="1242" spans="1:7">
      <c r="A1242" s="3536">
        <v>1241</v>
      </c>
      <c r="B1242" s="3481" t="s">
        <v>3666</v>
      </c>
      <c r="C1242" s="3481" t="s">
        <v>3338</v>
      </c>
      <c r="D1242" s="3482">
        <v>53.65</v>
      </c>
      <c r="E1242" s="3519">
        <f t="shared" si="19"/>
        <v>2053.196644920783</v>
      </c>
      <c r="F1242" s="3481">
        <v>110154</v>
      </c>
      <c r="G1242" s="3482" t="s">
        <v>3665</v>
      </c>
    </row>
    <row r="1243" spans="1:7">
      <c r="A1243" s="3536">
        <v>1242</v>
      </c>
      <c r="B1243" s="3481" t="s">
        <v>7841</v>
      </c>
      <c r="C1243" s="3481" t="s">
        <v>3395</v>
      </c>
      <c r="D1243" s="3482">
        <v>83.53</v>
      </c>
      <c r="E1243" s="3519">
        <f t="shared" si="19"/>
        <v>33268.777684664194</v>
      </c>
      <c r="F1243" s="3481">
        <v>2778941</v>
      </c>
      <c r="G1243" s="3482" t="s">
        <v>3946</v>
      </c>
    </row>
    <row r="1244" spans="1:7">
      <c r="A1244" s="3536">
        <v>1243</v>
      </c>
      <c r="B1244" s="3481" t="s">
        <v>7809</v>
      </c>
      <c r="C1244" s="3481" t="s">
        <v>3395</v>
      </c>
      <c r="D1244" s="3482">
        <v>83.53</v>
      </c>
      <c r="E1244" s="3519">
        <f t="shared" si="19"/>
        <v>33954.734825811087</v>
      </c>
      <c r="F1244" s="3481">
        <v>2836239</v>
      </c>
      <c r="G1244" s="3482" t="s">
        <v>3924</v>
      </c>
    </row>
    <row r="1245" spans="1:7">
      <c r="A1245" s="3536">
        <v>1244</v>
      </c>
      <c r="B1245" s="3481" t="s">
        <v>6846</v>
      </c>
      <c r="C1245" s="3481" t="s">
        <v>3395</v>
      </c>
      <c r="D1245" s="3482">
        <v>83.53</v>
      </c>
      <c r="E1245" s="3519">
        <f t="shared" si="19"/>
        <v>29929.366694600743</v>
      </c>
      <c r="F1245" s="3481">
        <v>2500000</v>
      </c>
      <c r="G1245" s="3482" t="s">
        <v>6845</v>
      </c>
    </row>
    <row r="1246" spans="1:7">
      <c r="A1246" s="3536">
        <v>1245</v>
      </c>
      <c r="B1246" s="3481" t="s">
        <v>6847</v>
      </c>
      <c r="C1246" s="3481" t="s">
        <v>3395</v>
      </c>
      <c r="D1246" s="3482">
        <v>83.53</v>
      </c>
      <c r="E1246" s="3519">
        <f t="shared" si="19"/>
        <v>29929.366694600743</v>
      </c>
      <c r="F1246" s="3481">
        <v>2500000</v>
      </c>
      <c r="G1246" s="3482" t="s">
        <v>6845</v>
      </c>
    </row>
    <row r="1247" spans="1:7">
      <c r="A1247" s="3536">
        <v>1246</v>
      </c>
      <c r="B1247" s="3481" t="s">
        <v>7853</v>
      </c>
      <c r="C1247" s="3481" t="s">
        <v>3395</v>
      </c>
      <c r="D1247" s="3482">
        <v>83.53</v>
      </c>
      <c r="E1247" s="3519">
        <f t="shared" si="19"/>
        <v>33042.020830839218</v>
      </c>
      <c r="F1247" s="3481">
        <v>2760000</v>
      </c>
      <c r="G1247" s="3482" t="s">
        <v>3960</v>
      </c>
    </row>
    <row r="1248" spans="1:7">
      <c r="A1248" s="3536">
        <v>1247</v>
      </c>
      <c r="B1248" s="3481" t="s">
        <v>7854</v>
      </c>
      <c r="C1248" s="3481" t="s">
        <v>3395</v>
      </c>
      <c r="D1248" s="3482">
        <v>83.53</v>
      </c>
      <c r="E1248" s="3519">
        <f t="shared" si="19"/>
        <v>33042.020830839218</v>
      </c>
      <c r="F1248" s="3481">
        <v>2760000</v>
      </c>
      <c r="G1248" s="3482" t="s">
        <v>3960</v>
      </c>
    </row>
    <row r="1249" spans="1:7">
      <c r="A1249" s="3536">
        <v>1248</v>
      </c>
      <c r="B1249" s="3481" t="s">
        <v>8110</v>
      </c>
      <c r="C1249" s="3481" t="s">
        <v>3395</v>
      </c>
      <c r="D1249" s="3482">
        <v>73.75</v>
      </c>
      <c r="E1249" s="3519">
        <f t="shared" si="19"/>
        <v>35831.606779661015</v>
      </c>
      <c r="F1249" s="3481">
        <v>2642581</v>
      </c>
      <c r="G1249" s="3482" t="s">
        <v>8108</v>
      </c>
    </row>
    <row r="1250" spans="1:7">
      <c r="A1250" s="3536">
        <v>1249</v>
      </c>
      <c r="B1250" s="3481" t="s">
        <v>8130</v>
      </c>
      <c r="C1250" s="3481" t="s">
        <v>3395</v>
      </c>
      <c r="D1250" s="3482">
        <v>73.75</v>
      </c>
      <c r="E1250" s="3519">
        <f t="shared" si="19"/>
        <v>35118.549152542371</v>
      </c>
      <c r="F1250" s="3481">
        <v>2589993</v>
      </c>
      <c r="G1250" s="3482" t="s">
        <v>8129</v>
      </c>
    </row>
    <row r="1251" spans="1:7">
      <c r="A1251" s="3536">
        <v>1250</v>
      </c>
      <c r="B1251" s="3481" t="s">
        <v>5845</v>
      </c>
      <c r="C1251" s="3481" t="s">
        <v>5318</v>
      </c>
      <c r="D1251" s="3482">
        <v>178.25</v>
      </c>
      <c r="E1251" s="3519">
        <f t="shared" si="19"/>
        <v>27362.720897615709</v>
      </c>
      <c r="F1251" s="3481">
        <v>4877405</v>
      </c>
      <c r="G1251" s="3482" t="s">
        <v>3579</v>
      </c>
    </row>
    <row r="1252" spans="1:7">
      <c r="A1252" s="3536">
        <v>1251</v>
      </c>
      <c r="B1252" s="3481" t="s">
        <v>5846</v>
      </c>
      <c r="C1252" s="3481" t="s">
        <v>3338</v>
      </c>
      <c r="D1252" s="3482">
        <v>26</v>
      </c>
      <c r="E1252" s="3519">
        <f t="shared" si="19"/>
        <v>4236.6923076923076</v>
      </c>
      <c r="F1252" s="3481">
        <v>110154</v>
      </c>
      <c r="G1252" s="3482" t="s">
        <v>3579</v>
      </c>
    </row>
    <row r="1253" spans="1:7">
      <c r="A1253" s="3536">
        <v>1252</v>
      </c>
      <c r="B1253" s="3481" t="s">
        <v>7493</v>
      </c>
      <c r="C1253" s="3481" t="s">
        <v>5318</v>
      </c>
      <c r="D1253" s="3482">
        <v>178.25</v>
      </c>
      <c r="E1253" s="3519">
        <f t="shared" si="19"/>
        <v>28259.293127629735</v>
      </c>
      <c r="F1253" s="3481">
        <v>5037219</v>
      </c>
      <c r="G1253" s="3482" t="s">
        <v>3603</v>
      </c>
    </row>
    <row r="1254" spans="1:7">
      <c r="A1254" s="3536">
        <v>1253</v>
      </c>
      <c r="B1254" s="3481" t="s">
        <v>3602</v>
      </c>
      <c r="C1254" s="3481" t="s">
        <v>3338</v>
      </c>
      <c r="D1254" s="3482">
        <v>26</v>
      </c>
      <c r="E1254" s="3519">
        <f t="shared" si="19"/>
        <v>4236.6923076923076</v>
      </c>
      <c r="F1254" s="3481">
        <v>110154</v>
      </c>
      <c r="G1254" s="3482" t="s">
        <v>3603</v>
      </c>
    </row>
    <row r="1255" spans="1:7">
      <c r="A1255" s="3536">
        <v>1254</v>
      </c>
      <c r="B1255" s="3481" t="s">
        <v>5851</v>
      </c>
      <c r="C1255" s="3481" t="s">
        <v>3338</v>
      </c>
      <c r="D1255" s="3482">
        <v>28.6</v>
      </c>
      <c r="E1255" s="3519">
        <f t="shared" si="19"/>
        <v>3851.5384615384614</v>
      </c>
      <c r="F1255" s="3481">
        <v>110154</v>
      </c>
      <c r="G1255" s="3482" t="s">
        <v>3579</v>
      </c>
    </row>
    <row r="1256" spans="1:7">
      <c r="A1256" s="3536">
        <v>1255</v>
      </c>
      <c r="B1256" s="3481" t="s">
        <v>3604</v>
      </c>
      <c r="C1256" s="3481" t="s">
        <v>3338</v>
      </c>
      <c r="D1256" s="3482">
        <v>28.6</v>
      </c>
      <c r="E1256" s="3519">
        <f t="shared" si="19"/>
        <v>3851.5384615384614</v>
      </c>
      <c r="F1256" s="3481">
        <v>110154</v>
      </c>
      <c r="G1256" s="3482" t="s">
        <v>3603</v>
      </c>
    </row>
    <row r="1257" spans="1:7">
      <c r="A1257" s="3536">
        <v>1256</v>
      </c>
      <c r="B1257" s="3481" t="s">
        <v>7806</v>
      </c>
      <c r="C1257" s="3481" t="s">
        <v>3395</v>
      </c>
      <c r="D1257" s="3482">
        <v>83.53</v>
      </c>
      <c r="E1257" s="3519">
        <f t="shared" si="19"/>
        <v>33954.734825811087</v>
      </c>
      <c r="F1257" s="3481">
        <v>2836239</v>
      </c>
      <c r="G1257" s="3482" t="s">
        <v>7807</v>
      </c>
    </row>
    <row r="1258" spans="1:7">
      <c r="A1258" s="3536">
        <v>1257</v>
      </c>
      <c r="B1258" s="3481" t="s">
        <v>7793</v>
      </c>
      <c r="C1258" s="3481" t="s">
        <v>3395</v>
      </c>
      <c r="D1258" s="3482">
        <v>83.53</v>
      </c>
      <c r="E1258" s="3519">
        <f t="shared" si="19"/>
        <v>33954.734825811087</v>
      </c>
      <c r="F1258" s="3481">
        <v>2836239</v>
      </c>
      <c r="G1258" s="3482" t="s">
        <v>3904</v>
      </c>
    </row>
    <row r="1259" spans="1:7">
      <c r="A1259" s="3536">
        <v>1258</v>
      </c>
      <c r="B1259" s="3481" t="s">
        <v>6862</v>
      </c>
      <c r="C1259" s="3481" t="s">
        <v>3395</v>
      </c>
      <c r="D1259" s="3482">
        <v>83.53</v>
      </c>
      <c r="E1259" s="3519">
        <f t="shared" si="19"/>
        <v>28911.768226984317</v>
      </c>
      <c r="F1259" s="3481">
        <v>2415000</v>
      </c>
      <c r="G1259" s="3482" t="s">
        <v>6863</v>
      </c>
    </row>
    <row r="1260" spans="1:7">
      <c r="A1260" s="3536">
        <v>1259</v>
      </c>
      <c r="B1260" s="3481" t="s">
        <v>6855</v>
      </c>
      <c r="C1260" s="3481" t="s">
        <v>3395</v>
      </c>
      <c r="D1260" s="3482">
        <v>83.53</v>
      </c>
      <c r="E1260" s="3519">
        <f t="shared" si="19"/>
        <v>28911.768226984317</v>
      </c>
      <c r="F1260" s="3481">
        <v>2415000</v>
      </c>
      <c r="G1260" s="3482" t="s">
        <v>6856</v>
      </c>
    </row>
    <row r="1261" spans="1:7">
      <c r="A1261" s="3536">
        <v>1260</v>
      </c>
      <c r="B1261" s="3481" t="s">
        <v>7855</v>
      </c>
      <c r="C1261" s="3481" t="s">
        <v>3395</v>
      </c>
      <c r="D1261" s="3482">
        <v>83.53</v>
      </c>
      <c r="E1261" s="3519">
        <f t="shared" si="19"/>
        <v>33042.020830839218</v>
      </c>
      <c r="F1261" s="3481">
        <v>2760000</v>
      </c>
      <c r="G1261" s="3482" t="s">
        <v>3960</v>
      </c>
    </row>
    <row r="1262" spans="1:7">
      <c r="A1262" s="3536">
        <v>1261</v>
      </c>
      <c r="B1262" s="3481" t="s">
        <v>7856</v>
      </c>
      <c r="C1262" s="3481" t="s">
        <v>3395</v>
      </c>
      <c r="D1262" s="3482">
        <v>83.53</v>
      </c>
      <c r="E1262" s="3519">
        <f t="shared" si="19"/>
        <v>33042.020830839218</v>
      </c>
      <c r="F1262" s="3481">
        <v>2760000</v>
      </c>
      <c r="G1262" s="3482" t="s">
        <v>3960</v>
      </c>
    </row>
    <row r="1263" spans="1:7">
      <c r="A1263" s="3536">
        <v>1262</v>
      </c>
      <c r="B1263" s="3481" t="s">
        <v>8073</v>
      </c>
      <c r="C1263" s="3481" t="s">
        <v>3395</v>
      </c>
      <c r="D1263" s="3482">
        <v>73.75</v>
      </c>
      <c r="E1263" s="3519">
        <f t="shared" si="19"/>
        <v>35831.606779661015</v>
      </c>
      <c r="F1263" s="3481">
        <v>2642581</v>
      </c>
      <c r="G1263" s="3482" t="s">
        <v>4104</v>
      </c>
    </row>
    <row r="1264" spans="1:7">
      <c r="A1264" s="3536">
        <v>1263</v>
      </c>
      <c r="B1264" s="3481" t="s">
        <v>8074</v>
      </c>
      <c r="C1264" s="3481" t="s">
        <v>3395</v>
      </c>
      <c r="D1264" s="3482">
        <v>73.75</v>
      </c>
      <c r="E1264" s="3519">
        <f t="shared" si="19"/>
        <v>35107.579661016949</v>
      </c>
      <c r="F1264" s="3481">
        <v>2589184</v>
      </c>
      <c r="G1264" s="3482" t="s">
        <v>4104</v>
      </c>
    </row>
    <row r="1265" spans="1:7">
      <c r="A1265" s="3536">
        <v>1264</v>
      </c>
      <c r="B1265" s="3481" t="s">
        <v>5854</v>
      </c>
      <c r="C1265" s="3481" t="s">
        <v>5318</v>
      </c>
      <c r="D1265" s="3482">
        <v>192.79</v>
      </c>
      <c r="E1265" s="3519">
        <f t="shared" si="19"/>
        <v>26348.3168214119</v>
      </c>
      <c r="F1265" s="3481">
        <v>5079692</v>
      </c>
      <c r="G1265" s="3482" t="s">
        <v>7423</v>
      </c>
    </row>
    <row r="1266" spans="1:7">
      <c r="A1266" s="3536">
        <v>1265</v>
      </c>
      <c r="B1266" s="3481" t="s">
        <v>5855</v>
      </c>
      <c r="C1266" s="3481" t="s">
        <v>3338</v>
      </c>
      <c r="D1266" s="3482">
        <v>12.68</v>
      </c>
      <c r="E1266" s="3519">
        <f t="shared" si="19"/>
        <v>8687.2239747634067</v>
      </c>
      <c r="F1266" s="3481">
        <v>110154</v>
      </c>
      <c r="G1266" s="3482" t="s">
        <v>7423</v>
      </c>
    </row>
    <row r="1267" spans="1:7">
      <c r="A1267" s="3536">
        <v>1266</v>
      </c>
      <c r="B1267" s="3481" t="s">
        <v>7535</v>
      </c>
      <c r="C1267" s="3481" t="s">
        <v>5318</v>
      </c>
      <c r="D1267" s="3482">
        <v>193.73</v>
      </c>
      <c r="E1267" s="3519">
        <f t="shared" si="19"/>
        <v>25962.380632839519</v>
      </c>
      <c r="F1267" s="3481">
        <v>5029692</v>
      </c>
      <c r="G1267" s="3482" t="s">
        <v>3654</v>
      </c>
    </row>
    <row r="1268" spans="1:7">
      <c r="A1268" s="3536">
        <v>1267</v>
      </c>
      <c r="B1268" s="3481" t="s">
        <v>3653</v>
      </c>
      <c r="C1268" s="3481" t="s">
        <v>3338</v>
      </c>
      <c r="D1268" s="3482">
        <v>12.68</v>
      </c>
      <c r="E1268" s="3519">
        <f t="shared" si="19"/>
        <v>8687.2239747634067</v>
      </c>
      <c r="F1268" s="3481">
        <v>110154</v>
      </c>
      <c r="G1268" s="3482" t="s">
        <v>3654</v>
      </c>
    </row>
    <row r="1269" spans="1:7">
      <c r="A1269" s="3536">
        <v>1268</v>
      </c>
      <c r="B1269" s="3481" t="s">
        <v>5860</v>
      </c>
      <c r="C1269" s="3481" t="s">
        <v>3338</v>
      </c>
      <c r="D1269" s="3482">
        <v>53.65</v>
      </c>
      <c r="E1269" s="3519">
        <f t="shared" si="19"/>
        <v>2053.196644920783</v>
      </c>
      <c r="F1269" s="3481">
        <v>110154</v>
      </c>
      <c r="G1269" s="3482" t="s">
        <v>7423</v>
      </c>
    </row>
    <row r="1270" spans="1:7">
      <c r="A1270" s="3536">
        <v>1269</v>
      </c>
      <c r="B1270" s="3481" t="s">
        <v>3655</v>
      </c>
      <c r="C1270" s="3481" t="s">
        <v>3338</v>
      </c>
      <c r="D1270" s="3482">
        <v>54.2</v>
      </c>
      <c r="E1270" s="3519">
        <f t="shared" si="19"/>
        <v>2032.3616236162361</v>
      </c>
      <c r="F1270" s="3481">
        <v>110154</v>
      </c>
      <c r="G1270" s="3482" t="s">
        <v>3654</v>
      </c>
    </row>
    <row r="1271" spans="1:7">
      <c r="A1271" s="3536">
        <v>1270</v>
      </c>
      <c r="B1271" s="3481" t="s">
        <v>7825</v>
      </c>
      <c r="C1271" s="3481" t="s">
        <v>3395</v>
      </c>
      <c r="D1271" s="3482">
        <v>83.53</v>
      </c>
      <c r="E1271" s="3519">
        <f t="shared" si="19"/>
        <v>33268.777684664194</v>
      </c>
      <c r="F1271" s="3481">
        <v>2778941</v>
      </c>
      <c r="G1271" s="3482" t="s">
        <v>3937</v>
      </c>
    </row>
    <row r="1272" spans="1:7">
      <c r="A1272" s="3536">
        <v>1271</v>
      </c>
      <c r="B1272" s="3481" t="s">
        <v>7831</v>
      </c>
      <c r="C1272" s="3481" t="s">
        <v>3395</v>
      </c>
      <c r="D1272" s="3482">
        <v>83.91</v>
      </c>
      <c r="E1272" s="3519">
        <f t="shared" si="19"/>
        <v>33452.651650578002</v>
      </c>
      <c r="F1272" s="3481">
        <v>2807012</v>
      </c>
      <c r="G1272" s="3482" t="s">
        <v>7832</v>
      </c>
    </row>
    <row r="1273" spans="1:7">
      <c r="A1273" s="3536">
        <v>1272</v>
      </c>
      <c r="B1273" s="3481" t="s">
        <v>6873</v>
      </c>
      <c r="C1273" s="3481" t="s">
        <v>3395</v>
      </c>
      <c r="D1273" s="3482">
        <v>83.53</v>
      </c>
      <c r="E1273" s="3519">
        <f t="shared" si="19"/>
        <v>29330.779360708726</v>
      </c>
      <c r="F1273" s="3481">
        <v>2450000</v>
      </c>
      <c r="G1273" s="3482" t="s">
        <v>6870</v>
      </c>
    </row>
    <row r="1274" spans="1:7">
      <c r="A1274" s="3536">
        <v>1273</v>
      </c>
      <c r="B1274" s="3481" t="s">
        <v>7857</v>
      </c>
      <c r="C1274" s="3481" t="s">
        <v>3395</v>
      </c>
      <c r="D1274" s="3482">
        <v>83.91</v>
      </c>
      <c r="E1274" s="3519">
        <f t="shared" si="19"/>
        <v>32892.3846978906</v>
      </c>
      <c r="F1274" s="3481">
        <v>2760000</v>
      </c>
      <c r="G1274" s="3482" t="s">
        <v>3960</v>
      </c>
    </row>
    <row r="1275" spans="1:7">
      <c r="A1275" s="3536">
        <v>1274</v>
      </c>
      <c r="B1275" s="3481" t="s">
        <v>7858</v>
      </c>
      <c r="C1275" s="3481" t="s">
        <v>3395</v>
      </c>
      <c r="D1275" s="3482">
        <v>83.53</v>
      </c>
      <c r="E1275" s="3519">
        <f t="shared" si="19"/>
        <v>33042.020830839218</v>
      </c>
      <c r="F1275" s="3481">
        <v>2760000</v>
      </c>
      <c r="G1275" s="3482" t="s">
        <v>3960</v>
      </c>
    </row>
    <row r="1276" spans="1:7">
      <c r="A1276" s="3536">
        <v>1275</v>
      </c>
      <c r="B1276" s="3481" t="s">
        <v>8117</v>
      </c>
      <c r="C1276" s="3481" t="s">
        <v>3395</v>
      </c>
      <c r="D1276" s="3482">
        <v>83.91</v>
      </c>
      <c r="E1276" s="3519">
        <f t="shared" si="19"/>
        <v>34142.676677392446</v>
      </c>
      <c r="F1276" s="3481">
        <v>2864912</v>
      </c>
      <c r="G1276" s="3482" t="s">
        <v>4153</v>
      </c>
    </row>
    <row r="1277" spans="1:7">
      <c r="A1277" s="3536">
        <v>1276</v>
      </c>
      <c r="B1277" s="3481" t="s">
        <v>8075</v>
      </c>
      <c r="C1277" s="3481" t="s">
        <v>3395</v>
      </c>
      <c r="D1277" s="3482">
        <v>73.75</v>
      </c>
      <c r="E1277" s="3519">
        <f t="shared" si="19"/>
        <v>35462.210169491525</v>
      </c>
      <c r="F1277" s="3481">
        <v>2615338</v>
      </c>
      <c r="G1277" s="3482" t="s">
        <v>4104</v>
      </c>
    </row>
    <row r="1278" spans="1:7">
      <c r="A1278" s="3536">
        <v>1277</v>
      </c>
      <c r="B1278" s="3481" t="s">
        <v>8095</v>
      </c>
      <c r="C1278" s="3481" t="s">
        <v>3395</v>
      </c>
      <c r="D1278" s="3482">
        <v>74.209999999999994</v>
      </c>
      <c r="E1278" s="3519">
        <f t="shared" si="19"/>
        <v>36205.066702600729</v>
      </c>
      <c r="F1278" s="3481">
        <v>2686778</v>
      </c>
      <c r="G1278" s="3482" t="s">
        <v>4132</v>
      </c>
    </row>
    <row r="1279" spans="1:7">
      <c r="A1279" s="3536">
        <v>1278</v>
      </c>
      <c r="B1279" s="3481" t="s">
        <v>7824</v>
      </c>
      <c r="C1279" s="3481" t="s">
        <v>5318</v>
      </c>
      <c r="D1279" s="3482">
        <v>179.4</v>
      </c>
      <c r="E1279" s="3519">
        <f t="shared" si="19"/>
        <v>23635.379041248605</v>
      </c>
      <c r="F1279" s="3481">
        <v>4240187</v>
      </c>
      <c r="G1279" s="3482" t="s">
        <v>3937</v>
      </c>
    </row>
    <row r="1280" spans="1:7">
      <c r="A1280" s="3536">
        <v>1279</v>
      </c>
      <c r="B1280" s="3481" t="s">
        <v>3939</v>
      </c>
      <c r="C1280" s="3481" t="s">
        <v>3338</v>
      </c>
      <c r="D1280" s="3482">
        <v>26.59</v>
      </c>
      <c r="E1280" s="3519">
        <f t="shared" si="19"/>
        <v>159465.47574276043</v>
      </c>
      <c r="F1280" s="3481">
        <v>4240187</v>
      </c>
      <c r="G1280" s="3482" t="s">
        <v>3937</v>
      </c>
    </row>
    <row r="1281" spans="1:7">
      <c r="A1281" s="3536">
        <v>1280</v>
      </c>
      <c r="B1281" s="3481" t="s">
        <v>7826</v>
      </c>
      <c r="C1281" s="3481" t="s">
        <v>5305</v>
      </c>
      <c r="D1281" s="3482">
        <v>73.400000000000006</v>
      </c>
      <c r="E1281" s="3519">
        <f t="shared" si="19"/>
        <v>57768.215258855584</v>
      </c>
      <c r="F1281" s="3481">
        <v>4240187</v>
      </c>
      <c r="G1281" s="3482" t="s">
        <v>3937</v>
      </c>
    </row>
    <row r="1282" spans="1:7">
      <c r="A1282" s="3536">
        <v>1281</v>
      </c>
      <c r="B1282" s="3481" t="s">
        <v>3940</v>
      </c>
      <c r="C1282" s="3481" t="s">
        <v>3338</v>
      </c>
      <c r="D1282" s="3482">
        <v>103.07</v>
      </c>
      <c r="E1282" s="3519">
        <f t="shared" si="19"/>
        <v>41138.905598137193</v>
      </c>
      <c r="F1282" s="3481">
        <v>4240187</v>
      </c>
      <c r="G1282" s="3482" t="s">
        <v>3937</v>
      </c>
    </row>
    <row r="1283" spans="1:7">
      <c r="A1283" s="3536">
        <v>1282</v>
      </c>
      <c r="B1283" s="3481" t="s">
        <v>7827</v>
      </c>
      <c r="C1283" s="3481" t="s">
        <v>5305</v>
      </c>
      <c r="D1283" s="3482">
        <v>73.010000000000005</v>
      </c>
      <c r="E1283" s="3519">
        <f t="shared" ref="E1283:E1346" si="20">F1283/D1283</f>
        <v>58076.797698945345</v>
      </c>
      <c r="F1283" s="3481">
        <v>4240187</v>
      </c>
      <c r="G1283" s="3482" t="s">
        <v>3937</v>
      </c>
    </row>
    <row r="1284" spans="1:7">
      <c r="A1284" s="3536">
        <v>1283</v>
      </c>
      <c r="B1284" s="3481" t="s">
        <v>3941</v>
      </c>
      <c r="C1284" s="3481" t="s">
        <v>3338</v>
      </c>
      <c r="D1284" s="3482">
        <v>101.5</v>
      </c>
      <c r="E1284" s="3519">
        <f t="shared" si="20"/>
        <v>41775.241379310348</v>
      </c>
      <c r="F1284" s="3481">
        <v>4240187</v>
      </c>
      <c r="G1284" s="3482" t="s">
        <v>3937</v>
      </c>
    </row>
    <row r="1285" spans="1:7">
      <c r="A1285" s="3536">
        <v>1284</v>
      </c>
      <c r="B1285" s="3481" t="s">
        <v>7160</v>
      </c>
      <c r="C1285" s="3481" t="s">
        <v>5318</v>
      </c>
      <c r="D1285" s="3482">
        <v>178.2</v>
      </c>
      <c r="E1285" s="3519">
        <f t="shared" si="20"/>
        <v>26910.387205387207</v>
      </c>
      <c r="F1285" s="3481">
        <v>4795431</v>
      </c>
      <c r="G1285" s="3482" t="s">
        <v>3485</v>
      </c>
    </row>
    <row r="1286" spans="1:7">
      <c r="A1286" s="3536">
        <v>1285</v>
      </c>
      <c r="B1286" s="3481" t="s">
        <v>3484</v>
      </c>
      <c r="C1286" s="3481" t="s">
        <v>3338</v>
      </c>
      <c r="D1286" s="3482">
        <v>26.43</v>
      </c>
      <c r="E1286" s="3519">
        <f t="shared" si="20"/>
        <v>3860.3859250851306</v>
      </c>
      <c r="F1286" s="3481">
        <v>102030</v>
      </c>
      <c r="G1286" s="3482" t="s">
        <v>3485</v>
      </c>
    </row>
    <row r="1287" spans="1:7">
      <c r="A1287" s="3536">
        <v>1286</v>
      </c>
      <c r="B1287" s="3481" t="s">
        <v>3942</v>
      </c>
      <c r="C1287" s="3481" t="s">
        <v>3338</v>
      </c>
      <c r="D1287" s="3482">
        <v>29.53</v>
      </c>
      <c r="E1287" s="3519">
        <f t="shared" si="20"/>
        <v>143589.12969861156</v>
      </c>
      <c r="F1287" s="3481">
        <v>4240187</v>
      </c>
      <c r="G1287" s="3482" t="s">
        <v>3937</v>
      </c>
    </row>
    <row r="1288" spans="1:7">
      <c r="A1288" s="3536">
        <v>1287</v>
      </c>
      <c r="B1288" s="3481" t="s">
        <v>3943</v>
      </c>
      <c r="C1288" s="3481" t="s">
        <v>3338</v>
      </c>
      <c r="D1288" s="3482">
        <v>191.91</v>
      </c>
      <c r="E1288" s="3519">
        <f t="shared" si="20"/>
        <v>22094.664165494243</v>
      </c>
      <c r="F1288" s="3481">
        <v>4240187</v>
      </c>
      <c r="G1288" s="3482" t="s">
        <v>3937</v>
      </c>
    </row>
    <row r="1289" spans="1:7">
      <c r="A1289" s="3536">
        <v>1288</v>
      </c>
      <c r="B1289" s="3481" t="s">
        <v>3944</v>
      </c>
      <c r="C1289" s="3481" t="s">
        <v>3338</v>
      </c>
      <c r="D1289" s="3482">
        <v>195.62</v>
      </c>
      <c r="E1289" s="3519">
        <f t="shared" si="20"/>
        <v>21675.631326040282</v>
      </c>
      <c r="F1289" s="3481">
        <v>4240187</v>
      </c>
      <c r="G1289" s="3482" t="s">
        <v>3937</v>
      </c>
    </row>
    <row r="1290" spans="1:7">
      <c r="A1290" s="3536">
        <v>1289</v>
      </c>
      <c r="B1290" s="3481" t="s">
        <v>3486</v>
      </c>
      <c r="C1290" s="3481" t="s">
        <v>3338</v>
      </c>
      <c r="D1290" s="3482">
        <v>29.53</v>
      </c>
      <c r="E1290" s="3519">
        <f t="shared" si="20"/>
        <v>3455.1303758889262</v>
      </c>
      <c r="F1290" s="3481">
        <v>102030</v>
      </c>
      <c r="G1290" s="3482" t="s">
        <v>3485</v>
      </c>
    </row>
    <row r="1291" spans="1:7">
      <c r="A1291" s="3536">
        <v>1290</v>
      </c>
      <c r="B1291" s="3481" t="s">
        <v>8061</v>
      </c>
      <c r="C1291" s="3481" t="s">
        <v>3395</v>
      </c>
      <c r="D1291" s="3482">
        <v>74.180000000000007</v>
      </c>
      <c r="E1291" s="3519">
        <f t="shared" si="20"/>
        <v>34826.422216230785</v>
      </c>
      <c r="F1291" s="3481">
        <v>2583424</v>
      </c>
      <c r="G1291" s="3482" t="s">
        <v>8062</v>
      </c>
    </row>
    <row r="1292" spans="1:7">
      <c r="A1292" s="3536">
        <v>1291</v>
      </c>
      <c r="B1292" s="3481" t="s">
        <v>8009</v>
      </c>
      <c r="C1292" s="3481" t="s">
        <v>3395</v>
      </c>
      <c r="D1292" s="3482">
        <v>73.72</v>
      </c>
      <c r="E1292" s="3519">
        <f t="shared" si="20"/>
        <v>35178.282691264241</v>
      </c>
      <c r="F1292" s="3481">
        <v>2593343</v>
      </c>
      <c r="G1292" s="3482" t="s">
        <v>4058</v>
      </c>
    </row>
    <row r="1293" spans="1:7">
      <c r="A1293" s="3536">
        <v>1292</v>
      </c>
      <c r="B1293" s="3481" t="s">
        <v>7420</v>
      </c>
      <c r="C1293" s="3481" t="s">
        <v>5318</v>
      </c>
      <c r="D1293" s="3482">
        <v>192.74</v>
      </c>
      <c r="E1293" s="3519">
        <f t="shared" si="20"/>
        <v>25905.779806993876</v>
      </c>
      <c r="F1293" s="3481">
        <v>4993080</v>
      </c>
      <c r="G1293" s="3482" t="s">
        <v>3548</v>
      </c>
    </row>
    <row r="1294" spans="1:7">
      <c r="A1294" s="3536">
        <v>1293</v>
      </c>
      <c r="B1294" s="3481" t="s">
        <v>3547</v>
      </c>
      <c r="C1294" s="3481" t="s">
        <v>3338</v>
      </c>
      <c r="D1294" s="3482">
        <v>13.18</v>
      </c>
      <c r="E1294" s="3519">
        <f t="shared" si="20"/>
        <v>7881.411229135053</v>
      </c>
      <c r="F1294" s="3481">
        <v>103877</v>
      </c>
      <c r="G1294" s="3482" t="s">
        <v>3548</v>
      </c>
    </row>
    <row r="1295" spans="1:7">
      <c r="A1295" s="3536">
        <v>1294</v>
      </c>
      <c r="B1295" s="3481" t="s">
        <v>7414</v>
      </c>
      <c r="C1295" s="3481" t="s">
        <v>5318</v>
      </c>
      <c r="D1295" s="3482">
        <v>192.74</v>
      </c>
      <c r="E1295" s="3519">
        <f t="shared" si="20"/>
        <v>26352.931410189893</v>
      </c>
      <c r="F1295" s="3481">
        <v>5079264</v>
      </c>
      <c r="G1295" s="3482" t="s">
        <v>3540</v>
      </c>
    </row>
    <row r="1296" spans="1:7">
      <c r="A1296" s="3536">
        <v>1295</v>
      </c>
      <c r="B1296" s="3481" t="s">
        <v>3539</v>
      </c>
      <c r="C1296" s="3481" t="s">
        <v>3338</v>
      </c>
      <c r="D1296" s="3482">
        <v>13.18</v>
      </c>
      <c r="E1296" s="3519">
        <f t="shared" si="20"/>
        <v>8373.8998482549323</v>
      </c>
      <c r="F1296" s="3481">
        <v>110368</v>
      </c>
      <c r="G1296" s="3482" t="s">
        <v>3540</v>
      </c>
    </row>
    <row r="1297" spans="1:7">
      <c r="A1297" s="3536">
        <v>1296</v>
      </c>
      <c r="B1297" s="3481" t="s">
        <v>3549</v>
      </c>
      <c r="C1297" s="3481" t="s">
        <v>3338</v>
      </c>
      <c r="D1297" s="3482">
        <v>55.58</v>
      </c>
      <c r="E1297" s="3519">
        <f t="shared" si="20"/>
        <v>1868.9636559913638</v>
      </c>
      <c r="F1297" s="3481">
        <v>103877</v>
      </c>
      <c r="G1297" s="3482" t="s">
        <v>3548</v>
      </c>
    </row>
    <row r="1298" spans="1:7">
      <c r="A1298" s="3536">
        <v>1297</v>
      </c>
      <c r="B1298" s="3481" t="s">
        <v>3541</v>
      </c>
      <c r="C1298" s="3481" t="s">
        <v>3338</v>
      </c>
      <c r="D1298" s="3482">
        <v>55.58</v>
      </c>
      <c r="E1298" s="3519">
        <f t="shared" si="20"/>
        <v>1985.7502698812523</v>
      </c>
      <c r="F1298" s="3481">
        <v>110368</v>
      </c>
      <c r="G1298" s="3482" t="s">
        <v>3540</v>
      </c>
    </row>
    <row r="1299" spans="1:7">
      <c r="A1299" s="3536">
        <v>1298</v>
      </c>
      <c r="B1299" s="3481" t="s">
        <v>7727</v>
      </c>
      <c r="C1299" s="3481" t="s">
        <v>3395</v>
      </c>
      <c r="D1299" s="3482">
        <v>73.72</v>
      </c>
      <c r="E1299" s="3519">
        <f t="shared" si="20"/>
        <v>35268.583830710799</v>
      </c>
      <c r="F1299" s="3481">
        <v>2600000</v>
      </c>
      <c r="G1299" s="3482" t="s">
        <v>3835</v>
      </c>
    </row>
    <row r="1300" spans="1:7">
      <c r="A1300" s="3536">
        <v>1299</v>
      </c>
      <c r="B1300" s="3481" t="s">
        <v>8090</v>
      </c>
      <c r="C1300" s="3481" t="s">
        <v>3395</v>
      </c>
      <c r="D1300" s="3482">
        <v>73.72</v>
      </c>
      <c r="E1300" s="3519">
        <f t="shared" si="20"/>
        <v>35189.283776451441</v>
      </c>
      <c r="F1300" s="3481">
        <v>2594154</v>
      </c>
      <c r="G1300" s="3482" t="s">
        <v>4123</v>
      </c>
    </row>
    <row r="1301" spans="1:7">
      <c r="A1301" s="3536">
        <v>1300</v>
      </c>
      <c r="B1301" s="3481" t="s">
        <v>6978</v>
      </c>
      <c r="C1301" s="3481" t="s">
        <v>5318</v>
      </c>
      <c r="D1301" s="3482">
        <v>178.2</v>
      </c>
      <c r="E1301" s="3519">
        <f t="shared" si="20"/>
        <v>27456.773288439956</v>
      </c>
      <c r="F1301" s="3481">
        <v>4892797</v>
      </c>
      <c r="G1301" s="3482" t="s">
        <v>3449</v>
      </c>
    </row>
    <row r="1302" spans="1:7">
      <c r="A1302" s="3536">
        <v>1301</v>
      </c>
      <c r="B1302" s="3481" t="s">
        <v>3448</v>
      </c>
      <c r="C1302" s="3481" t="s">
        <v>3338</v>
      </c>
      <c r="D1302" s="3482">
        <v>26.43</v>
      </c>
      <c r="E1302" s="3519">
        <f t="shared" si="20"/>
        <v>3821.7934165720771</v>
      </c>
      <c r="F1302" s="3481">
        <v>101010</v>
      </c>
      <c r="G1302" s="3482" t="s">
        <v>3449</v>
      </c>
    </row>
    <row r="1303" spans="1:7">
      <c r="A1303" s="3536">
        <v>1302</v>
      </c>
      <c r="B1303" s="3481" t="s">
        <v>7417</v>
      </c>
      <c r="C1303" s="3481" t="s">
        <v>5318</v>
      </c>
      <c r="D1303" s="3482">
        <v>179.4</v>
      </c>
      <c r="E1303" s="3519">
        <f t="shared" si="20"/>
        <v>27550.975473801558</v>
      </c>
      <c r="F1303" s="3481">
        <v>4942645</v>
      </c>
      <c r="G1303" s="3482" t="s">
        <v>3545</v>
      </c>
    </row>
    <row r="1304" spans="1:7">
      <c r="A1304" s="3536">
        <v>1303</v>
      </c>
      <c r="B1304" s="3481" t="s">
        <v>3544</v>
      </c>
      <c r="C1304" s="3481" t="s">
        <v>3338</v>
      </c>
      <c r="D1304" s="3482">
        <v>26.59</v>
      </c>
      <c r="E1304" s="3519">
        <f t="shared" si="20"/>
        <v>4150.7333584054159</v>
      </c>
      <c r="F1304" s="3481">
        <v>110368</v>
      </c>
      <c r="G1304" s="3482" t="s">
        <v>3545</v>
      </c>
    </row>
    <row r="1305" spans="1:7">
      <c r="A1305" s="3536">
        <v>1304</v>
      </c>
      <c r="B1305" s="3481" t="s">
        <v>3450</v>
      </c>
      <c r="C1305" s="3481" t="s">
        <v>3338</v>
      </c>
      <c r="D1305" s="3482">
        <v>29.53</v>
      </c>
      <c r="E1305" s="3519">
        <f t="shared" si="20"/>
        <v>3420.5892312902133</v>
      </c>
      <c r="F1305" s="3481">
        <v>101010</v>
      </c>
      <c r="G1305" s="3482" t="s">
        <v>3449</v>
      </c>
    </row>
    <row r="1306" spans="1:7">
      <c r="A1306" s="3536">
        <v>1305</v>
      </c>
      <c r="B1306" s="3481" t="s">
        <v>3546</v>
      </c>
      <c r="C1306" s="3481" t="s">
        <v>3338</v>
      </c>
      <c r="D1306" s="3482">
        <v>29.53</v>
      </c>
      <c r="E1306" s="3519">
        <f t="shared" si="20"/>
        <v>3737.4873010497799</v>
      </c>
      <c r="F1306" s="3481">
        <v>110368</v>
      </c>
      <c r="G1306" s="3482" t="s">
        <v>3545</v>
      </c>
    </row>
    <row r="1307" spans="1:7">
      <c r="A1307" s="3536">
        <v>1306</v>
      </c>
      <c r="B1307" s="3481" t="s">
        <v>8076</v>
      </c>
      <c r="C1307" s="3481" t="s">
        <v>3395</v>
      </c>
      <c r="D1307" s="3482">
        <v>73.72</v>
      </c>
      <c r="E1307" s="3519">
        <f t="shared" si="20"/>
        <v>35544.72327726533</v>
      </c>
      <c r="F1307" s="3481">
        <v>2620357</v>
      </c>
      <c r="G1307" s="3482" t="s">
        <v>4104</v>
      </c>
    </row>
    <row r="1308" spans="1:7">
      <c r="A1308" s="3536">
        <v>1307</v>
      </c>
      <c r="B1308" s="3481" t="s">
        <v>8091</v>
      </c>
      <c r="C1308" s="3481" t="s">
        <v>3395</v>
      </c>
      <c r="D1308" s="3482">
        <v>74.180000000000007</v>
      </c>
      <c r="E1308" s="3519">
        <f t="shared" si="20"/>
        <v>34826.422216230785</v>
      </c>
      <c r="F1308" s="3481">
        <v>2583424</v>
      </c>
      <c r="G1308" s="3482" t="s">
        <v>4123</v>
      </c>
    </row>
    <row r="1309" spans="1:7">
      <c r="A1309" s="3536">
        <v>1308</v>
      </c>
      <c r="B1309" s="3481" t="s">
        <v>7681</v>
      </c>
      <c r="C1309" s="3481" t="s">
        <v>5318</v>
      </c>
      <c r="D1309" s="3482">
        <v>193.68</v>
      </c>
      <c r="E1309" s="3519">
        <f t="shared" si="20"/>
        <v>25568.102023957043</v>
      </c>
      <c r="F1309" s="3481">
        <v>4952030</v>
      </c>
      <c r="G1309" s="3482" t="s">
        <v>3799</v>
      </c>
    </row>
    <row r="1310" spans="1:7">
      <c r="A1310" s="3536">
        <v>1309</v>
      </c>
      <c r="B1310" s="3481" t="s">
        <v>3798</v>
      </c>
      <c r="C1310" s="3481" t="s">
        <v>3338</v>
      </c>
      <c r="D1310" s="3482">
        <v>12.58</v>
      </c>
      <c r="E1310" s="3519">
        <f t="shared" si="20"/>
        <v>2978.5373608903019</v>
      </c>
      <c r="F1310" s="3481">
        <v>37470</v>
      </c>
      <c r="G1310" s="3482" t="s">
        <v>3799</v>
      </c>
    </row>
    <row r="1311" spans="1:7">
      <c r="A1311" s="3536">
        <v>1310</v>
      </c>
      <c r="B1311" s="3481" t="s">
        <v>7777</v>
      </c>
      <c r="C1311" s="3481" t="s">
        <v>5318</v>
      </c>
      <c r="D1311" s="3482">
        <v>192.74</v>
      </c>
      <c r="E1311" s="3519">
        <f t="shared" si="20"/>
        <v>25441.786863131678</v>
      </c>
      <c r="F1311" s="3481">
        <v>4903650</v>
      </c>
      <c r="G1311" s="3482" t="s">
        <v>3896</v>
      </c>
    </row>
    <row r="1312" spans="1:7">
      <c r="A1312" s="3536">
        <v>1311</v>
      </c>
      <c r="B1312" s="3481" t="s">
        <v>3898</v>
      </c>
      <c r="C1312" s="3481" t="s">
        <v>3338</v>
      </c>
      <c r="D1312" s="3482">
        <v>12.58</v>
      </c>
      <c r="E1312" s="3519">
        <f t="shared" si="20"/>
        <v>2978.5373608903019</v>
      </c>
      <c r="F1312" s="3481">
        <v>37470</v>
      </c>
      <c r="G1312" s="3482" t="s">
        <v>3896</v>
      </c>
    </row>
    <row r="1313" spans="1:7">
      <c r="A1313" s="3536">
        <v>1312</v>
      </c>
      <c r="B1313" s="3481" t="s">
        <v>3800</v>
      </c>
      <c r="C1313" s="3481" t="s">
        <v>3338</v>
      </c>
      <c r="D1313" s="3482">
        <v>53.83</v>
      </c>
      <c r="E1313" s="3519">
        <f t="shared" si="20"/>
        <v>2981.608768344789</v>
      </c>
      <c r="F1313" s="3481">
        <v>160500</v>
      </c>
      <c r="G1313" s="3482" t="s">
        <v>3799</v>
      </c>
    </row>
    <row r="1314" spans="1:7">
      <c r="A1314" s="3536">
        <v>1313</v>
      </c>
      <c r="B1314" s="3481" t="s">
        <v>3899</v>
      </c>
      <c r="C1314" s="3481" t="s">
        <v>3338</v>
      </c>
      <c r="D1314" s="3482">
        <v>53.29</v>
      </c>
      <c r="E1314" s="3519">
        <f t="shared" si="20"/>
        <v>2981.4224057046349</v>
      </c>
      <c r="F1314" s="3481">
        <v>158880</v>
      </c>
      <c r="G1314" s="3482" t="s">
        <v>3896</v>
      </c>
    </row>
    <row r="1315" spans="1:7">
      <c r="A1315" s="3536">
        <v>1314</v>
      </c>
      <c r="B1315" s="3481" t="s">
        <v>7876</v>
      </c>
      <c r="C1315" s="3481" t="s">
        <v>3395</v>
      </c>
      <c r="D1315" s="3482">
        <v>74.180000000000007</v>
      </c>
      <c r="E1315" s="3519">
        <f t="shared" si="20"/>
        <v>35366.675653815044</v>
      </c>
      <c r="F1315" s="3481">
        <v>2623500</v>
      </c>
      <c r="G1315" s="3482" t="s">
        <v>7877</v>
      </c>
    </row>
    <row r="1316" spans="1:7">
      <c r="A1316" s="3536">
        <v>1315</v>
      </c>
      <c r="B1316" s="3481" t="s">
        <v>8004</v>
      </c>
      <c r="C1316" s="3481" t="s">
        <v>3395</v>
      </c>
      <c r="D1316" s="3482">
        <v>73.72</v>
      </c>
      <c r="E1316" s="3519">
        <f t="shared" si="20"/>
        <v>35189.283776451441</v>
      </c>
      <c r="F1316" s="3481">
        <v>2594154</v>
      </c>
      <c r="G1316" s="3482" t="s">
        <v>8003</v>
      </c>
    </row>
    <row r="1317" spans="1:7">
      <c r="A1317" s="3536">
        <v>1316</v>
      </c>
      <c r="B1317" s="3481" t="s">
        <v>7737</v>
      </c>
      <c r="C1317" s="3481" t="s">
        <v>5318</v>
      </c>
      <c r="D1317" s="3482">
        <v>178.2</v>
      </c>
      <c r="E1317" s="3519">
        <f t="shared" si="20"/>
        <v>28270.594837261506</v>
      </c>
      <c r="F1317" s="3481">
        <v>5037820</v>
      </c>
      <c r="G1317" s="3482" t="s">
        <v>3856</v>
      </c>
    </row>
    <row r="1318" spans="1:7">
      <c r="A1318" s="3536">
        <v>1317</v>
      </c>
      <c r="B1318" s="3481" t="s">
        <v>3855</v>
      </c>
      <c r="C1318" s="3481" t="s">
        <v>3338</v>
      </c>
      <c r="D1318" s="3482">
        <v>25.9</v>
      </c>
      <c r="E1318" s="3519">
        <f t="shared" si="20"/>
        <v>2989.5752895752898</v>
      </c>
      <c r="F1318" s="3481">
        <v>77430</v>
      </c>
      <c r="G1318" s="3482" t="s">
        <v>3856</v>
      </c>
    </row>
    <row r="1319" spans="1:7">
      <c r="A1319" s="3536">
        <v>1318</v>
      </c>
      <c r="B1319" s="3481" t="s">
        <v>3857</v>
      </c>
      <c r="C1319" s="3481" t="s">
        <v>3338</v>
      </c>
      <c r="D1319" s="3482">
        <v>28.42</v>
      </c>
      <c r="E1319" s="3519">
        <f t="shared" si="20"/>
        <v>2982.054890921886</v>
      </c>
      <c r="F1319" s="3481">
        <v>84750</v>
      </c>
      <c r="G1319" s="3482" t="s">
        <v>3856</v>
      </c>
    </row>
    <row r="1320" spans="1:7">
      <c r="A1320" s="3536">
        <v>1319</v>
      </c>
      <c r="B1320" s="3481" t="s">
        <v>8030</v>
      </c>
      <c r="C1320" s="3481" t="s">
        <v>3395</v>
      </c>
      <c r="D1320" s="3482">
        <v>73.72</v>
      </c>
      <c r="E1320" s="3519">
        <f t="shared" si="20"/>
        <v>35533.627238198591</v>
      </c>
      <c r="F1320" s="3481">
        <v>2619539</v>
      </c>
      <c r="G1320" s="3482" t="s">
        <v>4072</v>
      </c>
    </row>
    <row r="1321" spans="1:7">
      <c r="A1321" s="3536">
        <v>1320</v>
      </c>
      <c r="B1321" s="3481" t="s">
        <v>8059</v>
      </c>
      <c r="C1321" s="3481" t="s">
        <v>3395</v>
      </c>
      <c r="D1321" s="3482">
        <v>73.72</v>
      </c>
      <c r="E1321" s="3519">
        <f t="shared" si="20"/>
        <v>33781.701030927834</v>
      </c>
      <c r="F1321" s="3481">
        <v>2490387</v>
      </c>
      <c r="G1321" s="3482" t="s">
        <v>8060</v>
      </c>
    </row>
    <row r="1322" spans="1:7">
      <c r="A1322" s="3536">
        <v>1321</v>
      </c>
      <c r="B1322" s="3481" t="s">
        <v>7742</v>
      </c>
      <c r="C1322" s="3481" t="s">
        <v>5318</v>
      </c>
      <c r="D1322" s="3482">
        <v>192.74</v>
      </c>
      <c r="E1322" s="3519">
        <f t="shared" si="20"/>
        <v>25441.786863131678</v>
      </c>
      <c r="F1322" s="3481">
        <v>4903650</v>
      </c>
      <c r="G1322" s="3482" t="s">
        <v>3866</v>
      </c>
    </row>
    <row r="1323" spans="1:7">
      <c r="A1323" s="3536">
        <v>1322</v>
      </c>
      <c r="B1323" s="3481" t="s">
        <v>3858</v>
      </c>
      <c r="C1323" s="3481" t="s">
        <v>3338</v>
      </c>
      <c r="D1323" s="3482">
        <v>12.58</v>
      </c>
      <c r="E1323" s="3519">
        <f t="shared" si="20"/>
        <v>2978.5373608903019</v>
      </c>
      <c r="F1323" s="3481">
        <v>37470</v>
      </c>
      <c r="G1323" s="3482" t="s">
        <v>3856</v>
      </c>
    </row>
    <row r="1324" spans="1:7">
      <c r="A1324" s="3536">
        <v>1323</v>
      </c>
      <c r="B1324" s="3481" t="s">
        <v>7797</v>
      </c>
      <c r="C1324" s="3481" t="s">
        <v>5305</v>
      </c>
      <c r="D1324" s="3482">
        <v>73.400000000000006</v>
      </c>
      <c r="E1324" s="3519">
        <f t="shared" si="20"/>
        <v>37218.623978201635</v>
      </c>
      <c r="F1324" s="3481">
        <v>2731847</v>
      </c>
      <c r="G1324" s="3482" t="s">
        <v>3907</v>
      </c>
    </row>
    <row r="1325" spans="1:7">
      <c r="A1325" s="3536">
        <v>1324</v>
      </c>
      <c r="B1325" s="3481" t="s">
        <v>3913</v>
      </c>
      <c r="C1325" s="3481" t="s">
        <v>3338</v>
      </c>
      <c r="D1325" s="3482">
        <v>98.8</v>
      </c>
      <c r="E1325" s="3519">
        <f t="shared" si="20"/>
        <v>12238.087044534414</v>
      </c>
      <c r="F1325" s="3481">
        <v>1209123</v>
      </c>
      <c r="G1325" s="3482" t="s">
        <v>3907</v>
      </c>
    </row>
    <row r="1326" spans="1:7">
      <c r="A1326" s="3536">
        <v>1325</v>
      </c>
      <c r="B1326" s="3481" t="s">
        <v>7518</v>
      </c>
      <c r="C1326" s="3481" t="s">
        <v>5318</v>
      </c>
      <c r="D1326" s="3482">
        <v>193.68</v>
      </c>
      <c r="E1326" s="3519">
        <f t="shared" si="20"/>
        <v>26068.293060718712</v>
      </c>
      <c r="F1326" s="3481">
        <v>5048907</v>
      </c>
      <c r="G1326" s="3482" t="s">
        <v>3634</v>
      </c>
    </row>
    <row r="1327" spans="1:7">
      <c r="A1327" s="3536">
        <v>1326</v>
      </c>
      <c r="B1327" s="3481" t="s">
        <v>3633</v>
      </c>
      <c r="C1327" s="3481" t="s">
        <v>3338</v>
      </c>
      <c r="D1327" s="3482">
        <v>12.58</v>
      </c>
      <c r="E1327" s="3519">
        <f t="shared" si="20"/>
        <v>3542.845786963434</v>
      </c>
      <c r="F1327" s="3481">
        <v>44569</v>
      </c>
      <c r="G1327" s="3482" t="s">
        <v>3634</v>
      </c>
    </row>
    <row r="1328" spans="1:7">
      <c r="A1328" s="3536">
        <v>1327</v>
      </c>
      <c r="B1328" s="3481" t="s">
        <v>3859</v>
      </c>
      <c r="C1328" s="3481" t="s">
        <v>3338</v>
      </c>
      <c r="D1328" s="3482">
        <v>53.29</v>
      </c>
      <c r="E1328" s="3519">
        <f t="shared" si="20"/>
        <v>2981.4224057046349</v>
      </c>
      <c r="F1328" s="3481">
        <v>158880</v>
      </c>
      <c r="G1328" s="3482" t="s">
        <v>3856</v>
      </c>
    </row>
    <row r="1329" spans="1:7">
      <c r="A1329" s="3536">
        <v>1328</v>
      </c>
      <c r="B1329" s="3481" t="s">
        <v>3914</v>
      </c>
      <c r="C1329" s="3481" t="s">
        <v>3338</v>
      </c>
      <c r="D1329" s="3482">
        <v>188.37</v>
      </c>
      <c r="E1329" s="3519">
        <f t="shared" si="20"/>
        <v>11992.509422944206</v>
      </c>
      <c r="F1329" s="3481">
        <v>2259029</v>
      </c>
      <c r="G1329" s="3482" t="s">
        <v>3907</v>
      </c>
    </row>
    <row r="1330" spans="1:7">
      <c r="A1330" s="3536">
        <v>1329</v>
      </c>
      <c r="B1330" s="3481" t="s">
        <v>3635</v>
      </c>
      <c r="C1330" s="3481" t="s">
        <v>3338</v>
      </c>
      <c r="D1330" s="3482">
        <v>53.83</v>
      </c>
      <c r="E1330" s="3519">
        <f t="shared" si="20"/>
        <v>3230.2990897269183</v>
      </c>
      <c r="F1330" s="3481">
        <v>173887</v>
      </c>
      <c r="G1330" s="3482" t="s">
        <v>3634</v>
      </c>
    </row>
    <row r="1331" spans="1:7">
      <c r="A1331" s="3536">
        <v>1330</v>
      </c>
      <c r="B1331" s="3481" t="s">
        <v>6817</v>
      </c>
      <c r="C1331" s="3481" t="s">
        <v>3395</v>
      </c>
      <c r="D1331" s="3482">
        <v>83.88</v>
      </c>
      <c r="E1331" s="3519">
        <f t="shared" si="20"/>
        <v>28458.059132093469</v>
      </c>
      <c r="F1331" s="3481">
        <v>2387062</v>
      </c>
      <c r="G1331" s="3482" t="s">
        <v>3419</v>
      </c>
    </row>
    <row r="1332" spans="1:7">
      <c r="A1332" s="3536">
        <v>1331</v>
      </c>
      <c r="B1332" s="3481" t="s">
        <v>8051</v>
      </c>
      <c r="C1332" s="3481" t="s">
        <v>3395</v>
      </c>
      <c r="D1332" s="3482">
        <v>73.72</v>
      </c>
      <c r="E1332" s="3519">
        <f t="shared" si="20"/>
        <v>35903.757460661967</v>
      </c>
      <c r="F1332" s="3481">
        <v>2646825</v>
      </c>
      <c r="G1332" s="3482" t="s">
        <v>8052</v>
      </c>
    </row>
    <row r="1333" spans="1:7">
      <c r="A1333" s="3536">
        <v>1332</v>
      </c>
      <c r="B1333" s="3481" t="s">
        <v>8057</v>
      </c>
      <c r="C1333" s="3481" t="s">
        <v>3395</v>
      </c>
      <c r="D1333" s="3482">
        <v>74.180000000000007</v>
      </c>
      <c r="E1333" s="3519">
        <f t="shared" si="20"/>
        <v>35533.540037746017</v>
      </c>
      <c r="F1333" s="3481">
        <v>2635878</v>
      </c>
      <c r="G1333" s="3482" t="s">
        <v>8058</v>
      </c>
    </row>
    <row r="1334" spans="1:7">
      <c r="A1334" s="3536">
        <v>1333</v>
      </c>
      <c r="B1334" s="3481" t="s">
        <v>7574</v>
      </c>
      <c r="C1334" s="3481" t="s">
        <v>5318</v>
      </c>
      <c r="D1334" s="3482">
        <v>189.98</v>
      </c>
      <c r="E1334" s="3519">
        <f t="shared" si="20"/>
        <v>25730.524265712182</v>
      </c>
      <c r="F1334" s="3481">
        <v>4888285</v>
      </c>
      <c r="G1334" s="3482" t="s">
        <v>3688</v>
      </c>
    </row>
    <row r="1335" spans="1:7">
      <c r="A1335" s="3536">
        <v>1334</v>
      </c>
      <c r="B1335" s="3481" t="s">
        <v>3687</v>
      </c>
      <c r="C1335" s="3481" t="s">
        <v>3338</v>
      </c>
      <c r="D1335" s="3482">
        <v>12.52</v>
      </c>
      <c r="E1335" s="3519">
        <f t="shared" si="20"/>
        <v>8272.7635782747602</v>
      </c>
      <c r="F1335" s="3481">
        <v>103575</v>
      </c>
      <c r="G1335" s="3482" t="s">
        <v>3688</v>
      </c>
    </row>
    <row r="1336" spans="1:7">
      <c r="A1336" s="3536">
        <v>1335</v>
      </c>
      <c r="B1336" s="3481" t="s">
        <v>7559</v>
      </c>
      <c r="C1336" s="3481" t="s">
        <v>5305</v>
      </c>
      <c r="D1336" s="3482">
        <v>73.430000000000007</v>
      </c>
      <c r="E1336" s="3519">
        <f t="shared" si="20"/>
        <v>38737.232738662671</v>
      </c>
      <c r="F1336" s="3481">
        <v>2844475</v>
      </c>
      <c r="G1336" s="3482" t="s">
        <v>3668</v>
      </c>
    </row>
    <row r="1337" spans="1:7">
      <c r="A1337" s="3536">
        <v>1336</v>
      </c>
      <c r="B1337" s="3481" t="s">
        <v>3667</v>
      </c>
      <c r="C1337" s="3481" t="s">
        <v>3338</v>
      </c>
      <c r="D1337" s="3482">
        <v>98.41</v>
      </c>
      <c r="E1337" s="3519">
        <f t="shared" si="20"/>
        <v>11749.497002337161</v>
      </c>
      <c r="F1337" s="3481">
        <v>1156268</v>
      </c>
      <c r="G1337" s="3482" t="s">
        <v>3668</v>
      </c>
    </row>
    <row r="1338" spans="1:7">
      <c r="A1338" s="3536">
        <v>1337</v>
      </c>
      <c r="B1338" s="3481" t="s">
        <v>7588</v>
      </c>
      <c r="C1338" s="3481" t="s">
        <v>5318</v>
      </c>
      <c r="D1338" s="3482">
        <v>189.07</v>
      </c>
      <c r="E1338" s="3519">
        <f t="shared" si="20"/>
        <v>25854.366107790767</v>
      </c>
      <c r="F1338" s="3481">
        <v>4888285</v>
      </c>
      <c r="G1338" s="3482" t="s">
        <v>3709</v>
      </c>
    </row>
    <row r="1339" spans="1:7">
      <c r="A1339" s="3536">
        <v>1338</v>
      </c>
      <c r="B1339" s="3481" t="s">
        <v>3708</v>
      </c>
      <c r="C1339" s="3481" t="s">
        <v>3338</v>
      </c>
      <c r="D1339" s="3482">
        <v>12.52</v>
      </c>
      <c r="E1339" s="3519">
        <f t="shared" si="20"/>
        <v>8272.7635782747602</v>
      </c>
      <c r="F1339" s="3481">
        <v>103575</v>
      </c>
      <c r="G1339" s="3482" t="s">
        <v>3709</v>
      </c>
    </row>
    <row r="1340" spans="1:7">
      <c r="A1340" s="3536">
        <v>1339</v>
      </c>
      <c r="B1340" s="3481" t="s">
        <v>3689</v>
      </c>
      <c r="C1340" s="3481" t="s">
        <v>3338</v>
      </c>
      <c r="D1340" s="3482">
        <v>53.62</v>
      </c>
      <c r="E1340" s="3519">
        <f t="shared" si="20"/>
        <v>1931.6486385676988</v>
      </c>
      <c r="F1340" s="3481">
        <v>103575</v>
      </c>
      <c r="G1340" s="3482" t="s">
        <v>3688</v>
      </c>
    </row>
    <row r="1341" spans="1:7">
      <c r="A1341" s="3536">
        <v>1340</v>
      </c>
      <c r="B1341" s="3481" t="s">
        <v>3669</v>
      </c>
      <c r="C1341" s="3481" t="s">
        <v>3338</v>
      </c>
      <c r="D1341" s="3482">
        <v>188.13</v>
      </c>
      <c r="E1341" s="3519">
        <f t="shared" si="20"/>
        <v>11697.746239302611</v>
      </c>
      <c r="F1341" s="3481">
        <v>2200697</v>
      </c>
      <c r="G1341" s="3482" t="s">
        <v>3668</v>
      </c>
    </row>
    <row r="1342" spans="1:7">
      <c r="A1342" s="3536">
        <v>1341</v>
      </c>
      <c r="B1342" s="3481" t="s">
        <v>3710</v>
      </c>
      <c r="C1342" s="3481" t="s">
        <v>3338</v>
      </c>
      <c r="D1342" s="3482">
        <v>53.07</v>
      </c>
      <c r="E1342" s="3519">
        <f t="shared" si="20"/>
        <v>1951.6676088185416</v>
      </c>
      <c r="F1342" s="3481">
        <v>103575</v>
      </c>
      <c r="G1342" s="3482" t="s">
        <v>3709</v>
      </c>
    </row>
    <row r="1343" spans="1:7">
      <c r="A1343" s="3536">
        <v>1342</v>
      </c>
      <c r="B1343" s="3481" t="s">
        <v>7384</v>
      </c>
      <c r="C1343" s="3481" t="s">
        <v>3395</v>
      </c>
      <c r="D1343" s="3482">
        <v>83.92</v>
      </c>
      <c r="E1343" s="3519">
        <f t="shared" si="20"/>
        <v>32340.43136320305</v>
      </c>
      <c r="F1343" s="3481">
        <v>2714009</v>
      </c>
      <c r="G1343" s="3482" t="s">
        <v>7385</v>
      </c>
    </row>
    <row r="1344" spans="1:7">
      <c r="A1344" s="3536">
        <v>1343</v>
      </c>
      <c r="B1344" s="3481" t="s">
        <v>7253</v>
      </c>
      <c r="C1344" s="3481" t="s">
        <v>3395</v>
      </c>
      <c r="D1344" s="3482">
        <v>83.54</v>
      </c>
      <c r="E1344" s="3519">
        <f t="shared" si="20"/>
        <v>28070.385444098632</v>
      </c>
      <c r="F1344" s="3481">
        <v>2345000</v>
      </c>
      <c r="G1344" s="3482" t="s">
        <v>3503</v>
      </c>
    </row>
    <row r="1345" spans="1:7">
      <c r="A1345" s="3536">
        <v>1344</v>
      </c>
      <c r="B1345" s="3481" t="s">
        <v>7392</v>
      </c>
      <c r="C1345" s="3481" t="s">
        <v>3395</v>
      </c>
      <c r="D1345" s="3482">
        <v>83.92</v>
      </c>
      <c r="E1345" s="3519">
        <f t="shared" si="20"/>
        <v>31696.854146806483</v>
      </c>
      <c r="F1345" s="3481">
        <v>2660000</v>
      </c>
      <c r="G1345" s="3482" t="s">
        <v>7393</v>
      </c>
    </row>
    <row r="1346" spans="1:7">
      <c r="A1346" s="3536">
        <v>1345</v>
      </c>
      <c r="B1346" s="3481" t="s">
        <v>7254</v>
      </c>
      <c r="C1346" s="3481" t="s">
        <v>3395</v>
      </c>
      <c r="D1346" s="3482">
        <v>83.54</v>
      </c>
      <c r="E1346" s="3519">
        <f t="shared" si="20"/>
        <v>28701.388556380174</v>
      </c>
      <c r="F1346" s="3481">
        <v>2397714</v>
      </c>
      <c r="G1346" s="3482" t="s">
        <v>3503</v>
      </c>
    </row>
    <row r="1347" spans="1:7">
      <c r="A1347" s="3536">
        <v>1346</v>
      </c>
      <c r="B1347" s="3481" t="s">
        <v>6818</v>
      </c>
      <c r="C1347" s="3481" t="s">
        <v>3395</v>
      </c>
      <c r="D1347" s="3482">
        <v>83.92</v>
      </c>
      <c r="E1347" s="3519">
        <f t="shared" ref="E1347:E1410" si="21">F1347/D1347</f>
        <v>28002.859866539562</v>
      </c>
      <c r="F1347" s="3481">
        <v>2350000</v>
      </c>
      <c r="G1347" s="3482" t="s">
        <v>3419</v>
      </c>
    </row>
    <row r="1348" spans="1:7">
      <c r="A1348" s="3536">
        <v>1347</v>
      </c>
      <c r="B1348" s="3481" t="s">
        <v>7026</v>
      </c>
      <c r="C1348" s="3481" t="s">
        <v>3395</v>
      </c>
      <c r="D1348" s="3482">
        <v>74.22</v>
      </c>
      <c r="E1348" s="3519">
        <f t="shared" si="21"/>
        <v>28496.362166531933</v>
      </c>
      <c r="F1348" s="3481">
        <v>2115000</v>
      </c>
      <c r="G1348" s="3482" t="s">
        <v>7027</v>
      </c>
    </row>
    <row r="1349" spans="1:7">
      <c r="A1349" s="3536">
        <v>1348</v>
      </c>
      <c r="B1349" s="3481" t="s">
        <v>7582</v>
      </c>
      <c r="C1349" s="3481" t="s">
        <v>3395</v>
      </c>
      <c r="D1349" s="3482">
        <v>73.760000000000005</v>
      </c>
      <c r="E1349" s="3519">
        <f t="shared" si="21"/>
        <v>36716.594360086769</v>
      </c>
      <c r="F1349" s="3481">
        <v>2708216</v>
      </c>
      <c r="G1349" s="3482" t="s">
        <v>3698</v>
      </c>
    </row>
    <row r="1350" spans="1:7">
      <c r="A1350" s="3536">
        <v>1349</v>
      </c>
      <c r="B1350" s="3481" t="s">
        <v>7576</v>
      </c>
      <c r="C1350" s="3481" t="s">
        <v>5318</v>
      </c>
      <c r="D1350" s="3482">
        <v>189.07</v>
      </c>
      <c r="E1350" s="3519">
        <f t="shared" si="21"/>
        <v>25854.366107790767</v>
      </c>
      <c r="F1350" s="3481">
        <v>4888285</v>
      </c>
      <c r="G1350" s="3482" t="s">
        <v>3691</v>
      </c>
    </row>
    <row r="1351" spans="1:7">
      <c r="A1351" s="3536">
        <v>1350</v>
      </c>
      <c r="B1351" s="3481" t="s">
        <v>3690</v>
      </c>
      <c r="C1351" s="3481" t="s">
        <v>3338</v>
      </c>
      <c r="D1351" s="3482">
        <v>12.52</v>
      </c>
      <c r="E1351" s="3519">
        <f t="shared" si="21"/>
        <v>8272.7635782747602</v>
      </c>
      <c r="F1351" s="3481">
        <v>103575</v>
      </c>
      <c r="G1351" s="3482" t="s">
        <v>3691</v>
      </c>
    </row>
    <row r="1352" spans="1:7">
      <c r="A1352" s="3536">
        <v>1351</v>
      </c>
      <c r="B1352" s="3481" t="s">
        <v>7537</v>
      </c>
      <c r="C1352" s="3481" t="s">
        <v>5318</v>
      </c>
      <c r="D1352" s="3482">
        <v>189.07</v>
      </c>
      <c r="E1352" s="3519">
        <f t="shared" si="21"/>
        <v>25854.366107790767</v>
      </c>
      <c r="F1352" s="3481">
        <v>4888285</v>
      </c>
      <c r="G1352" s="3482" t="s">
        <v>3657</v>
      </c>
    </row>
    <row r="1353" spans="1:7">
      <c r="A1353" s="3536">
        <v>1352</v>
      </c>
      <c r="B1353" s="3481" t="s">
        <v>3659</v>
      </c>
      <c r="C1353" s="3481" t="s">
        <v>3338</v>
      </c>
      <c r="D1353" s="3482">
        <v>12.52</v>
      </c>
      <c r="E1353" s="3519">
        <f t="shared" si="21"/>
        <v>8272.7635782747602</v>
      </c>
      <c r="F1353" s="3481">
        <v>103575</v>
      </c>
      <c r="G1353" s="3482" t="s">
        <v>3657</v>
      </c>
    </row>
    <row r="1354" spans="1:7">
      <c r="A1354" s="3536">
        <v>1353</v>
      </c>
      <c r="B1354" s="3481" t="s">
        <v>3692</v>
      </c>
      <c r="C1354" s="3481" t="s">
        <v>3338</v>
      </c>
      <c r="D1354" s="3482">
        <v>53.07</v>
      </c>
      <c r="E1354" s="3519">
        <f t="shared" si="21"/>
        <v>1951.6676088185416</v>
      </c>
      <c r="F1354" s="3481">
        <v>103575</v>
      </c>
      <c r="G1354" s="3482" t="s">
        <v>3691</v>
      </c>
    </row>
    <row r="1355" spans="1:7">
      <c r="A1355" s="3536">
        <v>1354</v>
      </c>
      <c r="B1355" s="3481" t="s">
        <v>3660</v>
      </c>
      <c r="C1355" s="3481" t="s">
        <v>3338</v>
      </c>
      <c r="D1355" s="3482">
        <v>53.07</v>
      </c>
      <c r="E1355" s="3519">
        <f t="shared" si="21"/>
        <v>1951.6676088185416</v>
      </c>
      <c r="F1355" s="3481">
        <v>103575</v>
      </c>
      <c r="G1355" s="3482" t="s">
        <v>3657</v>
      </c>
    </row>
    <row r="1356" spans="1:7">
      <c r="A1356" s="3536">
        <v>1355</v>
      </c>
      <c r="B1356" s="3481" t="s">
        <v>7394</v>
      </c>
      <c r="C1356" s="3481" t="s">
        <v>3395</v>
      </c>
      <c r="D1356" s="3482">
        <v>83.54</v>
      </c>
      <c r="E1356" s="3519">
        <f t="shared" si="21"/>
        <v>31721.331098874787</v>
      </c>
      <c r="F1356" s="3481">
        <v>2650000</v>
      </c>
      <c r="G1356" s="3482" t="s">
        <v>7393</v>
      </c>
    </row>
    <row r="1357" spans="1:7">
      <c r="A1357" s="3536">
        <v>1356</v>
      </c>
      <c r="B1357" s="3481" t="s">
        <v>7255</v>
      </c>
      <c r="C1357" s="3481" t="s">
        <v>3395</v>
      </c>
      <c r="D1357" s="3482">
        <v>83.54</v>
      </c>
      <c r="E1357" s="3519">
        <f t="shared" si="21"/>
        <v>28414.37634666028</v>
      </c>
      <c r="F1357" s="3481">
        <v>2373737</v>
      </c>
      <c r="G1357" s="3482" t="s">
        <v>3503</v>
      </c>
    </row>
    <row r="1358" spans="1:7">
      <c r="A1358" s="3536">
        <v>1357</v>
      </c>
      <c r="B1358" s="3481" t="s">
        <v>7256</v>
      </c>
      <c r="C1358" s="3481" t="s">
        <v>3395</v>
      </c>
      <c r="D1358" s="3482">
        <v>83.54</v>
      </c>
      <c r="E1358" s="3519">
        <f t="shared" si="21"/>
        <v>28070.385444098632</v>
      </c>
      <c r="F1358" s="3481">
        <v>2345000</v>
      </c>
      <c r="G1358" s="3482" t="s">
        <v>3503</v>
      </c>
    </row>
    <row r="1359" spans="1:7">
      <c r="A1359" s="3536">
        <v>1358</v>
      </c>
      <c r="B1359" s="3481" t="s">
        <v>7257</v>
      </c>
      <c r="C1359" s="3481" t="s">
        <v>3395</v>
      </c>
      <c r="D1359" s="3482">
        <v>83.54</v>
      </c>
      <c r="E1359" s="3519">
        <f t="shared" si="21"/>
        <v>28701.388556380174</v>
      </c>
      <c r="F1359" s="3481">
        <v>2397714</v>
      </c>
      <c r="G1359" s="3482" t="s">
        <v>3503</v>
      </c>
    </row>
    <row r="1360" spans="1:7">
      <c r="A1360" s="3536">
        <v>1359</v>
      </c>
      <c r="B1360" s="3481" t="s">
        <v>7418</v>
      </c>
      <c r="C1360" s="3481" t="s">
        <v>3395</v>
      </c>
      <c r="D1360" s="3482">
        <v>73.760000000000005</v>
      </c>
      <c r="E1360" s="3519">
        <f t="shared" si="21"/>
        <v>36751.925162689804</v>
      </c>
      <c r="F1360" s="3481">
        <v>2710822</v>
      </c>
      <c r="G1360" s="3482" t="s">
        <v>7419</v>
      </c>
    </row>
    <row r="1361" spans="1:7">
      <c r="A1361" s="3536">
        <v>1360</v>
      </c>
      <c r="B1361" s="3481" t="s">
        <v>7608</v>
      </c>
      <c r="C1361" s="3481" t="s">
        <v>3395</v>
      </c>
      <c r="D1361" s="3482">
        <v>73.760000000000005</v>
      </c>
      <c r="E1361" s="3519">
        <f t="shared" si="21"/>
        <v>36216.296095444683</v>
      </c>
      <c r="F1361" s="3481">
        <v>2671314</v>
      </c>
      <c r="G1361" s="3482" t="s">
        <v>3737</v>
      </c>
    </row>
    <row r="1362" spans="1:7">
      <c r="A1362" s="3536">
        <v>1361</v>
      </c>
      <c r="B1362" s="3481" t="s">
        <v>7561</v>
      </c>
      <c r="C1362" s="3481" t="s">
        <v>5318</v>
      </c>
      <c r="D1362" s="3482">
        <v>178.28</v>
      </c>
      <c r="E1362" s="3519">
        <f t="shared" si="21"/>
        <v>28841.098272380525</v>
      </c>
      <c r="F1362" s="3481">
        <v>5141791</v>
      </c>
      <c r="G1362" s="3482" t="s">
        <v>3673</v>
      </c>
    </row>
    <row r="1363" spans="1:7">
      <c r="A1363" s="3536">
        <v>1362</v>
      </c>
      <c r="B1363" s="3481" t="s">
        <v>3672</v>
      </c>
      <c r="C1363" s="3481" t="s">
        <v>3338</v>
      </c>
      <c r="D1363" s="3482">
        <v>23.65</v>
      </c>
      <c r="E1363" s="3519">
        <f t="shared" si="21"/>
        <v>4653.150105708246</v>
      </c>
      <c r="F1363" s="3481">
        <v>110047</v>
      </c>
      <c r="G1363" s="3482" t="s">
        <v>3673</v>
      </c>
    </row>
    <row r="1364" spans="1:7">
      <c r="A1364" s="3536">
        <v>1363</v>
      </c>
      <c r="B1364" s="3481" t="s">
        <v>7501</v>
      </c>
      <c r="C1364" s="3481" t="s">
        <v>5305</v>
      </c>
      <c r="D1364" s="3482">
        <v>73.430000000000007</v>
      </c>
      <c r="E1364" s="3519">
        <f t="shared" si="21"/>
        <v>38349.857006673017</v>
      </c>
      <c r="F1364" s="3481">
        <v>2816030</v>
      </c>
      <c r="G1364" s="3482" t="s">
        <v>3609</v>
      </c>
    </row>
    <row r="1365" spans="1:7">
      <c r="A1365" s="3536">
        <v>1364</v>
      </c>
      <c r="B1365" s="3481" t="s">
        <v>3608</v>
      </c>
      <c r="C1365" s="3481" t="s">
        <v>3338</v>
      </c>
      <c r="D1365" s="3482">
        <v>98.41</v>
      </c>
      <c r="E1365" s="3519">
        <f t="shared" si="21"/>
        <v>11871.842292449955</v>
      </c>
      <c r="F1365" s="3481">
        <v>1168308</v>
      </c>
      <c r="G1365" s="3482" t="s">
        <v>3609</v>
      </c>
    </row>
    <row r="1366" spans="1:7">
      <c r="A1366" s="3536">
        <v>1365</v>
      </c>
      <c r="B1366" s="3481" t="s">
        <v>7586</v>
      </c>
      <c r="C1366" s="3481" t="s">
        <v>5318</v>
      </c>
      <c r="D1366" s="3482">
        <v>179.48</v>
      </c>
      <c r="E1366" s="3519">
        <f t="shared" si="21"/>
        <v>27235.820147091599</v>
      </c>
      <c r="F1366" s="3481">
        <v>4888285</v>
      </c>
      <c r="G1366" s="3482" t="s">
        <v>3704</v>
      </c>
    </row>
    <row r="1367" spans="1:7">
      <c r="A1367" s="3536">
        <v>1366</v>
      </c>
      <c r="B1367" s="3481" t="s">
        <v>3703</v>
      </c>
      <c r="C1367" s="3481" t="s">
        <v>3338</v>
      </c>
      <c r="D1367" s="3482">
        <v>23.79</v>
      </c>
      <c r="E1367" s="3519">
        <f t="shared" si="21"/>
        <v>4353.7200504413622</v>
      </c>
      <c r="F1367" s="3481">
        <v>103575</v>
      </c>
      <c r="G1367" s="3482" t="s">
        <v>3704</v>
      </c>
    </row>
    <row r="1368" spans="1:7">
      <c r="A1368" s="3536">
        <v>1367</v>
      </c>
      <c r="B1368" s="3481" t="s">
        <v>3674</v>
      </c>
      <c r="C1368" s="3481" t="s">
        <v>3338</v>
      </c>
      <c r="D1368" s="3482">
        <v>28.32</v>
      </c>
      <c r="E1368" s="3519">
        <f t="shared" si="21"/>
        <v>3885.8403954802261</v>
      </c>
      <c r="F1368" s="3481">
        <v>110047</v>
      </c>
      <c r="G1368" s="3482" t="s">
        <v>3673</v>
      </c>
    </row>
    <row r="1369" spans="1:7">
      <c r="A1369" s="3536">
        <v>1368</v>
      </c>
      <c r="B1369" s="3481" t="s">
        <v>3610</v>
      </c>
      <c r="C1369" s="3481" t="s">
        <v>3338</v>
      </c>
      <c r="D1369" s="3482">
        <v>188.13</v>
      </c>
      <c r="E1369" s="3519">
        <f t="shared" si="21"/>
        <v>11819.55031095519</v>
      </c>
      <c r="F1369" s="3481">
        <v>2223612</v>
      </c>
      <c r="G1369" s="3482" t="s">
        <v>3609</v>
      </c>
    </row>
    <row r="1370" spans="1:7">
      <c r="A1370" s="3536">
        <v>1369</v>
      </c>
      <c r="B1370" s="3481" t="s">
        <v>3705</v>
      </c>
      <c r="C1370" s="3481" t="s">
        <v>3338</v>
      </c>
      <c r="D1370" s="3482">
        <v>28.32</v>
      </c>
      <c r="E1370" s="3519">
        <f t="shared" si="21"/>
        <v>3657.3093220338983</v>
      </c>
      <c r="F1370" s="3481">
        <v>103575</v>
      </c>
      <c r="G1370" s="3482" t="s">
        <v>3704</v>
      </c>
    </row>
    <row r="1371" spans="1:7">
      <c r="A1371" s="3536">
        <v>1370</v>
      </c>
      <c r="B1371" s="3481" t="s">
        <v>7397</v>
      </c>
      <c r="C1371" s="3481" t="s">
        <v>3395</v>
      </c>
      <c r="D1371" s="3482">
        <v>83.54</v>
      </c>
      <c r="E1371" s="3519">
        <f t="shared" si="21"/>
        <v>32365.405793631791</v>
      </c>
      <c r="F1371" s="3481">
        <v>2703806</v>
      </c>
      <c r="G1371" s="3482" t="s">
        <v>3529</v>
      </c>
    </row>
    <row r="1372" spans="1:7">
      <c r="A1372" s="3536">
        <v>1371</v>
      </c>
      <c r="B1372" s="3481" t="s">
        <v>7258</v>
      </c>
      <c r="C1372" s="3481" t="s">
        <v>3395</v>
      </c>
      <c r="D1372" s="3482">
        <v>83.92</v>
      </c>
      <c r="E1372" s="3519">
        <f t="shared" si="21"/>
        <v>27943.279313632029</v>
      </c>
      <c r="F1372" s="3481">
        <v>2345000</v>
      </c>
      <c r="G1372" s="3482" t="s">
        <v>3503</v>
      </c>
    </row>
    <row r="1373" spans="1:7">
      <c r="A1373" s="3536">
        <v>1372</v>
      </c>
      <c r="B1373" s="3481" t="s">
        <v>7259</v>
      </c>
      <c r="C1373" s="3481" t="s">
        <v>3395</v>
      </c>
      <c r="D1373" s="3482">
        <v>83.54</v>
      </c>
      <c r="E1373" s="3519">
        <f t="shared" si="21"/>
        <v>28130.237012209716</v>
      </c>
      <c r="F1373" s="3481">
        <v>2350000</v>
      </c>
      <c r="G1373" s="3482" t="s">
        <v>3503</v>
      </c>
    </row>
    <row r="1374" spans="1:7">
      <c r="A1374" s="3536">
        <v>1373</v>
      </c>
      <c r="B1374" s="3481" t="s">
        <v>7260</v>
      </c>
      <c r="C1374" s="3481" t="s">
        <v>3395</v>
      </c>
      <c r="D1374" s="3482">
        <v>83.92</v>
      </c>
      <c r="E1374" s="3519">
        <f t="shared" si="21"/>
        <v>27943.279313632029</v>
      </c>
      <c r="F1374" s="3481">
        <v>2345000</v>
      </c>
      <c r="G1374" s="3482" t="s">
        <v>3503</v>
      </c>
    </row>
    <row r="1375" spans="1:7">
      <c r="A1375" s="3536">
        <v>1374</v>
      </c>
      <c r="B1375" s="3481" t="s">
        <v>7627</v>
      </c>
      <c r="C1375" s="3481" t="s">
        <v>3395</v>
      </c>
      <c r="D1375" s="3482">
        <v>73.760000000000005</v>
      </c>
      <c r="E1375" s="3519">
        <f t="shared" si="21"/>
        <v>36443.560195227765</v>
      </c>
      <c r="F1375" s="3481">
        <v>2688077</v>
      </c>
      <c r="G1375" s="3482" t="s">
        <v>3756</v>
      </c>
    </row>
    <row r="1376" spans="1:7">
      <c r="A1376" s="3536">
        <v>1375</v>
      </c>
      <c r="B1376" s="3481" t="s">
        <v>7583</v>
      </c>
      <c r="C1376" s="3481" t="s">
        <v>3395</v>
      </c>
      <c r="D1376" s="3482">
        <v>74.22</v>
      </c>
      <c r="E1376" s="3519">
        <f t="shared" si="21"/>
        <v>36443.505793586635</v>
      </c>
      <c r="F1376" s="3481">
        <v>2704837</v>
      </c>
      <c r="G1376" s="3482" t="s">
        <v>7584</v>
      </c>
    </row>
    <row r="1377" spans="1:7">
      <c r="A1377" s="3536">
        <v>1376</v>
      </c>
      <c r="B1377" s="3481" t="s">
        <v>7650</v>
      </c>
      <c r="C1377" s="3481" t="s">
        <v>5318</v>
      </c>
      <c r="D1377" s="3482">
        <v>193.06</v>
      </c>
      <c r="E1377" s="3519">
        <f t="shared" si="21"/>
        <v>25367.554128250285</v>
      </c>
      <c r="F1377" s="3481">
        <v>4897460</v>
      </c>
      <c r="G1377" s="3482" t="s">
        <v>3772</v>
      </c>
    </row>
    <row r="1378" spans="1:7">
      <c r="A1378" s="3536">
        <v>1377</v>
      </c>
      <c r="B1378" s="3481" t="s">
        <v>3771</v>
      </c>
      <c r="C1378" s="3481" t="s">
        <v>3338</v>
      </c>
      <c r="D1378" s="3482">
        <v>12.54</v>
      </c>
      <c r="E1378" s="3519">
        <f t="shared" si="21"/>
        <v>7974.4816586921852</v>
      </c>
      <c r="F1378" s="3481">
        <v>100000</v>
      </c>
      <c r="G1378" s="3482" t="s">
        <v>3772</v>
      </c>
    </row>
    <row r="1379" spans="1:7">
      <c r="A1379" s="3536">
        <v>1378</v>
      </c>
      <c r="B1379" s="3481" t="s">
        <v>7704</v>
      </c>
      <c r="C1379" s="3481" t="s">
        <v>5305</v>
      </c>
      <c r="D1379" s="3482">
        <v>73.12</v>
      </c>
      <c r="E1379" s="3519">
        <f t="shared" si="21"/>
        <v>39090.946389496712</v>
      </c>
      <c r="F1379" s="3481">
        <v>2858330</v>
      </c>
      <c r="G1379" s="3482" t="s">
        <v>3810</v>
      </c>
    </row>
    <row r="1380" spans="1:7">
      <c r="A1380" s="3536">
        <v>1379</v>
      </c>
      <c r="B1380" s="3481" t="s">
        <v>3813</v>
      </c>
      <c r="C1380" s="3481" t="s">
        <v>3338</v>
      </c>
      <c r="D1380" s="3482">
        <v>98.8</v>
      </c>
      <c r="E1380" s="3519">
        <f t="shared" si="21"/>
        <v>13081.447368421053</v>
      </c>
      <c r="F1380" s="3481">
        <v>1292447</v>
      </c>
      <c r="G1380" s="3482" t="s">
        <v>3810</v>
      </c>
    </row>
    <row r="1381" spans="1:7">
      <c r="A1381" s="3536">
        <v>1380</v>
      </c>
      <c r="B1381" s="3481" t="s">
        <v>7516</v>
      </c>
      <c r="C1381" s="3481" t="s">
        <v>5305</v>
      </c>
      <c r="D1381" s="3482">
        <v>72.739999999999995</v>
      </c>
      <c r="E1381" s="3519">
        <f t="shared" si="21"/>
        <v>38713.637613417653</v>
      </c>
      <c r="F1381" s="3481">
        <v>2816030</v>
      </c>
      <c r="G1381" s="3482" t="s">
        <v>3627</v>
      </c>
    </row>
    <row r="1382" spans="1:7">
      <c r="A1382" s="3536">
        <v>1381</v>
      </c>
      <c r="B1382" s="3481" t="s">
        <v>3626</v>
      </c>
      <c r="C1382" s="3481" t="s">
        <v>3338</v>
      </c>
      <c r="D1382" s="3482">
        <v>97.41</v>
      </c>
      <c r="E1382" s="3519">
        <f t="shared" si="21"/>
        <v>13416.579406631763</v>
      </c>
      <c r="F1382" s="3481">
        <v>1306909</v>
      </c>
      <c r="G1382" s="3482" t="s">
        <v>3627</v>
      </c>
    </row>
    <row r="1383" spans="1:7">
      <c r="A1383" s="3536">
        <v>1382</v>
      </c>
      <c r="B1383" s="3481" t="s">
        <v>7653</v>
      </c>
      <c r="C1383" s="3481" t="s">
        <v>5318</v>
      </c>
      <c r="D1383" s="3482">
        <v>192.12</v>
      </c>
      <c r="E1383" s="3519">
        <f t="shared" si="21"/>
        <v>25356.402248594626</v>
      </c>
      <c r="F1383" s="3481">
        <v>4871472</v>
      </c>
      <c r="G1383" s="3482" t="s">
        <v>3777</v>
      </c>
    </row>
    <row r="1384" spans="1:7">
      <c r="A1384" s="3536">
        <v>1383</v>
      </c>
      <c r="B1384" s="3481" t="s">
        <v>3776</v>
      </c>
      <c r="C1384" s="3481" t="s">
        <v>3338</v>
      </c>
      <c r="D1384" s="3482">
        <v>12.54</v>
      </c>
      <c r="E1384" s="3519">
        <f t="shared" si="21"/>
        <v>8866.7464114832546</v>
      </c>
      <c r="F1384" s="3481">
        <v>111189</v>
      </c>
      <c r="G1384" s="3482" t="s">
        <v>3777</v>
      </c>
    </row>
    <row r="1385" spans="1:7">
      <c r="A1385" s="3536">
        <v>1384</v>
      </c>
      <c r="B1385" s="3481" t="s">
        <v>3773</v>
      </c>
      <c r="C1385" s="3481" t="s">
        <v>3338</v>
      </c>
      <c r="D1385" s="3482">
        <v>53.68</v>
      </c>
      <c r="E1385" s="3519">
        <f t="shared" si="21"/>
        <v>1862.8912071535021</v>
      </c>
      <c r="F1385" s="3481">
        <v>100000</v>
      </c>
      <c r="G1385" s="3482" t="s">
        <v>3772</v>
      </c>
    </row>
    <row r="1386" spans="1:7">
      <c r="A1386" s="3536">
        <v>1385</v>
      </c>
      <c r="B1386" s="3481" t="s">
        <v>3814</v>
      </c>
      <c r="C1386" s="3481" t="s">
        <v>3338</v>
      </c>
      <c r="D1386" s="3482">
        <v>188.55</v>
      </c>
      <c r="E1386" s="3519">
        <f t="shared" si="21"/>
        <v>13034.62741978255</v>
      </c>
      <c r="F1386" s="3481">
        <v>2457679</v>
      </c>
      <c r="G1386" s="3482" t="s">
        <v>3810</v>
      </c>
    </row>
    <row r="1387" spans="1:7">
      <c r="A1387" s="3536">
        <v>1386</v>
      </c>
      <c r="B1387" s="3481" t="s">
        <v>3628</v>
      </c>
      <c r="C1387" s="3481" t="s">
        <v>3338</v>
      </c>
      <c r="D1387" s="3482">
        <v>187.17</v>
      </c>
      <c r="E1387" s="3519">
        <f t="shared" si="21"/>
        <v>12121.386974408293</v>
      </c>
      <c r="F1387" s="3481">
        <v>2268760</v>
      </c>
      <c r="G1387" s="3482" t="s">
        <v>3627</v>
      </c>
    </row>
    <row r="1388" spans="1:7">
      <c r="A1388" s="3536">
        <v>1387</v>
      </c>
      <c r="B1388" s="3481" t="s">
        <v>3778</v>
      </c>
      <c r="C1388" s="3481" t="s">
        <v>3338</v>
      </c>
      <c r="D1388" s="3482">
        <v>53.14</v>
      </c>
      <c r="E1388" s="3519">
        <f t="shared" si="21"/>
        <v>2092.3786225065865</v>
      </c>
      <c r="F1388" s="3481">
        <v>111189</v>
      </c>
      <c r="G1388" s="3482" t="s">
        <v>3777</v>
      </c>
    </row>
    <row r="1389" spans="1:7">
      <c r="A1389" s="3536">
        <v>1388</v>
      </c>
      <c r="B1389" s="3481" t="s">
        <v>7622</v>
      </c>
      <c r="C1389" s="3481" t="s">
        <v>3395</v>
      </c>
      <c r="D1389" s="3482">
        <v>83.85</v>
      </c>
      <c r="E1389" s="3519">
        <f t="shared" si="21"/>
        <v>33875.038759689924</v>
      </c>
      <c r="F1389" s="3481">
        <v>2840422</v>
      </c>
      <c r="G1389" s="3482" t="s">
        <v>7623</v>
      </c>
    </row>
    <row r="1390" spans="1:7">
      <c r="A1390" s="3536">
        <v>1389</v>
      </c>
      <c r="B1390" s="3481" t="s">
        <v>7469</v>
      </c>
      <c r="C1390" s="3481" t="s">
        <v>3395</v>
      </c>
      <c r="D1390" s="3482">
        <v>83.47</v>
      </c>
      <c r="E1390" s="3519">
        <f t="shared" si="21"/>
        <v>34029.256020126995</v>
      </c>
      <c r="F1390" s="3481">
        <v>2840422</v>
      </c>
      <c r="G1390" s="3482" t="s">
        <v>7470</v>
      </c>
    </row>
    <row r="1391" spans="1:7">
      <c r="A1391" s="3536">
        <v>1390</v>
      </c>
      <c r="B1391" s="3481" t="s">
        <v>7503</v>
      </c>
      <c r="C1391" s="3481" t="s">
        <v>3395</v>
      </c>
      <c r="D1391" s="3482">
        <v>83.85</v>
      </c>
      <c r="E1391" s="3519">
        <f t="shared" si="21"/>
        <v>33875.038759689924</v>
      </c>
      <c r="F1391" s="3481">
        <v>2840422</v>
      </c>
      <c r="G1391" s="3482" t="s">
        <v>7504</v>
      </c>
    </row>
    <row r="1392" spans="1:7">
      <c r="A1392" s="3536">
        <v>1391</v>
      </c>
      <c r="B1392" s="3481" t="s">
        <v>7499</v>
      </c>
      <c r="C1392" s="3481" t="s">
        <v>3395</v>
      </c>
      <c r="D1392" s="3482">
        <v>83.47</v>
      </c>
      <c r="E1392" s="3519">
        <f t="shared" si="21"/>
        <v>33964.298550377382</v>
      </c>
      <c r="F1392" s="3481">
        <v>2835000</v>
      </c>
      <c r="G1392" s="3482" t="s">
        <v>7500</v>
      </c>
    </row>
    <row r="1393" spans="1:7">
      <c r="A1393" s="3536">
        <v>1392</v>
      </c>
      <c r="B1393" s="3481" t="s">
        <v>7654</v>
      </c>
      <c r="C1393" s="3481" t="s">
        <v>3395</v>
      </c>
      <c r="D1393" s="3482">
        <v>83.85</v>
      </c>
      <c r="E1393" s="3519">
        <f t="shared" si="21"/>
        <v>33885.474060822897</v>
      </c>
      <c r="F1393" s="3481">
        <v>2841297</v>
      </c>
      <c r="G1393" s="3482" t="s">
        <v>3777</v>
      </c>
    </row>
    <row r="1394" spans="1:7">
      <c r="A1394" s="3536">
        <v>1393</v>
      </c>
      <c r="B1394" s="3481" t="s">
        <v>7592</v>
      </c>
      <c r="C1394" s="3481" t="s">
        <v>3395</v>
      </c>
      <c r="D1394" s="3482">
        <v>83.47</v>
      </c>
      <c r="E1394" s="3519">
        <f t="shared" si="21"/>
        <v>34029.256020126995</v>
      </c>
      <c r="F1394" s="3481">
        <v>2840422</v>
      </c>
      <c r="G1394" s="3482" t="s">
        <v>7593</v>
      </c>
    </row>
    <row r="1395" spans="1:7">
      <c r="A1395" s="3536">
        <v>1394</v>
      </c>
      <c r="B1395" s="3481" t="s">
        <v>7457</v>
      </c>
      <c r="C1395" s="3481" t="s">
        <v>3395</v>
      </c>
      <c r="D1395" s="3482">
        <v>83.85</v>
      </c>
      <c r="E1395" s="3519">
        <f t="shared" si="21"/>
        <v>33875.038759689924</v>
      </c>
      <c r="F1395" s="3481">
        <v>2840422</v>
      </c>
      <c r="G1395" s="3482" t="s">
        <v>3576</v>
      </c>
    </row>
    <row r="1396" spans="1:7">
      <c r="A1396" s="3536">
        <v>1395</v>
      </c>
      <c r="B1396" s="3481" t="s">
        <v>7161</v>
      </c>
      <c r="C1396" s="3481" t="s">
        <v>3395</v>
      </c>
      <c r="D1396" s="3482">
        <v>83.47</v>
      </c>
      <c r="E1396" s="3519">
        <f t="shared" si="21"/>
        <v>28153.827722535043</v>
      </c>
      <c r="F1396" s="3481">
        <v>2350000</v>
      </c>
      <c r="G1396" s="3482" t="s">
        <v>3485</v>
      </c>
    </row>
    <row r="1397" spans="1:7">
      <c r="A1397" s="3536">
        <v>1396</v>
      </c>
      <c r="B1397" s="3481" t="s">
        <v>7651</v>
      </c>
      <c r="C1397" s="3481" t="s">
        <v>5318</v>
      </c>
      <c r="D1397" s="3482">
        <v>192.12</v>
      </c>
      <c r="E1397" s="3519">
        <f t="shared" si="21"/>
        <v>25356.402248594626</v>
      </c>
      <c r="F1397" s="3481">
        <v>4871472</v>
      </c>
      <c r="G1397" s="3482" t="s">
        <v>3772</v>
      </c>
    </row>
    <row r="1398" spans="1:7">
      <c r="A1398" s="3536">
        <v>1397</v>
      </c>
      <c r="B1398" s="3481" t="s">
        <v>3774</v>
      </c>
      <c r="C1398" s="3481" t="s">
        <v>3338</v>
      </c>
      <c r="D1398" s="3482">
        <v>12.54</v>
      </c>
      <c r="E1398" s="3519">
        <f t="shared" si="21"/>
        <v>8866.7464114832546</v>
      </c>
      <c r="F1398" s="3481">
        <v>111189</v>
      </c>
      <c r="G1398" s="3482" t="s">
        <v>3772</v>
      </c>
    </row>
    <row r="1399" spans="1:7">
      <c r="A1399" s="3536">
        <v>1398</v>
      </c>
      <c r="B1399" s="3481" t="s">
        <v>7569</v>
      </c>
      <c r="C1399" s="3481" t="s">
        <v>5305</v>
      </c>
      <c r="D1399" s="3482">
        <v>72.739999999999995</v>
      </c>
      <c r="E1399" s="3519">
        <f t="shared" si="21"/>
        <v>38713.637613417653</v>
      </c>
      <c r="F1399" s="3481">
        <v>2816030</v>
      </c>
      <c r="G1399" s="3482" t="s">
        <v>3679</v>
      </c>
    </row>
    <row r="1400" spans="1:7">
      <c r="A1400" s="3536">
        <v>1399</v>
      </c>
      <c r="B1400" s="3481" t="s">
        <v>3681</v>
      </c>
      <c r="C1400" s="3481" t="s">
        <v>3338</v>
      </c>
      <c r="D1400" s="3482">
        <v>97.41</v>
      </c>
      <c r="E1400" s="3519">
        <f t="shared" si="21"/>
        <v>11870.116004516991</v>
      </c>
      <c r="F1400" s="3481">
        <v>1156268</v>
      </c>
      <c r="G1400" s="3482" t="s">
        <v>3679</v>
      </c>
    </row>
    <row r="1401" spans="1:7">
      <c r="A1401" s="3536">
        <v>1400</v>
      </c>
      <c r="B1401" s="3481" t="s">
        <v>7487</v>
      </c>
      <c r="C1401" s="3481" t="s">
        <v>5305</v>
      </c>
      <c r="D1401" s="3482">
        <v>72.739999999999995</v>
      </c>
      <c r="E1401" s="3519">
        <f t="shared" si="21"/>
        <v>38713.637613417653</v>
      </c>
      <c r="F1401" s="3481">
        <v>2816030</v>
      </c>
      <c r="G1401" s="3482" t="s">
        <v>3597</v>
      </c>
    </row>
    <row r="1402" spans="1:7">
      <c r="A1402" s="3536">
        <v>1401</v>
      </c>
      <c r="B1402" s="3481" t="s">
        <v>3596</v>
      </c>
      <c r="C1402" s="3481" t="s">
        <v>3338</v>
      </c>
      <c r="D1402" s="3482">
        <v>97.41</v>
      </c>
      <c r="E1402" s="3519">
        <f t="shared" si="21"/>
        <v>11870.116004516991</v>
      </c>
      <c r="F1402" s="3481">
        <v>1156268</v>
      </c>
      <c r="G1402" s="3482" t="s">
        <v>3597</v>
      </c>
    </row>
    <row r="1403" spans="1:7">
      <c r="A1403" s="3536">
        <v>1402</v>
      </c>
      <c r="B1403" s="3481" t="s">
        <v>7585</v>
      </c>
      <c r="C1403" s="3481" t="s">
        <v>5318</v>
      </c>
      <c r="D1403" s="3482">
        <v>192.12</v>
      </c>
      <c r="E1403" s="3519">
        <f t="shared" si="21"/>
        <v>25499.635644388924</v>
      </c>
      <c r="F1403" s="3481">
        <v>4898990</v>
      </c>
      <c r="G1403" s="3482" t="s">
        <v>3701</v>
      </c>
    </row>
    <row r="1404" spans="1:7">
      <c r="A1404" s="3536">
        <v>1403</v>
      </c>
      <c r="B1404" s="3481" t="s">
        <v>3700</v>
      </c>
      <c r="C1404" s="3481" t="s">
        <v>3338</v>
      </c>
      <c r="D1404" s="3482">
        <v>12.54</v>
      </c>
      <c r="E1404" s="3519">
        <f t="shared" si="21"/>
        <v>7974.4816586921852</v>
      </c>
      <c r="F1404" s="3481">
        <v>100000</v>
      </c>
      <c r="G1404" s="3482" t="s">
        <v>3701</v>
      </c>
    </row>
    <row r="1405" spans="1:7">
      <c r="A1405" s="3536">
        <v>1404</v>
      </c>
      <c r="B1405" s="3481" t="s">
        <v>3775</v>
      </c>
      <c r="C1405" s="3481" t="s">
        <v>3338</v>
      </c>
      <c r="D1405" s="3482">
        <v>53.14</v>
      </c>
      <c r="E1405" s="3519">
        <f t="shared" si="21"/>
        <v>2092.3786225065865</v>
      </c>
      <c r="F1405" s="3481">
        <v>111189</v>
      </c>
      <c r="G1405" s="3482" t="s">
        <v>3772</v>
      </c>
    </row>
    <row r="1406" spans="1:7">
      <c r="A1406" s="3536">
        <v>1405</v>
      </c>
      <c r="B1406" s="3481" t="s">
        <v>3682</v>
      </c>
      <c r="C1406" s="3481" t="s">
        <v>3338</v>
      </c>
      <c r="D1406" s="3482">
        <v>187.17</v>
      </c>
      <c r="E1406" s="3519">
        <f t="shared" si="21"/>
        <v>11640.16669338035</v>
      </c>
      <c r="F1406" s="3481">
        <v>2178690</v>
      </c>
      <c r="G1406" s="3482" t="s">
        <v>3679</v>
      </c>
    </row>
    <row r="1407" spans="1:7">
      <c r="A1407" s="3536">
        <v>1406</v>
      </c>
      <c r="B1407" s="3481" t="s">
        <v>3598</v>
      </c>
      <c r="C1407" s="3481" t="s">
        <v>3338</v>
      </c>
      <c r="D1407" s="3482">
        <v>187.17</v>
      </c>
      <c r="E1407" s="3519">
        <f t="shared" si="21"/>
        <v>11880.173104664209</v>
      </c>
      <c r="F1407" s="3481">
        <v>2223612</v>
      </c>
      <c r="G1407" s="3482" t="s">
        <v>3597</v>
      </c>
    </row>
    <row r="1408" spans="1:7">
      <c r="A1408" s="3536">
        <v>1407</v>
      </c>
      <c r="B1408" s="3481" t="s">
        <v>3702</v>
      </c>
      <c r="C1408" s="3481" t="s">
        <v>3338</v>
      </c>
      <c r="D1408" s="3482">
        <v>53.14</v>
      </c>
      <c r="E1408" s="3519">
        <f t="shared" si="21"/>
        <v>1881.8216033120059</v>
      </c>
      <c r="F1408" s="3481">
        <v>100000</v>
      </c>
      <c r="G1408" s="3482" t="s">
        <v>3701</v>
      </c>
    </row>
    <row r="1409" spans="1:7">
      <c r="A1409" s="3536">
        <v>1408</v>
      </c>
      <c r="B1409" s="3481" t="s">
        <v>7553</v>
      </c>
      <c r="C1409" s="3481" t="s">
        <v>3395</v>
      </c>
      <c r="D1409" s="3482">
        <v>83.47</v>
      </c>
      <c r="E1409" s="3519">
        <f t="shared" si="21"/>
        <v>34029.256020126995</v>
      </c>
      <c r="F1409" s="3481">
        <v>2840422</v>
      </c>
      <c r="G1409" s="3482" t="s">
        <v>7554</v>
      </c>
    </row>
    <row r="1410" spans="1:7">
      <c r="A1410" s="3536">
        <v>1409</v>
      </c>
      <c r="B1410" s="3481" t="s">
        <v>7557</v>
      </c>
      <c r="C1410" s="3481" t="s">
        <v>3395</v>
      </c>
      <c r="D1410" s="3482">
        <v>83.47</v>
      </c>
      <c r="E1410" s="3519">
        <f t="shared" si="21"/>
        <v>34383.574937103149</v>
      </c>
      <c r="F1410" s="3481">
        <v>2869997</v>
      </c>
      <c r="G1410" s="3482" t="s">
        <v>7558</v>
      </c>
    </row>
    <row r="1411" spans="1:7">
      <c r="A1411" s="3536">
        <v>1410</v>
      </c>
      <c r="B1411" s="3481" t="s">
        <v>7612</v>
      </c>
      <c r="C1411" s="3481" t="s">
        <v>3395</v>
      </c>
      <c r="D1411" s="3482">
        <v>83.47</v>
      </c>
      <c r="E1411" s="3519">
        <f t="shared" ref="E1411:E1474" si="22">F1411/D1411</f>
        <v>34029.256020126995</v>
      </c>
      <c r="F1411" s="3481">
        <v>2840422</v>
      </c>
      <c r="G1411" s="3482" t="s">
        <v>7613</v>
      </c>
    </row>
    <row r="1412" spans="1:7">
      <c r="A1412" s="3536">
        <v>1411</v>
      </c>
      <c r="B1412" s="3481" t="s">
        <v>7529</v>
      </c>
      <c r="C1412" s="3481" t="s">
        <v>3395</v>
      </c>
      <c r="D1412" s="3482">
        <v>83.47</v>
      </c>
      <c r="E1412" s="3519">
        <f t="shared" si="22"/>
        <v>34029.256020126995</v>
      </c>
      <c r="F1412" s="3481">
        <v>2840422</v>
      </c>
      <c r="G1412" s="3482" t="s">
        <v>3645</v>
      </c>
    </row>
    <row r="1413" spans="1:7">
      <c r="A1413" s="3536">
        <v>1412</v>
      </c>
      <c r="B1413" s="3481" t="s">
        <v>7655</v>
      </c>
      <c r="C1413" s="3481" t="s">
        <v>3395</v>
      </c>
      <c r="D1413" s="3482">
        <v>83.47</v>
      </c>
      <c r="E1413" s="3519">
        <f t="shared" si="22"/>
        <v>34039.738828321555</v>
      </c>
      <c r="F1413" s="3481">
        <v>2841297</v>
      </c>
      <c r="G1413" s="3482" t="s">
        <v>3777</v>
      </c>
    </row>
    <row r="1414" spans="1:7">
      <c r="A1414" s="3536">
        <v>1413</v>
      </c>
      <c r="B1414" s="3481" t="s">
        <v>7564</v>
      </c>
      <c r="C1414" s="3481" t="s">
        <v>3395</v>
      </c>
      <c r="D1414" s="3482">
        <v>83.47</v>
      </c>
      <c r="E1414" s="3519">
        <f t="shared" si="22"/>
        <v>34029.256020126995</v>
      </c>
      <c r="F1414" s="3481">
        <v>2840422</v>
      </c>
      <c r="G1414" s="3482" t="s">
        <v>7565</v>
      </c>
    </row>
    <row r="1415" spans="1:7">
      <c r="A1415" s="3536">
        <v>1414</v>
      </c>
      <c r="B1415" s="3481" t="s">
        <v>7295</v>
      </c>
      <c r="C1415" s="3481" t="s">
        <v>3395</v>
      </c>
      <c r="D1415" s="3482">
        <v>83.47</v>
      </c>
      <c r="E1415" s="3519">
        <f t="shared" si="22"/>
        <v>28725.458248472507</v>
      </c>
      <c r="F1415" s="3481">
        <v>2397714</v>
      </c>
      <c r="G1415" s="3482" t="s">
        <v>7296</v>
      </c>
    </row>
    <row r="1416" spans="1:7">
      <c r="A1416" s="3536">
        <v>1415</v>
      </c>
      <c r="B1416" s="3481" t="s">
        <v>7097</v>
      </c>
      <c r="C1416" s="3481" t="s">
        <v>3395</v>
      </c>
      <c r="D1416" s="3482">
        <v>83.47</v>
      </c>
      <c r="E1416" s="3519">
        <f t="shared" si="22"/>
        <v>28153.827722535043</v>
      </c>
      <c r="F1416" s="3481">
        <v>2350000</v>
      </c>
      <c r="G1416" s="3482" t="s">
        <v>7095</v>
      </c>
    </row>
    <row r="1417" spans="1:7">
      <c r="A1417" s="3536">
        <v>1416</v>
      </c>
      <c r="B1417" s="3481" t="s">
        <v>7641</v>
      </c>
      <c r="C1417" s="3481" t="s">
        <v>5318</v>
      </c>
      <c r="D1417" s="3482">
        <v>177.58</v>
      </c>
      <c r="E1417" s="3519">
        <f t="shared" si="22"/>
        <v>27432.548710440362</v>
      </c>
      <c r="F1417" s="3481">
        <v>4871472</v>
      </c>
      <c r="G1417" s="3482" t="s">
        <v>3759</v>
      </c>
    </row>
    <row r="1418" spans="1:7">
      <c r="A1418" s="3536">
        <v>1417</v>
      </c>
      <c r="B1418" s="3481" t="s">
        <v>3758</v>
      </c>
      <c r="C1418" s="3481" t="s">
        <v>3338</v>
      </c>
      <c r="D1418" s="3482">
        <v>25.86</v>
      </c>
      <c r="E1418" s="3519">
        <f t="shared" si="22"/>
        <v>4299.6519721577724</v>
      </c>
      <c r="F1418" s="3481">
        <v>111189</v>
      </c>
      <c r="G1418" s="3482" t="s">
        <v>3759</v>
      </c>
    </row>
    <row r="1419" spans="1:7">
      <c r="A1419" s="3536">
        <v>1418</v>
      </c>
      <c r="B1419" s="3481" t="s">
        <v>5926</v>
      </c>
      <c r="C1419" s="3481" t="s">
        <v>5305</v>
      </c>
      <c r="D1419" s="3482">
        <v>72.739999999999995</v>
      </c>
      <c r="E1419" s="3519">
        <f t="shared" si="22"/>
        <v>38713.637613417653</v>
      </c>
      <c r="F1419" s="3481">
        <v>2816030</v>
      </c>
      <c r="G1419" s="3482" t="s">
        <v>3673</v>
      </c>
    </row>
    <row r="1420" spans="1:7">
      <c r="A1420" s="3536">
        <v>1419</v>
      </c>
      <c r="B1420" s="3481" t="s">
        <v>5927</v>
      </c>
      <c r="C1420" s="3481" t="s">
        <v>3338</v>
      </c>
      <c r="D1420" s="3482">
        <v>97.52</v>
      </c>
      <c r="E1420" s="3519">
        <f t="shared" si="22"/>
        <v>11980.188679245284</v>
      </c>
      <c r="F1420" s="3481">
        <v>1168308</v>
      </c>
      <c r="G1420" s="3482" t="s">
        <v>3673</v>
      </c>
    </row>
    <row r="1421" spans="1:7">
      <c r="A1421" s="3536">
        <v>1420</v>
      </c>
      <c r="B1421" s="3481" t="s">
        <v>7611</v>
      </c>
      <c r="C1421" s="3481" t="s">
        <v>5305</v>
      </c>
      <c r="D1421" s="3482">
        <v>73.12</v>
      </c>
      <c r="E1421" s="3519">
        <f t="shared" si="22"/>
        <v>39090.946389496712</v>
      </c>
      <c r="F1421" s="3481">
        <v>2858330</v>
      </c>
      <c r="G1421" s="3482" t="s">
        <v>3740</v>
      </c>
    </row>
    <row r="1422" spans="1:7">
      <c r="A1422" s="3536">
        <v>1421</v>
      </c>
      <c r="B1422" s="3481" t="s">
        <v>3739</v>
      </c>
      <c r="C1422" s="3481" t="s">
        <v>3338</v>
      </c>
      <c r="D1422" s="3482">
        <v>98.8</v>
      </c>
      <c r="E1422" s="3519">
        <f t="shared" si="22"/>
        <v>13360.546558704455</v>
      </c>
      <c r="F1422" s="3481">
        <v>1320022</v>
      </c>
      <c r="G1422" s="3482" t="s">
        <v>3740</v>
      </c>
    </row>
    <row r="1423" spans="1:7">
      <c r="A1423" s="3536">
        <v>1422</v>
      </c>
      <c r="B1423" s="3481" t="s">
        <v>7662</v>
      </c>
      <c r="C1423" s="3481" t="s">
        <v>5318</v>
      </c>
      <c r="D1423" s="3482">
        <v>178.78</v>
      </c>
      <c r="E1423" s="3519">
        <f t="shared" si="22"/>
        <v>27396.571204832755</v>
      </c>
      <c r="F1423" s="3481">
        <v>4897959</v>
      </c>
      <c r="G1423" s="3482" t="s">
        <v>3780</v>
      </c>
    </row>
    <row r="1424" spans="1:7">
      <c r="A1424" s="3536">
        <v>1423</v>
      </c>
      <c r="B1424" s="3481" t="s">
        <v>3779</v>
      </c>
      <c r="C1424" s="3481" t="s">
        <v>3338</v>
      </c>
      <c r="D1424" s="3482">
        <v>26.02</v>
      </c>
      <c r="E1424" s="3519">
        <f t="shared" si="22"/>
        <v>3843.1975403535744</v>
      </c>
      <c r="F1424" s="3481">
        <v>100000</v>
      </c>
      <c r="G1424" s="3482" t="s">
        <v>3780</v>
      </c>
    </row>
    <row r="1425" spans="1:7">
      <c r="A1425" s="3536">
        <v>1424</v>
      </c>
      <c r="B1425" s="3481" t="s">
        <v>3760</v>
      </c>
      <c r="C1425" s="3481" t="s">
        <v>3338</v>
      </c>
      <c r="D1425" s="3482">
        <v>28.35</v>
      </c>
      <c r="E1425" s="3519">
        <f t="shared" si="22"/>
        <v>3922.0105820105819</v>
      </c>
      <c r="F1425" s="3481">
        <v>111189</v>
      </c>
      <c r="G1425" s="3482" t="s">
        <v>3759</v>
      </c>
    </row>
    <row r="1426" spans="1:7">
      <c r="A1426" s="3536">
        <v>1425</v>
      </c>
      <c r="B1426" s="3481" t="s">
        <v>5928</v>
      </c>
      <c r="C1426" s="3481" t="s">
        <v>3338</v>
      </c>
      <c r="D1426" s="3482">
        <v>182.26</v>
      </c>
      <c r="E1426" s="3519">
        <f t="shared" si="22"/>
        <v>12200.219466695929</v>
      </c>
      <c r="F1426" s="3481">
        <v>2223612</v>
      </c>
      <c r="G1426" s="3482" t="s">
        <v>3673</v>
      </c>
    </row>
    <row r="1427" spans="1:7">
      <c r="A1427" s="3536">
        <v>1426</v>
      </c>
      <c r="B1427" s="3481" t="s">
        <v>3741</v>
      </c>
      <c r="C1427" s="3481" t="s">
        <v>3338</v>
      </c>
      <c r="D1427" s="3482">
        <v>188.55</v>
      </c>
      <c r="E1427" s="3519">
        <f t="shared" si="22"/>
        <v>14120.848581278175</v>
      </c>
      <c r="F1427" s="3481">
        <v>2662486</v>
      </c>
      <c r="G1427" s="3482" t="s">
        <v>3740</v>
      </c>
    </row>
    <row r="1428" spans="1:7">
      <c r="A1428" s="3536">
        <v>1427</v>
      </c>
      <c r="B1428" s="3481" t="s">
        <v>3781</v>
      </c>
      <c r="C1428" s="3481" t="s">
        <v>3338</v>
      </c>
      <c r="D1428" s="3482">
        <v>28.35</v>
      </c>
      <c r="E1428" s="3519">
        <f t="shared" si="22"/>
        <v>3527.3368606701938</v>
      </c>
      <c r="F1428" s="3481">
        <v>100000</v>
      </c>
      <c r="G1428" s="3482" t="s">
        <v>3780</v>
      </c>
    </row>
    <row r="1429" spans="1:7">
      <c r="A1429" s="3536">
        <v>1428</v>
      </c>
      <c r="B1429" s="3481" t="s">
        <v>7614</v>
      </c>
      <c r="C1429" s="3481" t="s">
        <v>3395</v>
      </c>
      <c r="D1429" s="3482">
        <v>83.47</v>
      </c>
      <c r="E1429" s="3519">
        <f t="shared" si="22"/>
        <v>34029.256020126995</v>
      </c>
      <c r="F1429" s="3481">
        <v>2840422</v>
      </c>
      <c r="G1429" s="3482" t="s">
        <v>7613</v>
      </c>
    </row>
    <row r="1430" spans="1:7">
      <c r="A1430" s="3536">
        <v>1429</v>
      </c>
      <c r="B1430" s="3481" t="s">
        <v>7669</v>
      </c>
      <c r="C1430" s="3481" t="s">
        <v>3395</v>
      </c>
      <c r="D1430" s="3482">
        <v>83.85</v>
      </c>
      <c r="E1430" s="3519">
        <f t="shared" si="22"/>
        <v>33660.954084675017</v>
      </c>
      <c r="F1430" s="3481">
        <v>2822471</v>
      </c>
      <c r="G1430" s="3482" t="s">
        <v>3788</v>
      </c>
    </row>
    <row r="1431" spans="1:7">
      <c r="A1431" s="3536">
        <v>1430</v>
      </c>
      <c r="B1431" s="3481" t="s">
        <v>7570</v>
      </c>
      <c r="C1431" s="3481" t="s">
        <v>3395</v>
      </c>
      <c r="D1431" s="3482">
        <v>83.47</v>
      </c>
      <c r="E1431" s="3519">
        <f t="shared" si="22"/>
        <v>34039.738828321555</v>
      </c>
      <c r="F1431" s="3481">
        <v>2841297</v>
      </c>
      <c r="G1431" s="3482" t="s">
        <v>3679</v>
      </c>
    </row>
    <row r="1432" spans="1:7">
      <c r="A1432" s="3536">
        <v>1431</v>
      </c>
      <c r="B1432" s="3481" t="s">
        <v>7619</v>
      </c>
      <c r="C1432" s="3481" t="s">
        <v>3395</v>
      </c>
      <c r="D1432" s="3482">
        <v>83.85</v>
      </c>
      <c r="E1432" s="3519">
        <f t="shared" si="22"/>
        <v>33875.038759689924</v>
      </c>
      <c r="F1432" s="3481">
        <v>2840422</v>
      </c>
      <c r="G1432" s="3482" t="s">
        <v>3751</v>
      </c>
    </row>
    <row r="1433" spans="1:7">
      <c r="A1433" s="3536">
        <v>1432</v>
      </c>
      <c r="B1433" s="3481" t="s">
        <v>7578</v>
      </c>
      <c r="C1433" s="3481" t="s">
        <v>3395</v>
      </c>
      <c r="D1433" s="3482">
        <v>83.47</v>
      </c>
      <c r="E1433" s="3519">
        <f t="shared" si="22"/>
        <v>34029.256020126995</v>
      </c>
      <c r="F1433" s="3481">
        <v>2840422</v>
      </c>
      <c r="G1433" s="3482" t="s">
        <v>3691</v>
      </c>
    </row>
    <row r="1434" spans="1:7">
      <c r="A1434" s="3536">
        <v>1433</v>
      </c>
      <c r="B1434" s="3481" t="s">
        <v>7600</v>
      </c>
      <c r="C1434" s="3481" t="s">
        <v>3395</v>
      </c>
      <c r="D1434" s="3482">
        <v>83.85</v>
      </c>
      <c r="E1434" s="3519">
        <f t="shared" si="22"/>
        <v>33875.038759689924</v>
      </c>
      <c r="F1434" s="3481">
        <v>2840422</v>
      </c>
      <c r="G1434" s="3482" t="s">
        <v>3729</v>
      </c>
    </row>
    <row r="1435" spans="1:7">
      <c r="A1435" s="3536">
        <v>1434</v>
      </c>
      <c r="B1435" s="3481" t="s">
        <v>7198</v>
      </c>
      <c r="C1435" s="3481" t="s">
        <v>3395</v>
      </c>
      <c r="D1435" s="3482">
        <v>83.47</v>
      </c>
      <c r="E1435" s="3519">
        <f t="shared" si="22"/>
        <v>28438.205343237092</v>
      </c>
      <c r="F1435" s="3481">
        <v>2373737</v>
      </c>
      <c r="G1435" s="3482" t="s">
        <v>7192</v>
      </c>
    </row>
    <row r="1436" spans="1:7">
      <c r="A1436" s="3536">
        <v>1435</v>
      </c>
      <c r="B1436" s="3481" t="s">
        <v>7407</v>
      </c>
      <c r="C1436" s="3481" t="s">
        <v>3395</v>
      </c>
      <c r="D1436" s="3482">
        <v>83.85</v>
      </c>
      <c r="E1436" s="3519">
        <f t="shared" si="22"/>
        <v>33421.765056648779</v>
      </c>
      <c r="F1436" s="3481">
        <v>2802415</v>
      </c>
      <c r="G1436" s="3482" t="s">
        <v>7408</v>
      </c>
    </row>
    <row r="1437" spans="1:7">
      <c r="A1437" s="3536">
        <v>1436</v>
      </c>
      <c r="B1437" s="3481" t="s">
        <v>7663</v>
      </c>
      <c r="C1437" s="3481" t="s">
        <v>5318</v>
      </c>
      <c r="D1437" s="3482">
        <v>193.06</v>
      </c>
      <c r="E1437" s="3519">
        <f t="shared" si="22"/>
        <v>25367.554128250285</v>
      </c>
      <c r="F1437" s="3481">
        <v>4897460</v>
      </c>
      <c r="G1437" s="3482" t="s">
        <v>3780</v>
      </c>
    </row>
    <row r="1438" spans="1:7">
      <c r="A1438" s="3536">
        <v>1437</v>
      </c>
      <c r="B1438" s="3481" t="s">
        <v>3782</v>
      </c>
      <c r="C1438" s="3481" t="s">
        <v>3338</v>
      </c>
      <c r="D1438" s="3482">
        <v>12.54</v>
      </c>
      <c r="E1438" s="3519">
        <f t="shared" si="22"/>
        <v>7974.4816586921852</v>
      </c>
      <c r="F1438" s="3481">
        <v>100000</v>
      </c>
      <c r="G1438" s="3482" t="s">
        <v>3780</v>
      </c>
    </row>
    <row r="1439" spans="1:7">
      <c r="A1439" s="3536">
        <v>1438</v>
      </c>
      <c r="B1439" s="3481" t="s">
        <v>6799</v>
      </c>
      <c r="C1439" s="3481" t="s">
        <v>5305</v>
      </c>
      <c r="D1439" s="3482">
        <v>73.12</v>
      </c>
      <c r="E1439" s="3519">
        <f t="shared" si="22"/>
        <v>39090.960065645515</v>
      </c>
      <c r="F1439" s="3481">
        <v>2858331</v>
      </c>
      <c r="G1439" s="3482" t="s">
        <v>3788</v>
      </c>
    </row>
    <row r="1440" spans="1:7">
      <c r="A1440" s="3536">
        <v>1439</v>
      </c>
      <c r="B1440" s="3481" t="s">
        <v>3416</v>
      </c>
      <c r="C1440" s="3481" t="s">
        <v>3338</v>
      </c>
      <c r="D1440" s="3482">
        <v>98.8</v>
      </c>
      <c r="E1440" s="3519">
        <f t="shared" si="22"/>
        <v>12932.348178137652</v>
      </c>
      <c r="F1440" s="3481">
        <v>1277716</v>
      </c>
      <c r="G1440" s="3482" t="s">
        <v>3788</v>
      </c>
    </row>
    <row r="1441" spans="1:7">
      <c r="A1441" s="3536">
        <v>1440</v>
      </c>
      <c r="B1441" s="3481" t="s">
        <v>7453</v>
      </c>
      <c r="C1441" s="3481" t="s">
        <v>5305</v>
      </c>
      <c r="D1441" s="3482">
        <v>72.739999999999995</v>
      </c>
      <c r="E1441" s="3519">
        <f t="shared" si="22"/>
        <v>38713.637613417653</v>
      </c>
      <c r="F1441" s="3481">
        <v>2816030</v>
      </c>
      <c r="G1441" s="3482" t="s">
        <v>3568</v>
      </c>
    </row>
    <row r="1442" spans="1:7">
      <c r="A1442" s="3536">
        <v>1441</v>
      </c>
      <c r="B1442" s="3481" t="s">
        <v>3567</v>
      </c>
      <c r="C1442" s="3481" t="s">
        <v>3338</v>
      </c>
      <c r="D1442" s="3482">
        <v>97.42</v>
      </c>
      <c r="E1442" s="3519">
        <f t="shared" si="22"/>
        <v>12113.621432970642</v>
      </c>
      <c r="F1442" s="3481">
        <v>1180109</v>
      </c>
      <c r="G1442" s="3482" t="s">
        <v>3568</v>
      </c>
    </row>
    <row r="1443" spans="1:7">
      <c r="A1443" s="3536">
        <v>1442</v>
      </c>
      <c r="B1443" s="3481" t="s">
        <v>7664</v>
      </c>
      <c r="C1443" s="3481" t="s">
        <v>5318</v>
      </c>
      <c r="D1443" s="3482">
        <v>192.12</v>
      </c>
      <c r="E1443" s="3519">
        <f t="shared" si="22"/>
        <v>25356.402248594626</v>
      </c>
      <c r="F1443" s="3481">
        <v>4871472</v>
      </c>
      <c r="G1443" s="3482" t="s">
        <v>3785</v>
      </c>
    </row>
    <row r="1444" spans="1:7">
      <c r="A1444" s="3536">
        <v>1443</v>
      </c>
      <c r="B1444" s="3481" t="s">
        <v>3784</v>
      </c>
      <c r="C1444" s="3481" t="s">
        <v>3338</v>
      </c>
      <c r="D1444" s="3482">
        <v>12.54</v>
      </c>
      <c r="E1444" s="3519">
        <f t="shared" si="22"/>
        <v>8866.7464114832546</v>
      </c>
      <c r="F1444" s="3481">
        <v>111189</v>
      </c>
      <c r="G1444" s="3482" t="s">
        <v>3785</v>
      </c>
    </row>
    <row r="1445" spans="1:7">
      <c r="A1445" s="3536">
        <v>1444</v>
      </c>
      <c r="B1445" s="3481" t="s">
        <v>3783</v>
      </c>
      <c r="C1445" s="3481" t="s">
        <v>3338</v>
      </c>
      <c r="D1445" s="3482">
        <v>53.68</v>
      </c>
      <c r="E1445" s="3519">
        <f t="shared" si="22"/>
        <v>1862.8912071535021</v>
      </c>
      <c r="F1445" s="3481">
        <v>100000</v>
      </c>
      <c r="G1445" s="3482" t="s">
        <v>3780</v>
      </c>
    </row>
    <row r="1446" spans="1:7">
      <c r="A1446" s="3536">
        <v>1445</v>
      </c>
      <c r="B1446" s="3481" t="s">
        <v>3790</v>
      </c>
      <c r="C1446" s="3481" t="s">
        <v>3338</v>
      </c>
      <c r="D1446" s="3482">
        <v>188.56</v>
      </c>
      <c r="E1446" s="3519">
        <f t="shared" si="22"/>
        <v>13328.208527789562</v>
      </c>
      <c r="F1446" s="3481">
        <v>2513167</v>
      </c>
      <c r="G1446" s="3482" t="s">
        <v>3788</v>
      </c>
    </row>
    <row r="1447" spans="1:7">
      <c r="A1447" s="3536">
        <v>1446</v>
      </c>
      <c r="B1447" s="3481" t="s">
        <v>3569</v>
      </c>
      <c r="C1447" s="3481" t="s">
        <v>3338</v>
      </c>
      <c r="D1447" s="3482">
        <v>187.18</v>
      </c>
      <c r="E1447" s="3519">
        <f t="shared" si="22"/>
        <v>11757.116144887274</v>
      </c>
      <c r="F1447" s="3481">
        <v>2200697</v>
      </c>
      <c r="G1447" s="3482" t="s">
        <v>3568</v>
      </c>
    </row>
    <row r="1448" spans="1:7">
      <c r="A1448" s="3536">
        <v>1447</v>
      </c>
      <c r="B1448" s="3481" t="s">
        <v>3786</v>
      </c>
      <c r="C1448" s="3481" t="s">
        <v>3338</v>
      </c>
      <c r="D1448" s="3482">
        <v>53.14</v>
      </c>
      <c r="E1448" s="3519">
        <f t="shared" si="22"/>
        <v>2092.3786225065865</v>
      </c>
      <c r="F1448" s="3481">
        <v>111189</v>
      </c>
      <c r="G1448" s="3482" t="s">
        <v>3785</v>
      </c>
    </row>
    <row r="1449" spans="1:7">
      <c r="A1449" s="3536">
        <v>1448</v>
      </c>
      <c r="B1449" s="3481" t="s">
        <v>7658</v>
      </c>
      <c r="C1449" s="3481" t="s">
        <v>3395</v>
      </c>
      <c r="D1449" s="3482">
        <v>83.85</v>
      </c>
      <c r="E1449" s="3519">
        <f t="shared" si="22"/>
        <v>33885.474060822897</v>
      </c>
      <c r="F1449" s="3481">
        <v>2841297</v>
      </c>
      <c r="G1449" s="3482" t="s">
        <v>7659</v>
      </c>
    </row>
    <row r="1450" spans="1:7">
      <c r="A1450" s="3536">
        <v>1449</v>
      </c>
      <c r="B1450" s="3481" t="s">
        <v>7522</v>
      </c>
      <c r="C1450" s="3481" t="s">
        <v>3395</v>
      </c>
      <c r="D1450" s="3482">
        <v>83.47</v>
      </c>
      <c r="E1450" s="3519">
        <f t="shared" si="22"/>
        <v>34029.256020126995</v>
      </c>
      <c r="F1450" s="3481">
        <v>2840422</v>
      </c>
      <c r="G1450" s="3482" t="s">
        <v>3637</v>
      </c>
    </row>
    <row r="1451" spans="1:7">
      <c r="A1451" s="3536">
        <v>1450</v>
      </c>
      <c r="B1451" s="3481" t="s">
        <v>7656</v>
      </c>
      <c r="C1451" s="3481" t="s">
        <v>3395</v>
      </c>
      <c r="D1451" s="3482">
        <v>83.85</v>
      </c>
      <c r="E1451" s="3519">
        <f t="shared" si="22"/>
        <v>33885.474060822897</v>
      </c>
      <c r="F1451" s="3481">
        <v>2841297</v>
      </c>
      <c r="G1451" s="3482" t="s">
        <v>3777</v>
      </c>
    </row>
    <row r="1452" spans="1:7">
      <c r="A1452" s="3536">
        <v>1451</v>
      </c>
      <c r="B1452" s="3481" t="s">
        <v>7474</v>
      </c>
      <c r="C1452" s="3481" t="s">
        <v>3395</v>
      </c>
      <c r="D1452" s="3482">
        <v>83.47</v>
      </c>
      <c r="E1452" s="3519">
        <f t="shared" si="22"/>
        <v>34029.256020126995</v>
      </c>
      <c r="F1452" s="3481">
        <v>2840422</v>
      </c>
      <c r="G1452" s="3482" t="s">
        <v>7475</v>
      </c>
    </row>
    <row r="1453" spans="1:7">
      <c r="A1453" s="3536">
        <v>1452</v>
      </c>
      <c r="B1453" s="3481" t="s">
        <v>7620</v>
      </c>
      <c r="C1453" s="3481" t="s">
        <v>3395</v>
      </c>
      <c r="D1453" s="3482">
        <v>83.85</v>
      </c>
      <c r="E1453" s="3519">
        <f t="shared" si="22"/>
        <v>33875.038759689924</v>
      </c>
      <c r="F1453" s="3481">
        <v>2840422</v>
      </c>
      <c r="G1453" s="3482" t="s">
        <v>3751</v>
      </c>
    </row>
    <row r="1454" spans="1:7">
      <c r="A1454" s="3536">
        <v>1453</v>
      </c>
      <c r="B1454" s="3481" t="s">
        <v>7571</v>
      </c>
      <c r="C1454" s="3481" t="s">
        <v>3395</v>
      </c>
      <c r="D1454" s="3482">
        <v>83.47</v>
      </c>
      <c r="E1454" s="3519">
        <f t="shared" si="22"/>
        <v>34029.256020126995</v>
      </c>
      <c r="F1454" s="3481">
        <v>2840422</v>
      </c>
      <c r="G1454" s="3482" t="s">
        <v>3679</v>
      </c>
    </row>
    <row r="1455" spans="1:7">
      <c r="A1455" s="3536">
        <v>1454</v>
      </c>
      <c r="B1455" s="3481" t="s">
        <v>7441</v>
      </c>
      <c r="C1455" s="3481" t="s">
        <v>3395</v>
      </c>
      <c r="D1455" s="3482">
        <v>83.85</v>
      </c>
      <c r="E1455" s="3519">
        <f t="shared" si="22"/>
        <v>33875.038759689924</v>
      </c>
      <c r="F1455" s="3481">
        <v>2840422</v>
      </c>
      <c r="G1455" s="3482" t="s">
        <v>7442</v>
      </c>
    </row>
    <row r="1456" spans="1:7">
      <c r="A1456" s="3536">
        <v>1455</v>
      </c>
      <c r="B1456" s="3481" t="s">
        <v>7182</v>
      </c>
      <c r="C1456" s="3481" t="s">
        <v>3395</v>
      </c>
      <c r="D1456" s="3482">
        <v>83.47</v>
      </c>
      <c r="E1456" s="3519">
        <f t="shared" si="22"/>
        <v>28438.205343237092</v>
      </c>
      <c r="F1456" s="3481">
        <v>2373737</v>
      </c>
      <c r="G1456" s="3482" t="s">
        <v>7176</v>
      </c>
    </row>
    <row r="1457" spans="1:7">
      <c r="A1457" s="3536">
        <v>1456</v>
      </c>
      <c r="B1457" s="3481" t="s">
        <v>7642</v>
      </c>
      <c r="C1457" s="3481" t="s">
        <v>5318</v>
      </c>
      <c r="D1457" s="3482">
        <v>192.12</v>
      </c>
      <c r="E1457" s="3519">
        <f t="shared" si="22"/>
        <v>25356.402248594626</v>
      </c>
      <c r="F1457" s="3481">
        <v>4871472</v>
      </c>
      <c r="G1457" s="3482" t="s">
        <v>3759</v>
      </c>
    </row>
    <row r="1458" spans="1:7">
      <c r="A1458" s="3536">
        <v>1457</v>
      </c>
      <c r="B1458" s="3481" t="s">
        <v>3761</v>
      </c>
      <c r="C1458" s="3481" t="s">
        <v>3338</v>
      </c>
      <c r="D1458" s="3482">
        <v>12.54</v>
      </c>
      <c r="E1458" s="3519">
        <f t="shared" si="22"/>
        <v>8866.7464114832546</v>
      </c>
      <c r="F1458" s="3481">
        <v>111189</v>
      </c>
      <c r="G1458" s="3482" t="s">
        <v>3759</v>
      </c>
    </row>
    <row r="1459" spans="1:7">
      <c r="A1459" s="3536">
        <v>1458</v>
      </c>
      <c r="B1459" s="3481" t="s">
        <v>7523</v>
      </c>
      <c r="C1459" s="3481" t="s">
        <v>5305</v>
      </c>
      <c r="D1459" s="3482">
        <v>72.739999999999995</v>
      </c>
      <c r="E1459" s="3519">
        <f t="shared" si="22"/>
        <v>38713.637613417653</v>
      </c>
      <c r="F1459" s="3481">
        <v>2816030</v>
      </c>
      <c r="G1459" s="3482" t="s">
        <v>3637</v>
      </c>
    </row>
    <row r="1460" spans="1:7">
      <c r="A1460" s="3536">
        <v>1459</v>
      </c>
      <c r="B1460" s="3481" t="s">
        <v>3636</v>
      </c>
      <c r="C1460" s="3481" t="s">
        <v>3338</v>
      </c>
      <c r="D1460" s="3482">
        <v>97.42</v>
      </c>
      <c r="E1460" s="3519">
        <f t="shared" si="22"/>
        <v>15040.135495791419</v>
      </c>
      <c r="F1460" s="3481">
        <v>1465210</v>
      </c>
      <c r="G1460" s="3482" t="s">
        <v>3637</v>
      </c>
    </row>
    <row r="1461" spans="1:7">
      <c r="A1461" s="3536">
        <v>1460</v>
      </c>
      <c r="B1461" s="3481" t="s">
        <v>7484</v>
      </c>
      <c r="C1461" s="3481" t="s">
        <v>5305</v>
      </c>
      <c r="D1461" s="3482">
        <v>72.739999999999995</v>
      </c>
      <c r="E1461" s="3519">
        <f t="shared" si="22"/>
        <v>38713.637613417653</v>
      </c>
      <c r="F1461" s="3481">
        <v>2816030</v>
      </c>
      <c r="G1461" s="3482" t="s">
        <v>3588</v>
      </c>
    </row>
    <row r="1462" spans="1:7">
      <c r="A1462" s="3536">
        <v>1461</v>
      </c>
      <c r="B1462" s="3481" t="s">
        <v>3587</v>
      </c>
      <c r="C1462" s="3481" t="s">
        <v>3338</v>
      </c>
      <c r="D1462" s="3482">
        <v>97.42</v>
      </c>
      <c r="E1462" s="3519">
        <f t="shared" si="22"/>
        <v>13500.41059330733</v>
      </c>
      <c r="F1462" s="3481">
        <v>1315210</v>
      </c>
      <c r="G1462" s="3482" t="s">
        <v>3588</v>
      </c>
    </row>
    <row r="1463" spans="1:7">
      <c r="A1463" s="3536">
        <v>1462</v>
      </c>
      <c r="B1463" s="3481" t="s">
        <v>7618</v>
      </c>
      <c r="C1463" s="3481" t="s">
        <v>5318</v>
      </c>
      <c r="D1463" s="3482">
        <v>192.12</v>
      </c>
      <c r="E1463" s="3519">
        <f t="shared" si="22"/>
        <v>25356.402248594626</v>
      </c>
      <c r="F1463" s="3481">
        <v>4871472</v>
      </c>
      <c r="G1463" s="3482" t="s">
        <v>3751</v>
      </c>
    </row>
    <row r="1464" spans="1:7">
      <c r="A1464" s="3536">
        <v>1463</v>
      </c>
      <c r="B1464" s="3481" t="s">
        <v>3753</v>
      </c>
      <c r="C1464" s="3481" t="s">
        <v>3338</v>
      </c>
      <c r="D1464" s="3482">
        <v>12.54</v>
      </c>
      <c r="E1464" s="3519">
        <f t="shared" si="22"/>
        <v>8866.7464114832546</v>
      </c>
      <c r="F1464" s="3481">
        <v>111189</v>
      </c>
      <c r="G1464" s="3482" t="s">
        <v>3751</v>
      </c>
    </row>
    <row r="1465" spans="1:7">
      <c r="A1465" s="3536">
        <v>1464</v>
      </c>
      <c r="B1465" s="3481" t="s">
        <v>3762</v>
      </c>
      <c r="C1465" s="3481" t="s">
        <v>3338</v>
      </c>
      <c r="D1465" s="3482">
        <v>53.14</v>
      </c>
      <c r="E1465" s="3519">
        <f t="shared" si="22"/>
        <v>2092.3786225065865</v>
      </c>
      <c r="F1465" s="3481">
        <v>111189</v>
      </c>
      <c r="G1465" s="3482" t="s">
        <v>3759</v>
      </c>
    </row>
    <row r="1466" spans="1:7">
      <c r="A1466" s="3536">
        <v>1465</v>
      </c>
      <c r="B1466" s="3481" t="s">
        <v>3638</v>
      </c>
      <c r="C1466" s="3481" t="s">
        <v>3338</v>
      </c>
      <c r="D1466" s="3482">
        <v>187.18</v>
      </c>
      <c r="E1466" s="3519">
        <f t="shared" si="22"/>
        <v>12120.739395234534</v>
      </c>
      <c r="F1466" s="3481">
        <v>2268760</v>
      </c>
      <c r="G1466" s="3482" t="s">
        <v>3637</v>
      </c>
    </row>
    <row r="1467" spans="1:7">
      <c r="A1467" s="3536">
        <v>1466</v>
      </c>
      <c r="B1467" s="3481" t="s">
        <v>3589</v>
      </c>
      <c r="C1467" s="3481" t="s">
        <v>3338</v>
      </c>
      <c r="D1467" s="3482">
        <v>187.18</v>
      </c>
      <c r="E1467" s="3519">
        <f t="shared" si="22"/>
        <v>12120.739395234534</v>
      </c>
      <c r="F1467" s="3481">
        <v>2268760</v>
      </c>
      <c r="G1467" s="3482" t="s">
        <v>3588</v>
      </c>
    </row>
    <row r="1468" spans="1:7">
      <c r="A1468" s="3536">
        <v>1467</v>
      </c>
      <c r="B1468" s="3481" t="s">
        <v>3754</v>
      </c>
      <c r="C1468" s="3481" t="s">
        <v>3338</v>
      </c>
      <c r="D1468" s="3482">
        <v>53.14</v>
      </c>
      <c r="E1468" s="3519">
        <f t="shared" si="22"/>
        <v>2092.3786225065865</v>
      </c>
      <c r="F1468" s="3481">
        <v>111189</v>
      </c>
      <c r="G1468" s="3482" t="s">
        <v>3751</v>
      </c>
    </row>
    <row r="1469" spans="1:7">
      <c r="A1469" s="3536">
        <v>1468</v>
      </c>
      <c r="B1469" s="3481" t="s">
        <v>7555</v>
      </c>
      <c r="C1469" s="3481" t="s">
        <v>3395</v>
      </c>
      <c r="D1469" s="3482">
        <v>83.47</v>
      </c>
      <c r="E1469" s="3519">
        <f t="shared" si="22"/>
        <v>34029.256020126995</v>
      </c>
      <c r="F1469" s="3481">
        <v>2840422</v>
      </c>
      <c r="G1469" s="3482" t="s">
        <v>7556</v>
      </c>
    </row>
    <row r="1470" spans="1:7">
      <c r="A1470" s="3536">
        <v>1469</v>
      </c>
      <c r="B1470" s="3481" t="s">
        <v>7509</v>
      </c>
      <c r="C1470" s="3481" t="s">
        <v>3395</v>
      </c>
      <c r="D1470" s="3482">
        <v>83.47</v>
      </c>
      <c r="E1470" s="3519">
        <f t="shared" si="22"/>
        <v>34039.738828321555</v>
      </c>
      <c r="F1470" s="3481">
        <v>2841297</v>
      </c>
      <c r="G1470" s="3482" t="s">
        <v>7510</v>
      </c>
    </row>
    <row r="1471" spans="1:7">
      <c r="A1471" s="3536">
        <v>1470</v>
      </c>
      <c r="B1471" s="3481" t="s">
        <v>7547</v>
      </c>
      <c r="C1471" s="3481" t="s">
        <v>3395</v>
      </c>
      <c r="D1471" s="3482">
        <v>83.47</v>
      </c>
      <c r="E1471" s="3519">
        <f t="shared" si="22"/>
        <v>34383.574937103149</v>
      </c>
      <c r="F1471" s="3481">
        <v>2869997</v>
      </c>
      <c r="G1471" s="3482" t="s">
        <v>7548</v>
      </c>
    </row>
    <row r="1472" spans="1:7">
      <c r="A1472" s="3536">
        <v>1471</v>
      </c>
      <c r="B1472" s="3481" t="s">
        <v>7601</v>
      </c>
      <c r="C1472" s="3481" t="s">
        <v>3395</v>
      </c>
      <c r="D1472" s="3482">
        <v>83.47</v>
      </c>
      <c r="E1472" s="3519">
        <f t="shared" si="22"/>
        <v>34029.256020126995</v>
      </c>
      <c r="F1472" s="3481">
        <v>2840422</v>
      </c>
      <c r="G1472" s="3482" t="s">
        <v>3729</v>
      </c>
    </row>
    <row r="1473" spans="1:7">
      <c r="A1473" s="3536">
        <v>1472</v>
      </c>
      <c r="B1473" s="3481" t="s">
        <v>7652</v>
      </c>
      <c r="C1473" s="3481" t="s">
        <v>3395</v>
      </c>
      <c r="D1473" s="3482">
        <v>83.47</v>
      </c>
      <c r="E1473" s="3519">
        <f t="shared" si="22"/>
        <v>34039.738828321555</v>
      </c>
      <c r="F1473" s="3481">
        <v>2841297</v>
      </c>
      <c r="G1473" s="3482" t="s">
        <v>3772</v>
      </c>
    </row>
    <row r="1474" spans="1:7">
      <c r="A1474" s="3536">
        <v>1473</v>
      </c>
      <c r="B1474" s="3481" t="s">
        <v>7621</v>
      </c>
      <c r="C1474" s="3481" t="s">
        <v>3395</v>
      </c>
      <c r="D1474" s="3482">
        <v>83.47</v>
      </c>
      <c r="E1474" s="3519">
        <f t="shared" si="22"/>
        <v>34029.256020126995</v>
      </c>
      <c r="F1474" s="3481">
        <v>2840422</v>
      </c>
      <c r="G1474" s="3482" t="s">
        <v>3751</v>
      </c>
    </row>
    <row r="1475" spans="1:7">
      <c r="A1475" s="3536">
        <v>1474</v>
      </c>
      <c r="B1475" s="3481" t="s">
        <v>7199</v>
      </c>
      <c r="C1475" s="3481" t="s">
        <v>3395</v>
      </c>
      <c r="D1475" s="3482">
        <v>83.47</v>
      </c>
      <c r="E1475" s="3519">
        <f t="shared" ref="E1475:E1538" si="23">F1475/D1475</f>
        <v>28153.827722535043</v>
      </c>
      <c r="F1475" s="3481">
        <v>2350000</v>
      </c>
      <c r="G1475" s="3482" t="s">
        <v>7192</v>
      </c>
    </row>
    <row r="1476" spans="1:7">
      <c r="A1476" s="3536">
        <v>1475</v>
      </c>
      <c r="B1476" s="3481" t="s">
        <v>7108</v>
      </c>
      <c r="C1476" s="3481" t="s">
        <v>3395</v>
      </c>
      <c r="D1476" s="3482">
        <v>83.47</v>
      </c>
      <c r="E1476" s="3519">
        <f t="shared" si="23"/>
        <v>33597.484126033305</v>
      </c>
      <c r="F1476" s="3481">
        <v>2804382</v>
      </c>
      <c r="G1476" s="3482" t="s">
        <v>3479</v>
      </c>
    </row>
    <row r="1477" spans="1:7">
      <c r="A1477" s="3536">
        <v>1476</v>
      </c>
      <c r="B1477" s="3481" t="s">
        <v>7626</v>
      </c>
      <c r="C1477" s="3481" t="s">
        <v>5318</v>
      </c>
      <c r="D1477" s="3482">
        <v>177.58</v>
      </c>
      <c r="E1477" s="3519">
        <f t="shared" si="23"/>
        <v>27432.548710440362</v>
      </c>
      <c r="F1477" s="3481">
        <v>4871472</v>
      </c>
      <c r="G1477" s="3482" t="s">
        <v>3756</v>
      </c>
    </row>
    <row r="1478" spans="1:7">
      <c r="A1478" s="3536">
        <v>1477</v>
      </c>
      <c r="B1478" s="3481" t="s">
        <v>3755</v>
      </c>
      <c r="C1478" s="3481" t="s">
        <v>3338</v>
      </c>
      <c r="D1478" s="3482">
        <v>25.86</v>
      </c>
      <c r="E1478" s="3519">
        <f t="shared" si="23"/>
        <v>4299.6519721577724</v>
      </c>
      <c r="F1478" s="3481">
        <v>111189</v>
      </c>
      <c r="G1478" s="3482" t="s">
        <v>3756</v>
      </c>
    </row>
    <row r="1479" spans="1:7">
      <c r="A1479" s="3536">
        <v>1478</v>
      </c>
      <c r="B1479" s="3481" t="s">
        <v>7432</v>
      </c>
      <c r="C1479" s="3481" t="s">
        <v>5305</v>
      </c>
      <c r="D1479" s="3482">
        <v>72.739999999999995</v>
      </c>
      <c r="E1479" s="3519">
        <f t="shared" si="23"/>
        <v>38713.637613417653</v>
      </c>
      <c r="F1479" s="3481">
        <v>2816030</v>
      </c>
      <c r="G1479" s="3482" t="s">
        <v>3554</v>
      </c>
    </row>
    <row r="1480" spans="1:7">
      <c r="A1480" s="3536">
        <v>1479</v>
      </c>
      <c r="B1480" s="3481" t="s">
        <v>3553</v>
      </c>
      <c r="C1480" s="3481" t="s">
        <v>3338</v>
      </c>
      <c r="D1480" s="3482">
        <v>97.52</v>
      </c>
      <c r="E1480" s="3519">
        <f t="shared" si="23"/>
        <v>12223.431091058244</v>
      </c>
      <c r="F1480" s="3481">
        <v>1192029</v>
      </c>
      <c r="G1480" s="3482" t="s">
        <v>3554</v>
      </c>
    </row>
    <row r="1481" spans="1:7">
      <c r="A1481" s="3536">
        <v>1480</v>
      </c>
      <c r="B1481" s="3481" t="s">
        <v>7705</v>
      </c>
      <c r="C1481" s="3481" t="s">
        <v>5305</v>
      </c>
      <c r="D1481" s="3482">
        <v>73.12</v>
      </c>
      <c r="E1481" s="3519">
        <f t="shared" si="23"/>
        <v>38887.718818380745</v>
      </c>
      <c r="F1481" s="3481">
        <v>2843470</v>
      </c>
      <c r="G1481" s="3482" t="s">
        <v>3810</v>
      </c>
    </row>
    <row r="1482" spans="1:7">
      <c r="A1482" s="3536">
        <v>1481</v>
      </c>
      <c r="B1482" s="3481" t="s">
        <v>3815</v>
      </c>
      <c r="C1482" s="3481" t="s">
        <v>3338</v>
      </c>
      <c r="D1482" s="3482">
        <v>98.8</v>
      </c>
      <c r="E1482" s="3519">
        <f t="shared" si="23"/>
        <v>12309.109311740891</v>
      </c>
      <c r="F1482" s="3481">
        <v>1216140</v>
      </c>
      <c r="G1482" s="3482" t="s">
        <v>3810</v>
      </c>
    </row>
    <row r="1483" spans="1:7">
      <c r="A1483" s="3536">
        <v>1482</v>
      </c>
      <c r="B1483" s="3481" t="s">
        <v>7701</v>
      </c>
      <c r="C1483" s="3481" t="s">
        <v>5318</v>
      </c>
      <c r="D1483" s="3482">
        <v>178.78</v>
      </c>
      <c r="E1483" s="3519">
        <f t="shared" si="23"/>
        <v>26702.142297796174</v>
      </c>
      <c r="F1483" s="3481">
        <v>4773809</v>
      </c>
      <c r="G1483" s="3482" t="s">
        <v>3810</v>
      </c>
    </row>
    <row r="1484" spans="1:7">
      <c r="A1484" s="3536">
        <v>1483</v>
      </c>
      <c r="B1484" s="3481" t="s">
        <v>3816</v>
      </c>
      <c r="C1484" s="3481" t="s">
        <v>3338</v>
      </c>
      <c r="D1484" s="3482">
        <v>26.02</v>
      </c>
      <c r="E1484" s="3519">
        <f t="shared" si="23"/>
        <v>2892.6979246733281</v>
      </c>
      <c r="F1484" s="3481">
        <v>75268</v>
      </c>
      <c r="G1484" s="3482" t="s">
        <v>3810</v>
      </c>
    </row>
    <row r="1485" spans="1:7">
      <c r="A1485" s="3536">
        <v>1484</v>
      </c>
      <c r="B1485" s="3481" t="s">
        <v>3757</v>
      </c>
      <c r="C1485" s="3481" t="s">
        <v>3338</v>
      </c>
      <c r="D1485" s="3482">
        <v>28.35</v>
      </c>
      <c r="E1485" s="3519">
        <f t="shared" si="23"/>
        <v>3922.0105820105819</v>
      </c>
      <c r="F1485" s="3481">
        <v>111189</v>
      </c>
      <c r="G1485" s="3482" t="s">
        <v>3756</v>
      </c>
    </row>
    <row r="1486" spans="1:7">
      <c r="A1486" s="3536">
        <v>1485</v>
      </c>
      <c r="B1486" s="3481" t="s">
        <v>3555</v>
      </c>
      <c r="C1486" s="3481" t="s">
        <v>3338</v>
      </c>
      <c r="D1486" s="3482">
        <v>182.27</v>
      </c>
      <c r="E1486" s="3519">
        <f t="shared" si="23"/>
        <v>14220.337960168979</v>
      </c>
      <c r="F1486" s="3481">
        <v>2591941</v>
      </c>
      <c r="G1486" s="3482" t="s">
        <v>3554</v>
      </c>
    </row>
    <row r="1487" spans="1:7">
      <c r="A1487" s="3536">
        <v>1486</v>
      </c>
      <c r="B1487" s="3481" t="s">
        <v>3817</v>
      </c>
      <c r="C1487" s="3481" t="s">
        <v>3338</v>
      </c>
      <c r="D1487" s="3482">
        <v>188.56</v>
      </c>
      <c r="E1487" s="3519">
        <f t="shared" si="23"/>
        <v>12387.017394993636</v>
      </c>
      <c r="F1487" s="3481">
        <v>2335696</v>
      </c>
      <c r="G1487" s="3482" t="s">
        <v>3810</v>
      </c>
    </row>
    <row r="1488" spans="1:7">
      <c r="A1488" s="3536">
        <v>1487</v>
      </c>
      <c r="B1488" s="3481" t="s">
        <v>3818</v>
      </c>
      <c r="C1488" s="3481" t="s">
        <v>3338</v>
      </c>
      <c r="D1488" s="3482">
        <v>28.35</v>
      </c>
      <c r="E1488" s="3519">
        <f t="shared" si="23"/>
        <v>2944.5855379188711</v>
      </c>
      <c r="F1488" s="3481">
        <v>83479</v>
      </c>
      <c r="G1488" s="3482" t="s">
        <v>3810</v>
      </c>
    </row>
    <row r="1489" spans="1:7">
      <c r="A1489" s="3536">
        <v>1488</v>
      </c>
      <c r="B1489" s="3481" t="s">
        <v>7488</v>
      </c>
      <c r="C1489" s="3481" t="s">
        <v>3395</v>
      </c>
      <c r="D1489" s="3482">
        <v>83.47</v>
      </c>
      <c r="E1489" s="3519">
        <f t="shared" si="23"/>
        <v>34029.256020126995</v>
      </c>
      <c r="F1489" s="3481">
        <v>2840422</v>
      </c>
      <c r="G1489" s="3482" t="s">
        <v>7489</v>
      </c>
    </row>
    <row r="1490" spans="1:7">
      <c r="A1490" s="3536">
        <v>1489</v>
      </c>
      <c r="B1490" s="3481" t="s">
        <v>7549</v>
      </c>
      <c r="C1490" s="3481" t="s">
        <v>3395</v>
      </c>
      <c r="D1490" s="3482">
        <v>83.85</v>
      </c>
      <c r="E1490" s="3519">
        <f t="shared" si="23"/>
        <v>33875.038759689924</v>
      </c>
      <c r="F1490" s="3481">
        <v>2840422</v>
      </c>
      <c r="G1490" s="3482" t="s">
        <v>7550</v>
      </c>
    </row>
    <row r="1491" spans="1:7">
      <c r="A1491" s="3536">
        <v>1490</v>
      </c>
      <c r="B1491" s="3481" t="s">
        <v>7524</v>
      </c>
      <c r="C1491" s="3481" t="s">
        <v>3395</v>
      </c>
      <c r="D1491" s="3482">
        <v>83.47</v>
      </c>
      <c r="E1491" s="3519">
        <f t="shared" si="23"/>
        <v>34029.256020126995</v>
      </c>
      <c r="F1491" s="3481">
        <v>2840422</v>
      </c>
      <c r="G1491" s="3482" t="s">
        <v>3642</v>
      </c>
    </row>
    <row r="1492" spans="1:7">
      <c r="A1492" s="3536">
        <v>1491</v>
      </c>
      <c r="B1492" s="3481" t="s">
        <v>7551</v>
      </c>
      <c r="C1492" s="3481" t="s">
        <v>3395</v>
      </c>
      <c r="D1492" s="3482">
        <v>83.85</v>
      </c>
      <c r="E1492" s="3519">
        <f t="shared" si="23"/>
        <v>33875.038759689924</v>
      </c>
      <c r="F1492" s="3481">
        <v>2840422</v>
      </c>
      <c r="G1492" s="3482" t="s">
        <v>7550</v>
      </c>
    </row>
    <row r="1493" spans="1:7">
      <c r="A1493" s="3536">
        <v>1492</v>
      </c>
      <c r="B1493" s="3481" t="s">
        <v>7566</v>
      </c>
      <c r="C1493" s="3481" t="s">
        <v>3395</v>
      </c>
      <c r="D1493" s="3482">
        <v>83.47</v>
      </c>
      <c r="E1493" s="3519">
        <f t="shared" si="23"/>
        <v>34029.256020126995</v>
      </c>
      <c r="F1493" s="3481">
        <v>2840422</v>
      </c>
      <c r="G1493" s="3482" t="s">
        <v>7565</v>
      </c>
    </row>
    <row r="1494" spans="1:7">
      <c r="A1494" s="3536">
        <v>1493</v>
      </c>
      <c r="B1494" s="3481" t="s">
        <v>7607</v>
      </c>
      <c r="C1494" s="3481" t="s">
        <v>3395</v>
      </c>
      <c r="D1494" s="3482">
        <v>83.85</v>
      </c>
      <c r="E1494" s="3519">
        <f t="shared" si="23"/>
        <v>33875.038759689924</v>
      </c>
      <c r="F1494" s="3481">
        <v>2840422</v>
      </c>
      <c r="G1494" s="3482" t="s">
        <v>3732</v>
      </c>
    </row>
    <row r="1495" spans="1:7">
      <c r="A1495" s="3536">
        <v>1494</v>
      </c>
      <c r="B1495" s="3481" t="s">
        <v>7431</v>
      </c>
      <c r="C1495" s="3481" t="s">
        <v>3395</v>
      </c>
      <c r="D1495" s="3482">
        <v>83.85</v>
      </c>
      <c r="E1495" s="3519">
        <f t="shared" si="23"/>
        <v>33875.038759689924</v>
      </c>
      <c r="F1495" s="3481">
        <v>2840422</v>
      </c>
      <c r="G1495" s="3482" t="s">
        <v>7430</v>
      </c>
    </row>
    <row r="1496" spans="1:7">
      <c r="A1496" s="3536">
        <v>1495</v>
      </c>
      <c r="B1496" s="3481" t="s">
        <v>7577</v>
      </c>
      <c r="C1496" s="3481" t="s">
        <v>5318</v>
      </c>
      <c r="D1496" s="3482">
        <v>189.98</v>
      </c>
      <c r="E1496" s="3519">
        <f t="shared" si="23"/>
        <v>25730.524265712182</v>
      </c>
      <c r="F1496" s="3481">
        <v>4888285</v>
      </c>
      <c r="G1496" s="3482" t="s">
        <v>3691</v>
      </c>
    </row>
    <row r="1497" spans="1:7">
      <c r="A1497" s="3536">
        <v>1496</v>
      </c>
      <c r="B1497" s="3481" t="s">
        <v>3693</v>
      </c>
      <c r="C1497" s="3481" t="s">
        <v>3338</v>
      </c>
      <c r="D1497" s="3482">
        <v>12.52</v>
      </c>
      <c r="E1497" s="3519">
        <f t="shared" si="23"/>
        <v>8272.7635782747602</v>
      </c>
      <c r="F1497" s="3481">
        <v>103575</v>
      </c>
      <c r="G1497" s="3482" t="s">
        <v>3691</v>
      </c>
    </row>
    <row r="1498" spans="1:7">
      <c r="A1498" s="3536">
        <v>1497</v>
      </c>
      <c r="B1498" s="3481" t="s">
        <v>6985</v>
      </c>
      <c r="C1498" s="3481" t="s">
        <v>5305</v>
      </c>
      <c r="D1498" s="3482">
        <v>73.430000000000007</v>
      </c>
      <c r="E1498" s="3519">
        <f t="shared" si="23"/>
        <v>36806.482364156334</v>
      </c>
      <c r="F1498" s="3481">
        <v>2702700</v>
      </c>
      <c r="G1498" s="3482" t="s">
        <v>3457</v>
      </c>
    </row>
    <row r="1499" spans="1:7">
      <c r="A1499" s="3536">
        <v>1498</v>
      </c>
      <c r="B1499" s="3481" t="s">
        <v>3456</v>
      </c>
      <c r="C1499" s="3481" t="s">
        <v>3338</v>
      </c>
      <c r="D1499" s="3482">
        <v>98.36</v>
      </c>
      <c r="E1499" s="3519">
        <f t="shared" si="23"/>
        <v>11574.837332248882</v>
      </c>
      <c r="F1499" s="3481">
        <v>1138501</v>
      </c>
      <c r="G1499" s="3482" t="s">
        <v>3457</v>
      </c>
    </row>
    <row r="1500" spans="1:7">
      <c r="A1500" s="3536">
        <v>1499</v>
      </c>
      <c r="B1500" s="3481" t="s">
        <v>7587</v>
      </c>
      <c r="C1500" s="3481" t="s">
        <v>5318</v>
      </c>
      <c r="D1500" s="3482">
        <v>189.07</v>
      </c>
      <c r="E1500" s="3519">
        <f t="shared" si="23"/>
        <v>25854.366107790767</v>
      </c>
      <c r="F1500" s="3481">
        <v>4888285</v>
      </c>
      <c r="G1500" s="3482" t="s">
        <v>3704</v>
      </c>
    </row>
    <row r="1501" spans="1:7">
      <c r="A1501" s="3536">
        <v>1500</v>
      </c>
      <c r="B1501" s="3481" t="s">
        <v>3706</v>
      </c>
      <c r="C1501" s="3481" t="s">
        <v>3338</v>
      </c>
      <c r="D1501" s="3482">
        <v>12.52</v>
      </c>
      <c r="E1501" s="3519">
        <f t="shared" si="23"/>
        <v>8272.7635782747602</v>
      </c>
      <c r="F1501" s="3481">
        <v>103575</v>
      </c>
      <c r="G1501" s="3482" t="s">
        <v>3704</v>
      </c>
    </row>
    <row r="1502" spans="1:7">
      <c r="A1502" s="3536">
        <v>1501</v>
      </c>
      <c r="B1502" s="3481" t="s">
        <v>3694</v>
      </c>
      <c r="C1502" s="3481" t="s">
        <v>3338</v>
      </c>
      <c r="D1502" s="3482">
        <v>53.59</v>
      </c>
      <c r="E1502" s="3519">
        <f t="shared" si="23"/>
        <v>1932.7299869378614</v>
      </c>
      <c r="F1502" s="3481">
        <v>103575</v>
      </c>
      <c r="G1502" s="3482" t="s">
        <v>3691</v>
      </c>
    </row>
    <row r="1503" spans="1:7">
      <c r="A1503" s="3536">
        <v>1502</v>
      </c>
      <c r="B1503" s="3481" t="s">
        <v>3458</v>
      </c>
      <c r="C1503" s="3481" t="s">
        <v>3338</v>
      </c>
      <c r="D1503" s="3482">
        <v>188.04</v>
      </c>
      <c r="E1503" s="3519">
        <f t="shared" si="23"/>
        <v>11582.647309083175</v>
      </c>
      <c r="F1503" s="3481">
        <v>2178001</v>
      </c>
      <c r="G1503" s="3482" t="s">
        <v>3457</v>
      </c>
    </row>
    <row r="1504" spans="1:7">
      <c r="A1504" s="3536">
        <v>1503</v>
      </c>
      <c r="B1504" s="3481" t="s">
        <v>3707</v>
      </c>
      <c r="C1504" s="3481" t="s">
        <v>3338</v>
      </c>
      <c r="D1504" s="3482">
        <v>53.05</v>
      </c>
      <c r="E1504" s="3519">
        <f t="shared" si="23"/>
        <v>1952.4033930254477</v>
      </c>
      <c r="F1504" s="3481">
        <v>103575</v>
      </c>
      <c r="G1504" s="3482" t="s">
        <v>3704</v>
      </c>
    </row>
    <row r="1505" spans="1:7">
      <c r="A1505" s="3536">
        <v>1504</v>
      </c>
      <c r="B1505" s="3481" t="s">
        <v>7462</v>
      </c>
      <c r="C1505" s="3481" t="s">
        <v>3395</v>
      </c>
      <c r="D1505" s="3482">
        <v>83.92</v>
      </c>
      <c r="E1505" s="3519">
        <f t="shared" si="23"/>
        <v>33697.414204003813</v>
      </c>
      <c r="F1505" s="3481">
        <v>2827887</v>
      </c>
      <c r="G1505" s="3482" t="s">
        <v>3579</v>
      </c>
    </row>
    <row r="1506" spans="1:7">
      <c r="A1506" s="3536">
        <v>1505</v>
      </c>
      <c r="B1506" s="3481" t="s">
        <v>7482</v>
      </c>
      <c r="C1506" s="3481" t="s">
        <v>3395</v>
      </c>
      <c r="D1506" s="3482">
        <v>83.54</v>
      </c>
      <c r="E1506" s="3519">
        <f t="shared" si="23"/>
        <v>34048.443859229112</v>
      </c>
      <c r="F1506" s="3481">
        <v>2844407</v>
      </c>
      <c r="G1506" s="3482" t="s">
        <v>7483</v>
      </c>
    </row>
    <row r="1507" spans="1:7">
      <c r="A1507" s="3536">
        <v>1506</v>
      </c>
      <c r="B1507" s="3481" t="s">
        <v>7538</v>
      </c>
      <c r="C1507" s="3481" t="s">
        <v>3395</v>
      </c>
      <c r="D1507" s="3482">
        <v>83.92</v>
      </c>
      <c r="E1507" s="3519">
        <f t="shared" si="23"/>
        <v>34274.237368922782</v>
      </c>
      <c r="F1507" s="3481">
        <v>2876294</v>
      </c>
      <c r="G1507" s="3482" t="s">
        <v>3657</v>
      </c>
    </row>
    <row r="1508" spans="1:7">
      <c r="A1508" s="3536">
        <v>1507</v>
      </c>
      <c r="B1508" s="3481" t="s">
        <v>7539</v>
      </c>
      <c r="C1508" s="3481" t="s">
        <v>3395</v>
      </c>
      <c r="D1508" s="3482">
        <v>83.54</v>
      </c>
      <c r="E1508" s="3519">
        <f t="shared" si="23"/>
        <v>34392.36293990902</v>
      </c>
      <c r="F1508" s="3481">
        <v>2873138</v>
      </c>
      <c r="G1508" s="3482" t="s">
        <v>3657</v>
      </c>
    </row>
    <row r="1509" spans="1:7">
      <c r="A1509" s="3536">
        <v>1508</v>
      </c>
      <c r="B1509" s="3481" t="s">
        <v>7530</v>
      </c>
      <c r="C1509" s="3481" t="s">
        <v>3395</v>
      </c>
      <c r="D1509" s="3482">
        <v>83.92</v>
      </c>
      <c r="E1509" s="3519">
        <f t="shared" si="23"/>
        <v>33841.754051477597</v>
      </c>
      <c r="F1509" s="3481">
        <v>2840000</v>
      </c>
      <c r="G1509" s="3482" t="s">
        <v>3645</v>
      </c>
    </row>
    <row r="1510" spans="1:7">
      <c r="A1510" s="3536">
        <v>1509</v>
      </c>
      <c r="B1510" s="3481" t="s">
        <v>7531</v>
      </c>
      <c r="C1510" s="3481" t="s">
        <v>3395</v>
      </c>
      <c r="D1510" s="3482">
        <v>83.54</v>
      </c>
      <c r="E1510" s="3519">
        <f t="shared" si="23"/>
        <v>33995.690687096001</v>
      </c>
      <c r="F1510" s="3481">
        <v>2840000</v>
      </c>
      <c r="G1510" s="3482" t="s">
        <v>3645</v>
      </c>
    </row>
    <row r="1511" spans="1:7">
      <c r="A1511" s="3536">
        <v>1510</v>
      </c>
      <c r="B1511" s="3481" t="s">
        <v>7476</v>
      </c>
      <c r="C1511" s="3481" t="s">
        <v>3395</v>
      </c>
      <c r="D1511" s="3482">
        <v>74.22</v>
      </c>
      <c r="E1511" s="3519">
        <f t="shared" si="23"/>
        <v>35839.396389113448</v>
      </c>
      <c r="F1511" s="3481">
        <v>2660000</v>
      </c>
      <c r="G1511" s="3482" t="s">
        <v>7477</v>
      </c>
    </row>
    <row r="1512" spans="1:7">
      <c r="A1512" s="3536">
        <v>1511</v>
      </c>
      <c r="B1512" s="3481" t="s">
        <v>7480</v>
      </c>
      <c r="C1512" s="3481" t="s">
        <v>3395</v>
      </c>
      <c r="D1512" s="3482">
        <v>73.760000000000005</v>
      </c>
      <c r="E1512" s="3519">
        <f t="shared" si="23"/>
        <v>36605.206073752706</v>
      </c>
      <c r="F1512" s="3481">
        <v>2700000</v>
      </c>
      <c r="G1512" s="3482" t="s">
        <v>7479</v>
      </c>
    </row>
    <row r="1513" spans="1:7">
      <c r="A1513" s="3536">
        <v>1512</v>
      </c>
      <c r="B1513" s="3481" t="s">
        <v>7562</v>
      </c>
      <c r="C1513" s="3481" t="s">
        <v>5318</v>
      </c>
      <c r="D1513" s="3482">
        <v>189.07</v>
      </c>
      <c r="E1513" s="3519">
        <f t="shared" si="23"/>
        <v>27195.171100650554</v>
      </c>
      <c r="F1513" s="3481">
        <v>5141791</v>
      </c>
      <c r="G1513" s="3482" t="s">
        <v>3676</v>
      </c>
    </row>
    <row r="1514" spans="1:7">
      <c r="A1514" s="3536">
        <v>1513</v>
      </c>
      <c r="B1514" s="3481" t="s">
        <v>3675</v>
      </c>
      <c r="C1514" s="3481" t="s">
        <v>3338</v>
      </c>
      <c r="D1514" s="3482">
        <v>12.52</v>
      </c>
      <c r="E1514" s="3519">
        <f t="shared" si="23"/>
        <v>8789.6964856230043</v>
      </c>
      <c r="F1514" s="3481">
        <v>110047</v>
      </c>
      <c r="G1514" s="3482" t="s">
        <v>3676</v>
      </c>
    </row>
    <row r="1515" spans="1:7">
      <c r="A1515" s="3536">
        <v>1514</v>
      </c>
      <c r="B1515" s="3481" t="s">
        <v>7458</v>
      </c>
      <c r="C1515" s="3481" t="s">
        <v>5305</v>
      </c>
      <c r="D1515" s="3482">
        <v>73.05</v>
      </c>
      <c r="E1515" s="3519">
        <f t="shared" si="23"/>
        <v>38938.74058863792</v>
      </c>
      <c r="F1515" s="3481">
        <v>2844475</v>
      </c>
      <c r="G1515" s="3482" t="s">
        <v>3576</v>
      </c>
    </row>
    <row r="1516" spans="1:7">
      <c r="A1516" s="3536">
        <v>1515</v>
      </c>
      <c r="B1516" s="3481" t="s">
        <v>3575</v>
      </c>
      <c r="C1516" s="3481" t="s">
        <v>3338</v>
      </c>
      <c r="D1516" s="3482">
        <v>96.96</v>
      </c>
      <c r="E1516" s="3519">
        <f t="shared" si="23"/>
        <v>12294.028465346535</v>
      </c>
      <c r="F1516" s="3481">
        <v>1192029</v>
      </c>
      <c r="G1516" s="3482" t="s">
        <v>3576</v>
      </c>
    </row>
    <row r="1517" spans="1:7">
      <c r="A1517" s="3536">
        <v>1516</v>
      </c>
      <c r="B1517" s="3481" t="s">
        <v>7521</v>
      </c>
      <c r="C1517" s="3481" t="s">
        <v>5318</v>
      </c>
      <c r="D1517" s="3482">
        <v>189.07</v>
      </c>
      <c r="E1517" s="3519">
        <f t="shared" si="23"/>
        <v>27195.171100650554</v>
      </c>
      <c r="F1517" s="3481">
        <v>5141791</v>
      </c>
      <c r="G1517" s="3482" t="s">
        <v>3637</v>
      </c>
    </row>
    <row r="1518" spans="1:7">
      <c r="A1518" s="3536">
        <v>1517</v>
      </c>
      <c r="B1518" s="3481" t="s">
        <v>3639</v>
      </c>
      <c r="C1518" s="3481" t="s">
        <v>3338</v>
      </c>
      <c r="D1518" s="3482">
        <v>12.52</v>
      </c>
      <c r="E1518" s="3519">
        <f t="shared" si="23"/>
        <v>8789.6964856230043</v>
      </c>
      <c r="F1518" s="3481">
        <v>110047</v>
      </c>
      <c r="G1518" s="3482" t="s">
        <v>3637</v>
      </c>
    </row>
    <row r="1519" spans="1:7">
      <c r="A1519" s="3536">
        <v>1518</v>
      </c>
      <c r="B1519" s="3481" t="s">
        <v>3677</v>
      </c>
      <c r="C1519" s="3481" t="s">
        <v>3338</v>
      </c>
      <c r="D1519" s="3482">
        <v>53.05</v>
      </c>
      <c r="E1519" s="3519">
        <f t="shared" si="23"/>
        <v>2074.4015080113104</v>
      </c>
      <c r="F1519" s="3481">
        <v>110047</v>
      </c>
      <c r="G1519" s="3482" t="s">
        <v>3676</v>
      </c>
    </row>
    <row r="1520" spans="1:7">
      <c r="A1520" s="3536">
        <v>1519</v>
      </c>
      <c r="B1520" s="3481" t="s">
        <v>3577</v>
      </c>
      <c r="C1520" s="3481" t="s">
        <v>3338</v>
      </c>
      <c r="D1520" s="3482">
        <v>186.64</v>
      </c>
      <c r="E1520" s="3519">
        <f t="shared" si="23"/>
        <v>12155.807972567511</v>
      </c>
      <c r="F1520" s="3481">
        <v>2268760</v>
      </c>
      <c r="G1520" s="3482" t="s">
        <v>3576</v>
      </c>
    </row>
    <row r="1521" spans="1:7">
      <c r="A1521" s="3536">
        <v>1520</v>
      </c>
      <c r="B1521" s="3481" t="s">
        <v>3640</v>
      </c>
      <c r="C1521" s="3481" t="s">
        <v>3338</v>
      </c>
      <c r="D1521" s="3482">
        <v>53.05</v>
      </c>
      <c r="E1521" s="3519">
        <f t="shared" si="23"/>
        <v>2074.4015080113104</v>
      </c>
      <c r="F1521" s="3481">
        <v>110047</v>
      </c>
      <c r="G1521" s="3482" t="s">
        <v>3637</v>
      </c>
    </row>
    <row r="1522" spans="1:7">
      <c r="A1522" s="3536">
        <v>1521</v>
      </c>
      <c r="B1522" s="3481" t="s">
        <v>7425</v>
      </c>
      <c r="C1522" s="3481" t="s">
        <v>3395</v>
      </c>
      <c r="D1522" s="3482">
        <v>83.54</v>
      </c>
      <c r="E1522" s="3519">
        <f t="shared" si="23"/>
        <v>33581.45798419918</v>
      </c>
      <c r="F1522" s="3481">
        <v>2805395</v>
      </c>
      <c r="G1522" s="3482" t="s">
        <v>7423</v>
      </c>
    </row>
    <row r="1523" spans="1:7">
      <c r="A1523" s="3536">
        <v>1522</v>
      </c>
      <c r="B1523" s="3481" t="s">
        <v>7236</v>
      </c>
      <c r="C1523" s="3481" t="s">
        <v>3395</v>
      </c>
      <c r="D1523" s="3482">
        <v>83.54</v>
      </c>
      <c r="E1523" s="3519">
        <f t="shared" si="23"/>
        <v>28414.37634666028</v>
      </c>
      <c r="F1523" s="3481">
        <v>2373737</v>
      </c>
      <c r="G1523" s="3482" t="s">
        <v>7237</v>
      </c>
    </row>
    <row r="1524" spans="1:7">
      <c r="A1524" s="3536">
        <v>1523</v>
      </c>
      <c r="B1524" s="3481" t="s">
        <v>7439</v>
      </c>
      <c r="C1524" s="3481" t="s">
        <v>3395</v>
      </c>
      <c r="D1524" s="3482">
        <v>83.54</v>
      </c>
      <c r="E1524" s="3519">
        <f t="shared" si="23"/>
        <v>33697.570026334688</v>
      </c>
      <c r="F1524" s="3481">
        <v>2815095</v>
      </c>
      <c r="G1524" s="3482" t="s">
        <v>7440</v>
      </c>
    </row>
    <row r="1525" spans="1:7">
      <c r="A1525" s="3536">
        <v>1524</v>
      </c>
      <c r="B1525" s="3481" t="s">
        <v>7200</v>
      </c>
      <c r="C1525" s="3481" t="s">
        <v>3395</v>
      </c>
      <c r="D1525" s="3482">
        <v>83.54</v>
      </c>
      <c r="E1525" s="3519">
        <f t="shared" si="23"/>
        <v>28414.37634666028</v>
      </c>
      <c r="F1525" s="3481">
        <v>2373737</v>
      </c>
      <c r="G1525" s="3482" t="s">
        <v>7192</v>
      </c>
    </row>
    <row r="1526" spans="1:7">
      <c r="A1526" s="3536">
        <v>1525</v>
      </c>
      <c r="B1526" s="3481" t="s">
        <v>6860</v>
      </c>
      <c r="C1526" s="3481" t="s">
        <v>3395</v>
      </c>
      <c r="D1526" s="3482">
        <v>73.760000000000005</v>
      </c>
      <c r="E1526" s="3519">
        <f t="shared" si="23"/>
        <v>29652.996203904553</v>
      </c>
      <c r="F1526" s="3481">
        <v>2187205</v>
      </c>
      <c r="G1526" s="3482" t="s">
        <v>6859</v>
      </c>
    </row>
    <row r="1527" spans="1:7">
      <c r="A1527" s="3536">
        <v>1526</v>
      </c>
      <c r="B1527" s="3481" t="s">
        <v>7540</v>
      </c>
      <c r="C1527" s="3481" t="s">
        <v>3395</v>
      </c>
      <c r="D1527" s="3482">
        <v>73.760000000000005</v>
      </c>
      <c r="E1527" s="3519">
        <f t="shared" si="23"/>
        <v>36334.056399132322</v>
      </c>
      <c r="F1527" s="3481">
        <v>2680000</v>
      </c>
      <c r="G1527" s="3482" t="s">
        <v>3657</v>
      </c>
    </row>
    <row r="1528" spans="1:7">
      <c r="A1528" s="3536">
        <v>1527</v>
      </c>
      <c r="B1528" s="3481" t="s">
        <v>7515</v>
      </c>
      <c r="C1528" s="3481" t="s">
        <v>5318</v>
      </c>
      <c r="D1528" s="3482">
        <v>178.28</v>
      </c>
      <c r="E1528" s="3519">
        <f t="shared" si="23"/>
        <v>29065.464437962753</v>
      </c>
      <c r="F1528" s="3481">
        <v>5181791</v>
      </c>
      <c r="G1528" s="3482" t="s">
        <v>3627</v>
      </c>
    </row>
    <row r="1529" spans="1:7">
      <c r="A1529" s="3536">
        <v>1528</v>
      </c>
      <c r="B1529" s="3481" t="s">
        <v>3629</v>
      </c>
      <c r="C1529" s="3481" t="s">
        <v>3338</v>
      </c>
      <c r="D1529" s="3482">
        <v>23.64</v>
      </c>
      <c r="E1529" s="3519">
        <f t="shared" si="23"/>
        <v>4655.1184433164126</v>
      </c>
      <c r="F1529" s="3481">
        <v>110047</v>
      </c>
      <c r="G1529" s="3482" t="s">
        <v>3627</v>
      </c>
    </row>
    <row r="1530" spans="1:7">
      <c r="A1530" s="3536">
        <v>1529</v>
      </c>
      <c r="B1530" s="3481" t="s">
        <v>7463</v>
      </c>
      <c r="C1530" s="3481" t="s">
        <v>5305</v>
      </c>
      <c r="D1530" s="3482">
        <v>73.05</v>
      </c>
      <c r="E1530" s="3519">
        <f t="shared" si="23"/>
        <v>38549.349760438061</v>
      </c>
      <c r="F1530" s="3481">
        <v>2816030</v>
      </c>
      <c r="G1530" s="3482" t="s">
        <v>3582</v>
      </c>
    </row>
    <row r="1531" spans="1:7">
      <c r="A1531" s="3536">
        <v>1530</v>
      </c>
      <c r="B1531" s="3481" t="s">
        <v>3581</v>
      </c>
      <c r="C1531" s="3481" t="s">
        <v>3338</v>
      </c>
      <c r="D1531" s="3482">
        <v>97.07</v>
      </c>
      <c r="E1531" s="3519">
        <f t="shared" si="23"/>
        <v>11911.692592974143</v>
      </c>
      <c r="F1531" s="3481">
        <v>1156268</v>
      </c>
      <c r="G1531" s="3482" t="s">
        <v>3582</v>
      </c>
    </row>
    <row r="1532" spans="1:7">
      <c r="A1532" s="3536">
        <v>1531</v>
      </c>
      <c r="B1532" s="3481" t="s">
        <v>7525</v>
      </c>
      <c r="C1532" s="3481" t="s">
        <v>5305</v>
      </c>
      <c r="D1532" s="3482">
        <v>73.430000000000007</v>
      </c>
      <c r="E1532" s="3519">
        <f t="shared" si="23"/>
        <v>38737.232738662671</v>
      </c>
      <c r="F1532" s="3481">
        <v>2844475</v>
      </c>
      <c r="G1532" s="3482" t="s">
        <v>3642</v>
      </c>
    </row>
    <row r="1533" spans="1:7">
      <c r="A1533" s="3536">
        <v>1532</v>
      </c>
      <c r="B1533" s="3481" t="s">
        <v>3641</v>
      </c>
      <c r="C1533" s="3481" t="s">
        <v>3338</v>
      </c>
      <c r="D1533" s="3482">
        <v>98.36</v>
      </c>
      <c r="E1533" s="3519">
        <f t="shared" si="23"/>
        <v>11997.854819032127</v>
      </c>
      <c r="F1533" s="3481">
        <v>1180109</v>
      </c>
      <c r="G1533" s="3482" t="s">
        <v>3642</v>
      </c>
    </row>
    <row r="1534" spans="1:7">
      <c r="A1534" s="3536">
        <v>1533</v>
      </c>
      <c r="B1534" s="3481" t="s">
        <v>7527</v>
      </c>
      <c r="C1534" s="3481" t="s">
        <v>5318</v>
      </c>
      <c r="D1534" s="3482">
        <v>179.48</v>
      </c>
      <c r="E1534" s="3519">
        <f t="shared" si="23"/>
        <v>27235.820147091599</v>
      </c>
      <c r="F1534" s="3481">
        <v>4888285</v>
      </c>
      <c r="G1534" s="3482" t="s">
        <v>3645</v>
      </c>
    </row>
    <row r="1535" spans="1:7">
      <c r="A1535" s="3536">
        <v>1534</v>
      </c>
      <c r="B1535" s="3481" t="s">
        <v>3647</v>
      </c>
      <c r="C1535" s="3481" t="s">
        <v>3338</v>
      </c>
      <c r="D1535" s="3482">
        <v>23.78</v>
      </c>
      <c r="E1535" s="3519">
        <f t="shared" si="23"/>
        <v>4355.5508830950375</v>
      </c>
      <c r="F1535" s="3481">
        <v>103575</v>
      </c>
      <c r="G1535" s="3482" t="s">
        <v>3645</v>
      </c>
    </row>
    <row r="1536" spans="1:7">
      <c r="A1536" s="3536">
        <v>1535</v>
      </c>
      <c r="B1536" s="3481" t="s">
        <v>3630</v>
      </c>
      <c r="C1536" s="3481" t="s">
        <v>3338</v>
      </c>
      <c r="D1536" s="3482">
        <v>28.31</v>
      </c>
      <c r="E1536" s="3519">
        <f t="shared" si="23"/>
        <v>3887.2129989403038</v>
      </c>
      <c r="F1536" s="3481">
        <v>110047</v>
      </c>
      <c r="G1536" s="3482" t="s">
        <v>3627</v>
      </c>
    </row>
    <row r="1537" spans="1:7">
      <c r="A1537" s="3536">
        <v>1536</v>
      </c>
      <c r="B1537" s="3481" t="s">
        <v>3583</v>
      </c>
      <c r="C1537" s="3481" t="s">
        <v>3338</v>
      </c>
      <c r="D1537" s="3482">
        <v>181.74</v>
      </c>
      <c r="E1537" s="3519">
        <f t="shared" si="23"/>
        <v>12235.127104655001</v>
      </c>
      <c r="F1537" s="3481">
        <v>2223612</v>
      </c>
      <c r="G1537" s="3482" t="s">
        <v>3582</v>
      </c>
    </row>
    <row r="1538" spans="1:7">
      <c r="A1538" s="3536">
        <v>1537</v>
      </c>
      <c r="B1538" s="3481" t="s">
        <v>3643</v>
      </c>
      <c r="C1538" s="3481" t="s">
        <v>3338</v>
      </c>
      <c r="D1538" s="3482">
        <v>188.04</v>
      </c>
      <c r="E1538" s="3519">
        <f t="shared" si="23"/>
        <v>12065.305254201234</v>
      </c>
      <c r="F1538" s="3481">
        <v>2268760</v>
      </c>
      <c r="G1538" s="3482" t="s">
        <v>3642</v>
      </c>
    </row>
    <row r="1539" spans="1:7">
      <c r="A1539" s="3536">
        <v>1538</v>
      </c>
      <c r="B1539" s="3481" t="s">
        <v>3648</v>
      </c>
      <c r="C1539" s="3481" t="s">
        <v>3338</v>
      </c>
      <c r="D1539" s="3482">
        <v>28.31</v>
      </c>
      <c r="E1539" s="3519">
        <f t="shared" ref="E1539:E1602" si="24">F1539/D1539</f>
        <v>3658.6012009890501</v>
      </c>
      <c r="F1539" s="3481">
        <v>103575</v>
      </c>
      <c r="G1539" s="3482" t="s">
        <v>3645</v>
      </c>
    </row>
    <row r="1540" spans="1:7">
      <c r="A1540" s="3536">
        <v>1539</v>
      </c>
      <c r="B1540" s="3481" t="s">
        <v>7459</v>
      </c>
      <c r="C1540" s="3481" t="s">
        <v>3395</v>
      </c>
      <c r="D1540" s="3482">
        <v>83.54</v>
      </c>
      <c r="E1540" s="3519">
        <f t="shared" si="24"/>
        <v>33947.80943260713</v>
      </c>
      <c r="F1540" s="3481">
        <v>2836000</v>
      </c>
      <c r="G1540" s="3482" t="s">
        <v>7460</v>
      </c>
    </row>
    <row r="1541" spans="1:7">
      <c r="A1541" s="3536">
        <v>1540</v>
      </c>
      <c r="B1541" s="3481" t="s">
        <v>7464</v>
      </c>
      <c r="C1541" s="3481" t="s">
        <v>3395</v>
      </c>
      <c r="D1541" s="3482">
        <v>83.92</v>
      </c>
      <c r="E1541" s="3519">
        <f t="shared" si="24"/>
        <v>34048.284080076264</v>
      </c>
      <c r="F1541" s="3481">
        <v>2857332</v>
      </c>
      <c r="G1541" s="3482" t="s">
        <v>3582</v>
      </c>
    </row>
    <row r="1542" spans="1:7">
      <c r="A1542" s="3536">
        <v>1541</v>
      </c>
      <c r="B1542" s="3481" t="s">
        <v>7465</v>
      </c>
      <c r="C1542" s="3481" t="s">
        <v>3395</v>
      </c>
      <c r="D1542" s="3482">
        <v>83.54</v>
      </c>
      <c r="E1542" s="3519">
        <f t="shared" si="24"/>
        <v>33995.690687096001</v>
      </c>
      <c r="F1542" s="3481">
        <v>2840000</v>
      </c>
      <c r="G1542" s="3482" t="s">
        <v>3582</v>
      </c>
    </row>
    <row r="1543" spans="1:7">
      <c r="A1543" s="3536">
        <v>1542</v>
      </c>
      <c r="B1543" s="3481" t="s">
        <v>7466</v>
      </c>
      <c r="C1543" s="3481" t="s">
        <v>3395</v>
      </c>
      <c r="D1543" s="3482">
        <v>83.92</v>
      </c>
      <c r="E1543" s="3519">
        <f t="shared" si="24"/>
        <v>33841.754051477597</v>
      </c>
      <c r="F1543" s="3481">
        <v>2840000</v>
      </c>
      <c r="G1543" s="3482" t="s">
        <v>3582</v>
      </c>
    </row>
    <row r="1544" spans="1:7">
      <c r="A1544" s="3536">
        <v>1543</v>
      </c>
      <c r="B1544" s="3481" t="s">
        <v>7404</v>
      </c>
      <c r="C1544" s="3481" t="s">
        <v>3395</v>
      </c>
      <c r="D1544" s="3482">
        <v>83.92</v>
      </c>
      <c r="E1544" s="3519">
        <f t="shared" si="24"/>
        <v>31577.69304099142</v>
      </c>
      <c r="F1544" s="3481">
        <v>2650000</v>
      </c>
      <c r="G1544" s="3482" t="s">
        <v>3534</v>
      </c>
    </row>
    <row r="1545" spans="1:7">
      <c r="A1545" s="3536">
        <v>1544</v>
      </c>
      <c r="B1545" s="3481" t="s">
        <v>7567</v>
      </c>
      <c r="C1545" s="3481" t="s">
        <v>3395</v>
      </c>
      <c r="D1545" s="3482">
        <v>73.760000000000005</v>
      </c>
      <c r="E1545" s="3519">
        <f t="shared" si="24"/>
        <v>36334.056399132322</v>
      </c>
      <c r="F1545" s="3481">
        <v>2680000</v>
      </c>
      <c r="G1545" s="3482" t="s">
        <v>7565</v>
      </c>
    </row>
    <row r="1546" spans="1:7">
      <c r="A1546" s="3536">
        <v>1545</v>
      </c>
      <c r="B1546" s="3481" t="s">
        <v>7502</v>
      </c>
      <c r="C1546" s="3481" t="s">
        <v>3395</v>
      </c>
      <c r="D1546" s="3482">
        <v>74.22</v>
      </c>
      <c r="E1546" s="3519">
        <f t="shared" si="24"/>
        <v>36948.464025869042</v>
      </c>
      <c r="F1546" s="3481">
        <v>2742315</v>
      </c>
      <c r="G1546" s="3482" t="s">
        <v>3609</v>
      </c>
    </row>
    <row r="1547" spans="1:7">
      <c r="A1547" s="3536">
        <v>1546</v>
      </c>
      <c r="B1547" s="3481" t="s">
        <v>7738</v>
      </c>
      <c r="C1547" s="3481" t="s">
        <v>5305</v>
      </c>
      <c r="D1547" s="3482">
        <v>73.430000000000007</v>
      </c>
      <c r="E1547" s="3519">
        <f t="shared" si="24"/>
        <v>39085.687048890097</v>
      </c>
      <c r="F1547" s="3481">
        <v>2870062</v>
      </c>
      <c r="G1547" s="3482" t="s">
        <v>3856</v>
      </c>
    </row>
    <row r="1548" spans="1:7">
      <c r="A1548" s="3536">
        <v>1547</v>
      </c>
      <c r="B1548" s="3481" t="s">
        <v>3860</v>
      </c>
      <c r="C1548" s="3481" t="s">
        <v>3338</v>
      </c>
      <c r="D1548" s="3482">
        <v>99.15</v>
      </c>
      <c r="E1548" s="3519">
        <f t="shared" si="24"/>
        <v>12662.531517902167</v>
      </c>
      <c r="F1548" s="3481">
        <v>1255490</v>
      </c>
      <c r="G1548" s="3482" t="s">
        <v>3856</v>
      </c>
    </row>
    <row r="1549" spans="1:7">
      <c r="A1549" s="3536">
        <v>1548</v>
      </c>
      <c r="B1549" s="3481" t="s">
        <v>7517</v>
      </c>
      <c r="C1549" s="3481" t="s">
        <v>5318</v>
      </c>
      <c r="D1549" s="3482">
        <v>222.56</v>
      </c>
      <c r="E1549" s="3519">
        <f t="shared" si="24"/>
        <v>22478.432782171101</v>
      </c>
      <c r="F1549" s="3481">
        <v>5002800</v>
      </c>
      <c r="G1549" s="3482" t="s">
        <v>3632</v>
      </c>
    </row>
    <row r="1550" spans="1:7">
      <c r="A1550" s="3536">
        <v>1549</v>
      </c>
      <c r="B1550" s="3481" t="s">
        <v>3631</v>
      </c>
      <c r="C1550" s="3481" t="s">
        <v>3338</v>
      </c>
      <c r="D1550" s="3482">
        <v>18.059999999999999</v>
      </c>
      <c r="E1550" s="3519">
        <f t="shared" si="24"/>
        <v>5916.3344407530458</v>
      </c>
      <c r="F1550" s="3481">
        <v>106849</v>
      </c>
      <c r="G1550" s="3482" t="s">
        <v>3632</v>
      </c>
    </row>
    <row r="1551" spans="1:7">
      <c r="A1551" s="3536">
        <v>1550</v>
      </c>
      <c r="B1551" s="3481" t="s">
        <v>3861</v>
      </c>
      <c r="C1551" s="3481" t="s">
        <v>3338</v>
      </c>
      <c r="D1551" s="3482">
        <v>216.18</v>
      </c>
      <c r="E1551" s="3519">
        <f t="shared" si="24"/>
        <v>12027.643630308075</v>
      </c>
      <c r="F1551" s="3481">
        <v>2600136</v>
      </c>
      <c r="G1551" s="3482" t="s">
        <v>3856</v>
      </c>
    </row>
    <row r="1552" spans="1:7">
      <c r="A1552" s="3536">
        <v>1551</v>
      </c>
      <c r="B1552" s="3481" t="s">
        <v>7447</v>
      </c>
      <c r="C1552" s="3481" t="s">
        <v>3395</v>
      </c>
      <c r="D1552" s="3482">
        <v>83.92</v>
      </c>
      <c r="E1552" s="3519">
        <f t="shared" si="24"/>
        <v>33807.197330791227</v>
      </c>
      <c r="F1552" s="3481">
        <v>2837100</v>
      </c>
      <c r="G1552" s="3482" t="s">
        <v>3557</v>
      </c>
    </row>
    <row r="1553" spans="1:7">
      <c r="A1553" s="3536">
        <v>1552</v>
      </c>
      <c r="B1553" s="3481" t="s">
        <v>7162</v>
      </c>
      <c r="C1553" s="3481" t="s">
        <v>3395</v>
      </c>
      <c r="D1553" s="3482">
        <v>83.54</v>
      </c>
      <c r="E1553" s="3519">
        <f t="shared" si="24"/>
        <v>28414.37634666028</v>
      </c>
      <c r="F1553" s="3481">
        <v>2373737</v>
      </c>
      <c r="G1553" s="3482" t="s">
        <v>3485</v>
      </c>
    </row>
    <row r="1554" spans="1:7">
      <c r="A1554" s="3536">
        <v>1553</v>
      </c>
      <c r="B1554" s="3481" t="s">
        <v>7201</v>
      </c>
      <c r="C1554" s="3481" t="s">
        <v>3395</v>
      </c>
      <c r="D1554" s="3482">
        <v>83.92</v>
      </c>
      <c r="E1554" s="3519">
        <f t="shared" si="24"/>
        <v>28285.712583412773</v>
      </c>
      <c r="F1554" s="3481">
        <v>2373737</v>
      </c>
      <c r="G1554" s="3482" t="s">
        <v>7192</v>
      </c>
    </row>
    <row r="1555" spans="1:7">
      <c r="A1555" s="3536">
        <v>1554</v>
      </c>
      <c r="B1555" s="3481" t="s">
        <v>7202</v>
      </c>
      <c r="C1555" s="3481" t="s">
        <v>3395</v>
      </c>
      <c r="D1555" s="3482">
        <v>83.54</v>
      </c>
      <c r="E1555" s="3519">
        <f t="shared" si="24"/>
        <v>28414.37634666028</v>
      </c>
      <c r="F1555" s="3481">
        <v>2373737</v>
      </c>
      <c r="G1555" s="3482" t="s">
        <v>7192</v>
      </c>
    </row>
    <row r="1556" spans="1:7">
      <c r="A1556" s="3536">
        <v>1555</v>
      </c>
      <c r="B1556" s="3481" t="s">
        <v>6956</v>
      </c>
      <c r="C1556" s="3481" t="s">
        <v>3395</v>
      </c>
      <c r="D1556" s="3482">
        <v>83.92</v>
      </c>
      <c r="E1556" s="3519">
        <f t="shared" si="24"/>
        <v>27864.442326024786</v>
      </c>
      <c r="F1556" s="3481">
        <v>2338384</v>
      </c>
      <c r="G1556" s="3482" t="s">
        <v>6955</v>
      </c>
    </row>
    <row r="1557" spans="1:7">
      <c r="A1557" s="3536">
        <v>1556</v>
      </c>
      <c r="B1557" s="3481" t="s">
        <v>6957</v>
      </c>
      <c r="C1557" s="3481" t="s">
        <v>3395</v>
      </c>
      <c r="D1557" s="3482">
        <v>83.54</v>
      </c>
      <c r="E1557" s="3519">
        <f t="shared" si="24"/>
        <v>26879.937754369163</v>
      </c>
      <c r="F1557" s="3481">
        <v>2245550</v>
      </c>
      <c r="G1557" s="3482" t="s">
        <v>6955</v>
      </c>
    </row>
    <row r="1558" spans="1:7">
      <c r="A1558" s="3536">
        <v>1557</v>
      </c>
      <c r="B1558" s="3481" t="s">
        <v>7781</v>
      </c>
      <c r="C1558" s="3481" t="s">
        <v>3395</v>
      </c>
      <c r="D1558" s="3482">
        <v>74.22</v>
      </c>
      <c r="E1558" s="3519">
        <f t="shared" si="24"/>
        <v>35709.633521961739</v>
      </c>
      <c r="F1558" s="3481">
        <v>2650369</v>
      </c>
      <c r="G1558" s="3482" t="s">
        <v>7782</v>
      </c>
    </row>
    <row r="1559" spans="1:7">
      <c r="A1559" s="3536">
        <v>1558</v>
      </c>
      <c r="B1559" s="3481" t="s">
        <v>7398</v>
      </c>
      <c r="C1559" s="3481" t="s">
        <v>3395</v>
      </c>
      <c r="D1559" s="3482">
        <v>73.760000000000005</v>
      </c>
      <c r="E1559" s="3519">
        <f t="shared" si="24"/>
        <v>30847.044468546635</v>
      </c>
      <c r="F1559" s="3481">
        <v>2275278</v>
      </c>
      <c r="G1559" s="3482" t="s">
        <v>3529</v>
      </c>
    </row>
    <row r="1560" spans="1:7">
      <c r="A1560" s="3536">
        <v>1559</v>
      </c>
      <c r="B1560" s="3481" t="s">
        <v>7368</v>
      </c>
      <c r="C1560" s="3481" t="s">
        <v>5318</v>
      </c>
      <c r="D1560" s="3482">
        <v>189.07</v>
      </c>
      <c r="E1560" s="3519">
        <f t="shared" si="24"/>
        <v>26190.463849367959</v>
      </c>
      <c r="F1560" s="3481">
        <v>4951831</v>
      </c>
      <c r="G1560" s="3482" t="s">
        <v>3526</v>
      </c>
    </row>
    <row r="1561" spans="1:7">
      <c r="A1561" s="3536">
        <v>1560</v>
      </c>
      <c r="B1561" s="3481" t="s">
        <v>3525</v>
      </c>
      <c r="C1561" s="3481" t="s">
        <v>3338</v>
      </c>
      <c r="D1561" s="3482">
        <v>12.7</v>
      </c>
      <c r="E1561" s="3519">
        <f t="shared" si="24"/>
        <v>8413.3070866141734</v>
      </c>
      <c r="F1561" s="3481">
        <v>106849</v>
      </c>
      <c r="G1561" s="3482" t="s">
        <v>3526</v>
      </c>
    </row>
    <row r="1562" spans="1:7">
      <c r="A1562" s="3536">
        <v>1561</v>
      </c>
      <c r="B1562" s="3481" t="s">
        <v>7041</v>
      </c>
      <c r="C1562" s="3481" t="s">
        <v>5305</v>
      </c>
      <c r="D1562" s="3482">
        <v>73.05</v>
      </c>
      <c r="E1562" s="3519">
        <f t="shared" si="24"/>
        <v>38924.490075290902</v>
      </c>
      <c r="F1562" s="3481">
        <v>2843434</v>
      </c>
      <c r="G1562" s="3482" t="s">
        <v>3469</v>
      </c>
    </row>
    <row r="1563" spans="1:7">
      <c r="A1563" s="3536">
        <v>1562</v>
      </c>
      <c r="B1563" s="3481" t="s">
        <v>3468</v>
      </c>
      <c r="C1563" s="3481" t="s">
        <v>3338</v>
      </c>
      <c r="D1563" s="3482">
        <v>98.21</v>
      </c>
      <c r="E1563" s="3519">
        <f t="shared" si="24"/>
        <v>11622.176967722229</v>
      </c>
      <c r="F1563" s="3481">
        <v>1141414</v>
      </c>
      <c r="G1563" s="3482" t="s">
        <v>3469</v>
      </c>
    </row>
    <row r="1564" spans="1:7">
      <c r="A1564" s="3536">
        <v>1563</v>
      </c>
      <c r="B1564" s="3481" t="s">
        <v>7448</v>
      </c>
      <c r="C1564" s="3481" t="s">
        <v>5305</v>
      </c>
      <c r="D1564" s="3482">
        <v>73.05</v>
      </c>
      <c r="E1564" s="3519">
        <f t="shared" si="24"/>
        <v>38938.74058863792</v>
      </c>
      <c r="F1564" s="3481">
        <v>2844475</v>
      </c>
      <c r="G1564" s="3482" t="s">
        <v>3557</v>
      </c>
    </row>
    <row r="1565" spans="1:7">
      <c r="A1565" s="3536">
        <v>1564</v>
      </c>
      <c r="B1565" s="3481" t="s">
        <v>3559</v>
      </c>
      <c r="C1565" s="3481" t="s">
        <v>3338</v>
      </c>
      <c r="D1565" s="3482">
        <v>98.21</v>
      </c>
      <c r="E1565" s="3519">
        <f t="shared" si="24"/>
        <v>11773.424294878323</v>
      </c>
      <c r="F1565" s="3481">
        <v>1156268</v>
      </c>
      <c r="G1565" s="3482" t="s">
        <v>3557</v>
      </c>
    </row>
    <row r="1566" spans="1:7">
      <c r="A1566" s="3536">
        <v>1565</v>
      </c>
      <c r="B1566" s="3481" t="s">
        <v>7702</v>
      </c>
      <c r="C1566" s="3481" t="s">
        <v>5318</v>
      </c>
      <c r="D1566" s="3482">
        <v>189.07</v>
      </c>
      <c r="E1566" s="3519">
        <f t="shared" si="24"/>
        <v>26098.011318559264</v>
      </c>
      <c r="F1566" s="3481">
        <v>4934351</v>
      </c>
      <c r="G1566" s="3482" t="s">
        <v>3810</v>
      </c>
    </row>
    <row r="1567" spans="1:7">
      <c r="A1567" s="3536">
        <v>1566</v>
      </c>
      <c r="B1567" s="3481" t="s">
        <v>3819</v>
      </c>
      <c r="C1567" s="3481" t="s">
        <v>3338</v>
      </c>
      <c r="D1567" s="3482">
        <v>12.7</v>
      </c>
      <c r="E1567" s="3519">
        <f t="shared" si="24"/>
        <v>3384.409448818898</v>
      </c>
      <c r="F1567" s="3481">
        <v>42982</v>
      </c>
      <c r="G1567" s="3482" t="s">
        <v>3810</v>
      </c>
    </row>
    <row r="1568" spans="1:7">
      <c r="A1568" s="3536">
        <v>1567</v>
      </c>
      <c r="B1568" s="3481" t="s">
        <v>3527</v>
      </c>
      <c r="C1568" s="3481" t="s">
        <v>3338</v>
      </c>
      <c r="D1568" s="3482">
        <v>53.75</v>
      </c>
      <c r="E1568" s="3519">
        <f t="shared" si="24"/>
        <v>1987.8883720930232</v>
      </c>
      <c r="F1568" s="3481">
        <v>106849</v>
      </c>
      <c r="G1568" s="3482" t="s">
        <v>3526</v>
      </c>
    </row>
    <row r="1569" spans="1:7">
      <c r="A1569" s="3536">
        <v>1568</v>
      </c>
      <c r="B1569" s="3481" t="s">
        <v>3470</v>
      </c>
      <c r="C1569" s="3481" t="s">
        <v>3338</v>
      </c>
      <c r="D1569" s="3482">
        <v>189.12</v>
      </c>
      <c r="E1569" s="3519">
        <f t="shared" si="24"/>
        <v>11509.983079526226</v>
      </c>
      <c r="F1569" s="3481">
        <v>2176768</v>
      </c>
      <c r="G1569" s="3482" t="s">
        <v>3469</v>
      </c>
    </row>
    <row r="1570" spans="1:7">
      <c r="A1570" s="3536">
        <v>1569</v>
      </c>
      <c r="B1570" s="3481" t="s">
        <v>3560</v>
      </c>
      <c r="C1570" s="3481" t="s">
        <v>3338</v>
      </c>
      <c r="D1570" s="3482">
        <v>189.12</v>
      </c>
      <c r="E1570" s="3519">
        <f t="shared" si="24"/>
        <v>11636.511209813874</v>
      </c>
      <c r="F1570" s="3481">
        <v>2200697</v>
      </c>
      <c r="G1570" s="3482" t="s">
        <v>3557</v>
      </c>
    </row>
    <row r="1571" spans="1:7">
      <c r="A1571" s="3536">
        <v>1570</v>
      </c>
      <c r="B1571" s="3481" t="s">
        <v>3820</v>
      </c>
      <c r="C1571" s="3481" t="s">
        <v>3338</v>
      </c>
      <c r="D1571" s="3482">
        <v>53.75</v>
      </c>
      <c r="E1571" s="3519">
        <f t="shared" si="24"/>
        <v>3145.5627906976742</v>
      </c>
      <c r="F1571" s="3481">
        <v>169074</v>
      </c>
      <c r="G1571" s="3482" t="s">
        <v>3810</v>
      </c>
    </row>
    <row r="1572" spans="1:7">
      <c r="A1572" s="3536">
        <v>1571</v>
      </c>
      <c r="B1572" s="3481" t="s">
        <v>7183</v>
      </c>
      <c r="C1572" s="3481" t="s">
        <v>3395</v>
      </c>
      <c r="D1572" s="3482">
        <v>83.54</v>
      </c>
      <c r="E1572" s="3519">
        <f t="shared" si="24"/>
        <v>28130.237012209716</v>
      </c>
      <c r="F1572" s="3481">
        <v>2350000</v>
      </c>
      <c r="G1572" s="3482" t="s">
        <v>7176</v>
      </c>
    </row>
    <row r="1573" spans="1:7">
      <c r="A1573" s="3536">
        <v>1572</v>
      </c>
      <c r="B1573" s="3481" t="s">
        <v>7203</v>
      </c>
      <c r="C1573" s="3481" t="s">
        <v>3395</v>
      </c>
      <c r="D1573" s="3482">
        <v>83.54</v>
      </c>
      <c r="E1573" s="3519">
        <f t="shared" si="24"/>
        <v>28414.37634666028</v>
      </c>
      <c r="F1573" s="3481">
        <v>2373737</v>
      </c>
      <c r="G1573" s="3482" t="s">
        <v>7192</v>
      </c>
    </row>
    <row r="1574" spans="1:7">
      <c r="A1574" s="3536">
        <v>1573</v>
      </c>
      <c r="B1574" s="3481" t="s">
        <v>7415</v>
      </c>
      <c r="C1574" s="3481" t="s">
        <v>3395</v>
      </c>
      <c r="D1574" s="3482">
        <v>83.54</v>
      </c>
      <c r="E1574" s="3519">
        <f t="shared" si="24"/>
        <v>33324.132152262384</v>
      </c>
      <c r="F1574" s="3481">
        <v>2783898</v>
      </c>
      <c r="G1574" s="3482" t="s">
        <v>3540</v>
      </c>
    </row>
    <row r="1575" spans="1:7">
      <c r="A1575" s="3536">
        <v>1574</v>
      </c>
      <c r="B1575" s="3481" t="s">
        <v>7204</v>
      </c>
      <c r="C1575" s="3481" t="s">
        <v>3395</v>
      </c>
      <c r="D1575" s="3482">
        <v>83.54</v>
      </c>
      <c r="E1575" s="3519">
        <f t="shared" si="24"/>
        <v>28414.37634666028</v>
      </c>
      <c r="F1575" s="3481">
        <v>2373737</v>
      </c>
      <c r="G1575" s="3482" t="s">
        <v>7192</v>
      </c>
    </row>
    <row r="1576" spans="1:7">
      <c r="A1576" s="3536">
        <v>1575</v>
      </c>
      <c r="B1576" s="3481" t="s">
        <v>6866</v>
      </c>
      <c r="C1576" s="3481" t="s">
        <v>3395</v>
      </c>
      <c r="D1576" s="3482">
        <v>83.54</v>
      </c>
      <c r="E1576" s="3519">
        <f t="shared" si="24"/>
        <v>27711.276035432125</v>
      </c>
      <c r="F1576" s="3481">
        <v>2315000</v>
      </c>
      <c r="G1576" s="3482" t="s">
        <v>3431</v>
      </c>
    </row>
    <row r="1577" spans="1:7">
      <c r="A1577" s="3536">
        <v>1576</v>
      </c>
      <c r="B1577" s="3481" t="s">
        <v>7401</v>
      </c>
      <c r="C1577" s="3481" t="s">
        <v>3395</v>
      </c>
      <c r="D1577" s="3482">
        <v>73.760000000000005</v>
      </c>
      <c r="E1577" s="3519">
        <f t="shared" si="24"/>
        <v>31473.359544468545</v>
      </c>
      <c r="F1577" s="3481">
        <v>2321475</v>
      </c>
      <c r="G1577" s="3482" t="s">
        <v>7402</v>
      </c>
    </row>
    <row r="1578" spans="1:7">
      <c r="A1578" s="3536">
        <v>1577</v>
      </c>
      <c r="B1578" s="3481" t="s">
        <v>7637</v>
      </c>
      <c r="C1578" s="3481" t="s">
        <v>3395</v>
      </c>
      <c r="D1578" s="3482">
        <v>73.760000000000005</v>
      </c>
      <c r="E1578" s="3519">
        <f t="shared" si="24"/>
        <v>36338.232104121475</v>
      </c>
      <c r="F1578" s="3481">
        <v>2680308</v>
      </c>
      <c r="G1578" s="3482" t="s">
        <v>7638</v>
      </c>
    </row>
    <row r="1579" spans="1:7">
      <c r="A1579" s="3536">
        <v>1578</v>
      </c>
      <c r="B1579" s="3481" t="s">
        <v>7703</v>
      </c>
      <c r="C1579" s="3481" t="s">
        <v>5318</v>
      </c>
      <c r="D1579" s="3482">
        <v>178.28</v>
      </c>
      <c r="E1579" s="3519">
        <f t="shared" si="24"/>
        <v>27476.492035001123</v>
      </c>
      <c r="F1579" s="3481">
        <v>4898509</v>
      </c>
      <c r="G1579" s="3482" t="s">
        <v>3810</v>
      </c>
    </row>
    <row r="1580" spans="1:7">
      <c r="A1580" s="3536">
        <v>1579</v>
      </c>
      <c r="B1580" s="3481" t="s">
        <v>3821</v>
      </c>
      <c r="C1580" s="3481" t="s">
        <v>3338</v>
      </c>
      <c r="D1580" s="3482">
        <v>23.83</v>
      </c>
      <c r="E1580" s="3519">
        <f t="shared" si="24"/>
        <v>3976.1225346202268</v>
      </c>
      <c r="F1580" s="3481">
        <v>94751</v>
      </c>
      <c r="G1580" s="3482" t="s">
        <v>3810</v>
      </c>
    </row>
    <row r="1581" spans="1:7">
      <c r="A1581" s="3536">
        <v>1580</v>
      </c>
      <c r="B1581" s="3481" t="s">
        <v>7609</v>
      </c>
      <c r="C1581" s="3481" t="s">
        <v>5305</v>
      </c>
      <c r="D1581" s="3482">
        <v>73.430000000000007</v>
      </c>
      <c r="E1581" s="3519">
        <f t="shared" si="24"/>
        <v>38355.61759498842</v>
      </c>
      <c r="F1581" s="3481">
        <v>2816453</v>
      </c>
      <c r="G1581" s="3482" t="s">
        <v>3737</v>
      </c>
    </row>
    <row r="1582" spans="1:7">
      <c r="A1582" s="3536">
        <v>1581</v>
      </c>
      <c r="B1582" s="3481" t="s">
        <v>3736</v>
      </c>
      <c r="C1582" s="3481" t="s">
        <v>3338</v>
      </c>
      <c r="D1582" s="3482">
        <v>99.63</v>
      </c>
      <c r="E1582" s="3519">
        <f t="shared" si="24"/>
        <v>11512.817424470542</v>
      </c>
      <c r="F1582" s="3481">
        <v>1147022</v>
      </c>
      <c r="G1582" s="3482" t="s">
        <v>3737</v>
      </c>
    </row>
    <row r="1583" spans="1:7">
      <c r="A1583" s="3536">
        <v>1582</v>
      </c>
      <c r="B1583" s="3481" t="s">
        <v>7757</v>
      </c>
      <c r="C1583" s="3481" t="s">
        <v>5318</v>
      </c>
      <c r="D1583" s="3482">
        <v>179.48</v>
      </c>
      <c r="E1583" s="3519">
        <f t="shared" si="24"/>
        <v>28729.696902161802</v>
      </c>
      <c r="F1583" s="3481">
        <v>5156406</v>
      </c>
      <c r="G1583" s="3482" t="s">
        <v>3877</v>
      </c>
    </row>
    <row r="1584" spans="1:7">
      <c r="A1584" s="3536">
        <v>1583</v>
      </c>
      <c r="B1584" s="3481" t="s">
        <v>3883</v>
      </c>
      <c r="C1584" s="3481" t="s">
        <v>3338</v>
      </c>
      <c r="D1584" s="3482">
        <v>23.97</v>
      </c>
      <c r="E1584" s="3519">
        <f t="shared" si="24"/>
        <v>4045.515227367543</v>
      </c>
      <c r="F1584" s="3481">
        <v>96971</v>
      </c>
      <c r="G1584" s="3482" t="s">
        <v>3877</v>
      </c>
    </row>
    <row r="1585" spans="1:7">
      <c r="A1585" s="3536">
        <v>1584</v>
      </c>
      <c r="B1585" s="3481" t="s">
        <v>3822</v>
      </c>
      <c r="C1585" s="3481" t="s">
        <v>3338</v>
      </c>
      <c r="D1585" s="3482">
        <v>28.64</v>
      </c>
      <c r="E1585" s="3519">
        <f t="shared" si="24"/>
        <v>3948.4986033519554</v>
      </c>
      <c r="F1585" s="3481">
        <v>113085</v>
      </c>
      <c r="G1585" s="3482" t="s">
        <v>3810</v>
      </c>
    </row>
    <row r="1586" spans="1:7">
      <c r="A1586" s="3536">
        <v>1585</v>
      </c>
      <c r="B1586" s="3481" t="s">
        <v>3738</v>
      </c>
      <c r="C1586" s="3481" t="s">
        <v>3338</v>
      </c>
      <c r="D1586" s="3482">
        <v>190.53</v>
      </c>
      <c r="E1586" s="3519">
        <f t="shared" si="24"/>
        <v>11488.49525009185</v>
      </c>
      <c r="F1586" s="3481">
        <v>2188903</v>
      </c>
      <c r="G1586" s="3482" t="s">
        <v>3737</v>
      </c>
    </row>
    <row r="1587" spans="1:7">
      <c r="A1587" s="3536">
        <v>1586</v>
      </c>
      <c r="B1587" s="3481" t="s">
        <v>3884</v>
      </c>
      <c r="C1587" s="3481" t="s">
        <v>3338</v>
      </c>
      <c r="D1587" s="3482">
        <v>28.64</v>
      </c>
      <c r="E1587" s="3519">
        <f t="shared" si="24"/>
        <v>4018.3310055865923</v>
      </c>
      <c r="F1587" s="3481">
        <v>115085</v>
      </c>
      <c r="G1587" s="3482" t="s">
        <v>3877</v>
      </c>
    </row>
    <row r="1588" spans="1:7">
      <c r="A1588" s="3536">
        <v>1587</v>
      </c>
      <c r="B1588" s="3481" t="s">
        <v>7018</v>
      </c>
      <c r="C1588" s="3481" t="s">
        <v>3395</v>
      </c>
      <c r="D1588" s="3482">
        <v>83.54</v>
      </c>
      <c r="E1588" s="3519">
        <f t="shared" si="24"/>
        <v>29087.86210198707</v>
      </c>
      <c r="F1588" s="3481">
        <v>2430000</v>
      </c>
      <c r="G1588" s="3482" t="s">
        <v>7019</v>
      </c>
    </row>
    <row r="1589" spans="1:7">
      <c r="A1589" s="3536">
        <v>1588</v>
      </c>
      <c r="B1589" s="3481" t="s">
        <v>7443</v>
      </c>
      <c r="C1589" s="3481" t="s">
        <v>3395</v>
      </c>
      <c r="D1589" s="3482">
        <v>83.92</v>
      </c>
      <c r="E1589" s="3519">
        <f t="shared" si="24"/>
        <v>33857.20924690181</v>
      </c>
      <c r="F1589" s="3481">
        <v>2841297</v>
      </c>
      <c r="G1589" s="3482" t="s">
        <v>7444</v>
      </c>
    </row>
    <row r="1590" spans="1:7">
      <c r="A1590" s="3536">
        <v>1589</v>
      </c>
      <c r="B1590" s="3481" t="s">
        <v>7427</v>
      </c>
      <c r="C1590" s="3481" t="s">
        <v>3395</v>
      </c>
      <c r="D1590" s="3482">
        <v>83.54</v>
      </c>
      <c r="E1590" s="3519">
        <f t="shared" si="24"/>
        <v>32990.890591333489</v>
      </c>
      <c r="F1590" s="3481">
        <v>2756059</v>
      </c>
      <c r="G1590" s="3482" t="s">
        <v>7428</v>
      </c>
    </row>
    <row r="1591" spans="1:7">
      <c r="A1591" s="3536">
        <v>1590</v>
      </c>
      <c r="B1591" s="3481" t="s">
        <v>7628</v>
      </c>
      <c r="C1591" s="3481" t="s">
        <v>3395</v>
      </c>
      <c r="D1591" s="3482">
        <v>83.92</v>
      </c>
      <c r="E1591" s="3519">
        <f t="shared" si="24"/>
        <v>33846.782650142995</v>
      </c>
      <c r="F1591" s="3481">
        <v>2840422</v>
      </c>
      <c r="G1591" s="3482" t="s">
        <v>7629</v>
      </c>
    </row>
    <row r="1592" spans="1:7">
      <c r="A1592" s="3536">
        <v>1591</v>
      </c>
      <c r="B1592" s="3481" t="s">
        <v>7405</v>
      </c>
      <c r="C1592" s="3481" t="s">
        <v>3395</v>
      </c>
      <c r="D1592" s="3482">
        <v>83.54</v>
      </c>
      <c r="E1592" s="3519">
        <f t="shared" si="24"/>
        <v>31721.331098874787</v>
      </c>
      <c r="F1592" s="3481">
        <v>2650000</v>
      </c>
      <c r="G1592" s="3482" t="s">
        <v>3534</v>
      </c>
    </row>
    <row r="1593" spans="1:7">
      <c r="A1593" s="3536">
        <v>1592</v>
      </c>
      <c r="B1593" s="3481" t="s">
        <v>6874</v>
      </c>
      <c r="C1593" s="3481" t="s">
        <v>3395</v>
      </c>
      <c r="D1593" s="3482">
        <v>83.92</v>
      </c>
      <c r="E1593" s="3519">
        <f t="shared" si="24"/>
        <v>27645.376549094373</v>
      </c>
      <c r="F1593" s="3481">
        <v>2320000</v>
      </c>
      <c r="G1593" s="3482" t="s">
        <v>6870</v>
      </c>
    </row>
    <row r="1594" spans="1:7">
      <c r="A1594" s="3536">
        <v>1593</v>
      </c>
      <c r="B1594" s="3481" t="s">
        <v>7639</v>
      </c>
      <c r="C1594" s="3481" t="s">
        <v>3395</v>
      </c>
      <c r="D1594" s="3482">
        <v>73.760000000000005</v>
      </c>
      <c r="E1594" s="3519">
        <f t="shared" si="24"/>
        <v>36338.232104121475</v>
      </c>
      <c r="F1594" s="3481">
        <v>2680308</v>
      </c>
      <c r="G1594" s="3482" t="s">
        <v>7638</v>
      </c>
    </row>
    <row r="1595" spans="1:7">
      <c r="A1595" s="3536">
        <v>1594</v>
      </c>
      <c r="B1595" s="3481" t="s">
        <v>7711</v>
      </c>
      <c r="C1595" s="3481" t="s">
        <v>3395</v>
      </c>
      <c r="D1595" s="3482">
        <v>74.22</v>
      </c>
      <c r="E1595" s="3519">
        <f t="shared" si="24"/>
        <v>36070.331447049313</v>
      </c>
      <c r="F1595" s="3481">
        <v>2677140</v>
      </c>
      <c r="G1595" s="3482" t="s">
        <v>3824</v>
      </c>
    </row>
    <row r="1596" spans="1:7">
      <c r="A1596" s="3536">
        <v>1595</v>
      </c>
      <c r="B1596" s="3481" t="s">
        <v>7758</v>
      </c>
      <c r="C1596" s="3481" t="s">
        <v>5318</v>
      </c>
      <c r="D1596" s="3482">
        <v>189.84</v>
      </c>
      <c r="E1596" s="3519">
        <f t="shared" si="24"/>
        <v>28236.730931310576</v>
      </c>
      <c r="F1596" s="3481">
        <v>5360461</v>
      </c>
      <c r="G1596" s="3482" t="s">
        <v>3877</v>
      </c>
    </row>
    <row r="1597" spans="1:7">
      <c r="A1597" s="3536">
        <v>1596</v>
      </c>
      <c r="B1597" s="3481" t="s">
        <v>3885</v>
      </c>
      <c r="C1597" s="3481" t="s">
        <v>3338</v>
      </c>
      <c r="D1597" s="3482">
        <v>12.48</v>
      </c>
      <c r="E1597" s="3519">
        <f t="shared" si="24"/>
        <v>3415.2243589743589</v>
      </c>
      <c r="F1597" s="3481">
        <v>42622</v>
      </c>
      <c r="G1597" s="3482" t="s">
        <v>3877</v>
      </c>
    </row>
    <row r="1598" spans="1:7">
      <c r="A1598" s="3536">
        <v>1597</v>
      </c>
      <c r="B1598" s="3481" t="s">
        <v>7597</v>
      </c>
      <c r="C1598" s="3481" t="s">
        <v>5305</v>
      </c>
      <c r="D1598" s="3482">
        <v>73.37</v>
      </c>
      <c r="E1598" s="3519">
        <f t="shared" si="24"/>
        <v>38768.910999045926</v>
      </c>
      <c r="F1598" s="3481">
        <v>2844475</v>
      </c>
      <c r="G1598" s="3482" t="s">
        <v>3723</v>
      </c>
    </row>
    <row r="1599" spans="1:7">
      <c r="A1599" s="3536">
        <v>1598</v>
      </c>
      <c r="B1599" s="3481" t="s">
        <v>3722</v>
      </c>
      <c r="C1599" s="3481" t="s">
        <v>3338</v>
      </c>
      <c r="D1599" s="3482">
        <v>98.14</v>
      </c>
      <c r="E1599" s="3519">
        <f t="shared" si="24"/>
        <v>15661.086203382922</v>
      </c>
      <c r="F1599" s="3481">
        <v>1536979</v>
      </c>
      <c r="G1599" s="3482" t="s">
        <v>3723</v>
      </c>
    </row>
    <row r="1600" spans="1:7">
      <c r="A1600" s="3536">
        <v>1599</v>
      </c>
      <c r="B1600" s="3481" t="s">
        <v>7688</v>
      </c>
      <c r="C1600" s="3481" t="s">
        <v>5305</v>
      </c>
      <c r="D1600" s="3482">
        <v>72.989999999999995</v>
      </c>
      <c r="E1600" s="3519">
        <f t="shared" si="24"/>
        <v>39003.356624195098</v>
      </c>
      <c r="F1600" s="3481">
        <v>2846855</v>
      </c>
      <c r="G1600" s="3482" t="s">
        <v>3802</v>
      </c>
    </row>
    <row r="1601" spans="1:7">
      <c r="A1601" s="3536">
        <v>1600</v>
      </c>
      <c r="B1601" s="3481" t="s">
        <v>3801</v>
      </c>
      <c r="C1601" s="3481" t="s">
        <v>3338</v>
      </c>
      <c r="D1601" s="3482">
        <v>96.74</v>
      </c>
      <c r="E1601" s="3519">
        <f t="shared" si="24"/>
        <v>14276.100888980774</v>
      </c>
      <c r="F1601" s="3481">
        <v>1381070</v>
      </c>
      <c r="G1601" s="3482" t="s">
        <v>3802</v>
      </c>
    </row>
    <row r="1602" spans="1:7">
      <c r="A1602" s="3536">
        <v>1601</v>
      </c>
      <c r="B1602" s="3481" t="s">
        <v>7667</v>
      </c>
      <c r="C1602" s="3481" t="s">
        <v>5318</v>
      </c>
      <c r="D1602" s="3482">
        <v>188.93</v>
      </c>
      <c r="E1602" s="3519">
        <f t="shared" si="24"/>
        <v>26027.81453448367</v>
      </c>
      <c r="F1602" s="3481">
        <v>4917435</v>
      </c>
      <c r="G1602" s="3482" t="s">
        <v>3788</v>
      </c>
    </row>
    <row r="1603" spans="1:7">
      <c r="A1603" s="3536">
        <v>1602</v>
      </c>
      <c r="B1603" s="3481" t="s">
        <v>3791</v>
      </c>
      <c r="C1603" s="3481" t="s">
        <v>3338</v>
      </c>
      <c r="D1603" s="3482">
        <v>12.48</v>
      </c>
      <c r="E1603" s="3519">
        <f t="shared" ref="E1603:E1666" si="25">F1603/D1603</f>
        <v>8012.8205128205127</v>
      </c>
      <c r="F1603" s="3481">
        <v>100000</v>
      </c>
      <c r="G1603" s="3482" t="s">
        <v>3788</v>
      </c>
    </row>
    <row r="1604" spans="1:7">
      <c r="A1604" s="3536">
        <v>1603</v>
      </c>
      <c r="B1604" s="3481" t="s">
        <v>3886</v>
      </c>
      <c r="C1604" s="3481" t="s">
        <v>3338</v>
      </c>
      <c r="D1604" s="3482">
        <v>53.47</v>
      </c>
      <c r="E1604" s="3519">
        <f t="shared" si="25"/>
        <v>3168.767533196185</v>
      </c>
      <c r="F1604" s="3481">
        <v>169434</v>
      </c>
      <c r="G1604" s="3482" t="s">
        <v>3877</v>
      </c>
    </row>
    <row r="1605" spans="1:7">
      <c r="A1605" s="3536">
        <v>1604</v>
      </c>
      <c r="B1605" s="3481" t="s">
        <v>3724</v>
      </c>
      <c r="C1605" s="3481" t="s">
        <v>3338</v>
      </c>
      <c r="D1605" s="3482">
        <v>187.6</v>
      </c>
      <c r="E1605" s="3519">
        <f t="shared" si="25"/>
        <v>12093.603411513859</v>
      </c>
      <c r="F1605" s="3481">
        <v>2268760</v>
      </c>
      <c r="G1605" s="3482" t="s">
        <v>3723</v>
      </c>
    </row>
    <row r="1606" spans="1:7">
      <c r="A1606" s="3536">
        <v>1605</v>
      </c>
      <c r="B1606" s="3481" t="s">
        <v>3803</v>
      </c>
      <c r="C1606" s="3481" t="s">
        <v>3338</v>
      </c>
      <c r="D1606" s="3482">
        <v>186.21</v>
      </c>
      <c r="E1606" s="3519">
        <f t="shared" si="25"/>
        <v>14253.353740400622</v>
      </c>
      <c r="F1606" s="3481">
        <v>2654117</v>
      </c>
      <c r="G1606" s="3482" t="s">
        <v>3802</v>
      </c>
    </row>
    <row r="1607" spans="1:7">
      <c r="A1607" s="3536">
        <v>1606</v>
      </c>
      <c r="B1607" s="3481" t="s">
        <v>3792</v>
      </c>
      <c r="C1607" s="3481" t="s">
        <v>3338</v>
      </c>
      <c r="D1607" s="3482">
        <v>52.93</v>
      </c>
      <c r="E1607" s="3519">
        <f t="shared" si="25"/>
        <v>1889.287738522577</v>
      </c>
      <c r="F1607" s="3481">
        <v>100000</v>
      </c>
      <c r="G1607" s="3482" t="s">
        <v>3788</v>
      </c>
    </row>
    <row r="1608" spans="1:7">
      <c r="A1608" s="3536">
        <v>1607</v>
      </c>
      <c r="B1608" s="3481" t="s">
        <v>7575</v>
      </c>
      <c r="C1608" s="3481" t="s">
        <v>3395</v>
      </c>
      <c r="D1608" s="3482">
        <v>83.85</v>
      </c>
      <c r="E1608" s="3519">
        <f t="shared" si="25"/>
        <v>33875.038759689924</v>
      </c>
      <c r="F1608" s="3481">
        <v>2840422</v>
      </c>
      <c r="G1608" s="3482" t="s">
        <v>3688</v>
      </c>
    </row>
    <row r="1609" spans="1:7">
      <c r="A1609" s="3536">
        <v>1608</v>
      </c>
      <c r="B1609" s="3481" t="s">
        <v>7579</v>
      </c>
      <c r="C1609" s="3481" t="s">
        <v>3395</v>
      </c>
      <c r="D1609" s="3482">
        <v>83.46</v>
      </c>
      <c r="E1609" s="3519">
        <f t="shared" si="25"/>
        <v>34033.333333333336</v>
      </c>
      <c r="F1609" s="3481">
        <v>2840422</v>
      </c>
      <c r="G1609" s="3482" t="s">
        <v>3691</v>
      </c>
    </row>
    <row r="1610" spans="1:7">
      <c r="A1610" s="3536">
        <v>1609</v>
      </c>
      <c r="B1610" s="3481" t="s">
        <v>7640</v>
      </c>
      <c r="C1610" s="3481" t="s">
        <v>3395</v>
      </c>
      <c r="D1610" s="3482">
        <v>83.85</v>
      </c>
      <c r="E1610" s="3519">
        <f t="shared" si="25"/>
        <v>33875.038759689924</v>
      </c>
      <c r="F1610" s="3481">
        <v>2840422</v>
      </c>
      <c r="G1610" s="3482" t="s">
        <v>7638</v>
      </c>
    </row>
    <row r="1611" spans="1:7">
      <c r="A1611" s="3536">
        <v>1610</v>
      </c>
      <c r="B1611" s="3481" t="s">
        <v>7759</v>
      </c>
      <c r="C1611" s="3481" t="s">
        <v>3395</v>
      </c>
      <c r="D1611" s="3482">
        <v>83.46</v>
      </c>
      <c r="E1611" s="3519">
        <f t="shared" si="25"/>
        <v>33894.009106158643</v>
      </c>
      <c r="F1611" s="3481">
        <v>2828794</v>
      </c>
      <c r="G1611" s="3482" t="s">
        <v>3877</v>
      </c>
    </row>
    <row r="1612" spans="1:7">
      <c r="A1612" s="3536">
        <v>1611</v>
      </c>
      <c r="B1612" s="3481" t="s">
        <v>6893</v>
      </c>
      <c r="C1612" s="3481" t="s">
        <v>3395</v>
      </c>
      <c r="D1612" s="3482">
        <v>83.85</v>
      </c>
      <c r="E1612" s="3519">
        <f t="shared" si="25"/>
        <v>27906.976744186049</v>
      </c>
      <c r="F1612" s="3481">
        <v>2340000</v>
      </c>
      <c r="G1612" s="3482" t="s">
        <v>3437</v>
      </c>
    </row>
    <row r="1613" spans="1:7">
      <c r="A1613" s="3536">
        <v>1612</v>
      </c>
      <c r="B1613" s="3481" t="s">
        <v>6875</v>
      </c>
      <c r="C1613" s="3481" t="s">
        <v>3395</v>
      </c>
      <c r="D1613" s="3482">
        <v>83.46</v>
      </c>
      <c r="E1613" s="3519">
        <f t="shared" si="25"/>
        <v>28157.201054397319</v>
      </c>
      <c r="F1613" s="3481">
        <v>2350000</v>
      </c>
      <c r="G1613" s="3482" t="s">
        <v>6870</v>
      </c>
    </row>
    <row r="1614" spans="1:7">
      <c r="A1614" s="3536">
        <v>1613</v>
      </c>
      <c r="B1614" s="3481" t="s">
        <v>7298</v>
      </c>
      <c r="C1614" s="3481" t="s">
        <v>3395</v>
      </c>
      <c r="D1614" s="3482">
        <v>74.150000000000006</v>
      </c>
      <c r="E1614" s="3519">
        <f t="shared" si="25"/>
        <v>28051.247471341874</v>
      </c>
      <c r="F1614" s="3481">
        <v>2080000</v>
      </c>
      <c r="G1614" s="3482" t="s">
        <v>7299</v>
      </c>
    </row>
    <row r="1615" spans="1:7">
      <c r="A1615" s="3536">
        <v>1614</v>
      </c>
      <c r="B1615" s="3481" t="s">
        <v>7689</v>
      </c>
      <c r="C1615" s="3481" t="s">
        <v>3395</v>
      </c>
      <c r="D1615" s="3482">
        <v>73.69</v>
      </c>
      <c r="E1615" s="3519">
        <f t="shared" si="25"/>
        <v>35712.579725878684</v>
      </c>
      <c r="F1615" s="3481">
        <v>2631660</v>
      </c>
      <c r="G1615" s="3482" t="s">
        <v>7690</v>
      </c>
    </row>
    <row r="1616" spans="1:7">
      <c r="A1616" s="3536">
        <v>1615</v>
      </c>
      <c r="B1616" s="3481" t="s">
        <v>7730</v>
      </c>
      <c r="C1616" s="3481" t="s">
        <v>5318</v>
      </c>
      <c r="D1616" s="3482">
        <v>178.14</v>
      </c>
      <c r="E1616" s="3519">
        <f t="shared" si="25"/>
        <v>28810.738744807459</v>
      </c>
      <c r="F1616" s="3481">
        <v>5132345</v>
      </c>
      <c r="G1616" s="3482" t="s">
        <v>3844</v>
      </c>
    </row>
    <row r="1617" spans="1:7">
      <c r="A1617" s="3536">
        <v>1616</v>
      </c>
      <c r="B1617" s="3481" t="s">
        <v>3843</v>
      </c>
      <c r="C1617" s="3481" t="s">
        <v>3338</v>
      </c>
      <c r="D1617" s="3482">
        <v>23.61</v>
      </c>
      <c r="E1617" s="3519">
        <f t="shared" si="25"/>
        <v>3982.2532825074122</v>
      </c>
      <c r="F1617" s="3481">
        <v>94021</v>
      </c>
      <c r="G1617" s="3482" t="s">
        <v>3844</v>
      </c>
    </row>
    <row r="1618" spans="1:7">
      <c r="A1618" s="3536">
        <v>1617</v>
      </c>
      <c r="B1618" s="3481" t="s">
        <v>7645</v>
      </c>
      <c r="C1618" s="3481" t="s">
        <v>5305</v>
      </c>
      <c r="D1618" s="3482">
        <v>72.989999999999995</v>
      </c>
      <c r="E1618" s="3519">
        <f t="shared" si="25"/>
        <v>38747.266748869712</v>
      </c>
      <c r="F1618" s="3481">
        <v>2828163</v>
      </c>
      <c r="G1618" s="3482" t="s">
        <v>3759</v>
      </c>
    </row>
    <row r="1619" spans="1:7">
      <c r="A1619" s="3536">
        <v>1618</v>
      </c>
      <c r="B1619" s="3481" t="s">
        <v>3763</v>
      </c>
      <c r="C1619" s="3481" t="s">
        <v>3338</v>
      </c>
      <c r="D1619" s="3482">
        <v>96.85</v>
      </c>
      <c r="E1619" s="3519">
        <f t="shared" si="25"/>
        <v>13691.698502839443</v>
      </c>
      <c r="F1619" s="3481">
        <v>1326041</v>
      </c>
      <c r="G1619" s="3482" t="s">
        <v>3759</v>
      </c>
    </row>
    <row r="1620" spans="1:7">
      <c r="A1620" s="3536">
        <v>1619</v>
      </c>
      <c r="B1620" s="3481" t="s">
        <v>7485</v>
      </c>
      <c r="C1620" s="3481" t="s">
        <v>5305</v>
      </c>
      <c r="D1620" s="3482">
        <v>72.989999999999995</v>
      </c>
      <c r="E1620" s="3519">
        <f t="shared" si="25"/>
        <v>38581.038498424445</v>
      </c>
      <c r="F1620" s="3481">
        <v>2816030</v>
      </c>
      <c r="G1620" s="3482" t="s">
        <v>3591</v>
      </c>
    </row>
    <row r="1621" spans="1:7">
      <c r="A1621" s="3536">
        <v>1620</v>
      </c>
      <c r="B1621" s="3481" t="s">
        <v>3590</v>
      </c>
      <c r="C1621" s="3481" t="s">
        <v>3338</v>
      </c>
      <c r="D1621" s="3482">
        <v>96.74</v>
      </c>
      <c r="E1621" s="3519">
        <f t="shared" si="25"/>
        <v>13595.307008476329</v>
      </c>
      <c r="F1621" s="3481">
        <v>1315210</v>
      </c>
      <c r="G1621" s="3482" t="s">
        <v>3591</v>
      </c>
    </row>
    <row r="1622" spans="1:7">
      <c r="A1622" s="3536">
        <v>1621</v>
      </c>
      <c r="B1622" s="3481" t="s">
        <v>7581</v>
      </c>
      <c r="C1622" s="3481" t="s">
        <v>5318</v>
      </c>
      <c r="D1622" s="3482">
        <v>178.14</v>
      </c>
      <c r="E1622" s="3519">
        <f t="shared" si="25"/>
        <v>27500.785898731338</v>
      </c>
      <c r="F1622" s="3481">
        <v>4898990</v>
      </c>
      <c r="G1622" s="3482" t="s">
        <v>3698</v>
      </c>
    </row>
    <row r="1623" spans="1:7">
      <c r="A1623" s="3536">
        <v>1622</v>
      </c>
      <c r="B1623" s="3481" t="s">
        <v>3697</v>
      </c>
      <c r="C1623" s="3481" t="s">
        <v>3338</v>
      </c>
      <c r="D1623" s="3482">
        <v>23.61</v>
      </c>
      <c r="E1623" s="3519">
        <f t="shared" si="25"/>
        <v>4235.4934349851756</v>
      </c>
      <c r="F1623" s="3481">
        <v>100000</v>
      </c>
      <c r="G1623" s="3482" t="s">
        <v>3698</v>
      </c>
    </row>
    <row r="1624" spans="1:7">
      <c r="A1624" s="3536">
        <v>1623</v>
      </c>
      <c r="B1624" s="3481" t="s">
        <v>3845</v>
      </c>
      <c r="C1624" s="3481" t="s">
        <v>3338</v>
      </c>
      <c r="D1624" s="3482">
        <v>28.25</v>
      </c>
      <c r="E1624" s="3519">
        <f t="shared" si="25"/>
        <v>3955.2920353982299</v>
      </c>
      <c r="F1624" s="3481">
        <v>111737</v>
      </c>
      <c r="G1624" s="3482" t="s">
        <v>3844</v>
      </c>
    </row>
    <row r="1625" spans="1:7">
      <c r="A1625" s="3536">
        <v>1624</v>
      </c>
      <c r="B1625" s="3481" t="s">
        <v>3764</v>
      </c>
      <c r="C1625" s="3481" t="s">
        <v>3338</v>
      </c>
      <c r="D1625" s="3482">
        <v>181.32</v>
      </c>
      <c r="E1625" s="3519">
        <f t="shared" si="25"/>
        <v>13680.857048312377</v>
      </c>
      <c r="F1625" s="3481">
        <v>2480613</v>
      </c>
      <c r="G1625" s="3482" t="s">
        <v>3759</v>
      </c>
    </row>
    <row r="1626" spans="1:7">
      <c r="A1626" s="3536">
        <v>1625</v>
      </c>
      <c r="B1626" s="3481" t="s">
        <v>3592</v>
      </c>
      <c r="C1626" s="3481" t="s">
        <v>3338</v>
      </c>
      <c r="D1626" s="3482">
        <v>186.21</v>
      </c>
      <c r="E1626" s="3519">
        <f t="shared" si="25"/>
        <v>12183.8784168412</v>
      </c>
      <c r="F1626" s="3481">
        <v>2268760</v>
      </c>
      <c r="G1626" s="3482" t="s">
        <v>3591</v>
      </c>
    </row>
    <row r="1627" spans="1:7">
      <c r="A1627" s="3536">
        <v>1626</v>
      </c>
      <c r="B1627" s="3481" t="s">
        <v>3699</v>
      </c>
      <c r="C1627" s="3481" t="s">
        <v>3338</v>
      </c>
      <c r="D1627" s="3482">
        <v>28.25</v>
      </c>
      <c r="E1627" s="3519">
        <f t="shared" si="25"/>
        <v>3539.8230088495575</v>
      </c>
      <c r="F1627" s="3481">
        <v>100000</v>
      </c>
      <c r="G1627" s="3482" t="s">
        <v>3698</v>
      </c>
    </row>
    <row r="1628" spans="1:7">
      <c r="A1628" s="3536">
        <v>1627</v>
      </c>
      <c r="B1628" s="3481" t="s">
        <v>7784</v>
      </c>
      <c r="C1628" s="3481" t="s">
        <v>3395</v>
      </c>
      <c r="D1628" s="3482">
        <v>83.46</v>
      </c>
      <c r="E1628" s="3519">
        <f t="shared" si="25"/>
        <v>33894.009106158643</v>
      </c>
      <c r="F1628" s="3481">
        <v>2828794</v>
      </c>
      <c r="G1628" s="3482" t="s">
        <v>7785</v>
      </c>
    </row>
    <row r="1629" spans="1:7">
      <c r="A1629" s="3536">
        <v>1628</v>
      </c>
      <c r="B1629" s="3481" t="s">
        <v>7682</v>
      </c>
      <c r="C1629" s="3481" t="s">
        <v>3395</v>
      </c>
      <c r="D1629" s="3482">
        <v>83.46</v>
      </c>
      <c r="E1629" s="3519">
        <f t="shared" si="25"/>
        <v>34131.24850227654</v>
      </c>
      <c r="F1629" s="3481">
        <v>2848594</v>
      </c>
      <c r="G1629" s="3482" t="s">
        <v>7683</v>
      </c>
    </row>
    <row r="1630" spans="1:7">
      <c r="A1630" s="3536">
        <v>1629</v>
      </c>
      <c r="B1630" s="3481" t="s">
        <v>7511</v>
      </c>
      <c r="C1630" s="3481" t="s">
        <v>3395</v>
      </c>
      <c r="D1630" s="3482">
        <v>83.46</v>
      </c>
      <c r="E1630" s="3519">
        <f t="shared" si="25"/>
        <v>34175.365444524323</v>
      </c>
      <c r="F1630" s="3481">
        <v>2852276</v>
      </c>
      <c r="G1630" s="3482" t="s">
        <v>7510</v>
      </c>
    </row>
    <row r="1631" spans="1:7">
      <c r="A1631" s="3536">
        <v>1630</v>
      </c>
      <c r="B1631" s="3481" t="s">
        <v>7563</v>
      </c>
      <c r="C1631" s="3481" t="s">
        <v>3395</v>
      </c>
      <c r="D1631" s="3482">
        <v>83.46</v>
      </c>
      <c r="E1631" s="3519">
        <f t="shared" si="25"/>
        <v>34033.333333333336</v>
      </c>
      <c r="F1631" s="3481">
        <v>2840422</v>
      </c>
      <c r="G1631" s="3482" t="s">
        <v>3676</v>
      </c>
    </row>
    <row r="1632" spans="1:7">
      <c r="A1632" s="3536">
        <v>1631</v>
      </c>
      <c r="B1632" s="3481" t="s">
        <v>6848</v>
      </c>
      <c r="C1632" s="3481" t="s">
        <v>3395</v>
      </c>
      <c r="D1632" s="3482">
        <v>83.46</v>
      </c>
      <c r="E1632" s="3519">
        <f t="shared" si="25"/>
        <v>27797.747423915651</v>
      </c>
      <c r="F1632" s="3481">
        <v>2320000</v>
      </c>
      <c r="G1632" s="3482" t="s">
        <v>6845</v>
      </c>
    </row>
    <row r="1633" spans="1:7">
      <c r="A1633" s="3536">
        <v>1632</v>
      </c>
      <c r="B1633" s="3481" t="s">
        <v>6819</v>
      </c>
      <c r="C1633" s="3481" t="s">
        <v>3395</v>
      </c>
      <c r="D1633" s="3482">
        <v>83.46</v>
      </c>
      <c r="E1633" s="3519">
        <f t="shared" si="25"/>
        <v>27797.747423915651</v>
      </c>
      <c r="F1633" s="3481">
        <v>2320000</v>
      </c>
      <c r="G1633" s="3482" t="s">
        <v>3419</v>
      </c>
    </row>
    <row r="1634" spans="1:7">
      <c r="A1634" s="3536">
        <v>1633</v>
      </c>
      <c r="B1634" s="3481" t="s">
        <v>7680</v>
      </c>
      <c r="C1634" s="3481" t="s">
        <v>3395</v>
      </c>
      <c r="D1634" s="3482">
        <v>73.69</v>
      </c>
      <c r="E1634" s="3519">
        <f t="shared" si="25"/>
        <v>37047.089157280498</v>
      </c>
      <c r="F1634" s="3481">
        <v>2730000</v>
      </c>
      <c r="G1634" s="3482" t="s">
        <v>3796</v>
      </c>
    </row>
    <row r="1635" spans="1:7">
      <c r="A1635" s="3536">
        <v>1634</v>
      </c>
      <c r="B1635" s="3481" t="s">
        <v>7695</v>
      </c>
      <c r="C1635" s="3481" t="s">
        <v>3395</v>
      </c>
      <c r="D1635" s="3482">
        <v>73.69</v>
      </c>
      <c r="E1635" s="3519">
        <f t="shared" si="25"/>
        <v>36342.000271407247</v>
      </c>
      <c r="F1635" s="3481">
        <v>2678042</v>
      </c>
      <c r="G1635" s="3482" t="s">
        <v>3805</v>
      </c>
    </row>
    <row r="1636" spans="1:7">
      <c r="A1636" s="3536">
        <v>1635</v>
      </c>
      <c r="B1636" s="3481" t="s">
        <v>7774</v>
      </c>
      <c r="C1636" s="3481" t="s">
        <v>5318</v>
      </c>
      <c r="D1636" s="3482">
        <v>188.93</v>
      </c>
      <c r="E1636" s="3519">
        <f t="shared" si="25"/>
        <v>27927.560472132536</v>
      </c>
      <c r="F1636" s="3481">
        <v>5276354</v>
      </c>
      <c r="G1636" s="3482" t="s">
        <v>3893</v>
      </c>
    </row>
    <row r="1637" spans="1:7">
      <c r="A1637" s="3536">
        <v>1636</v>
      </c>
      <c r="B1637" s="3481" t="s">
        <v>3892</v>
      </c>
      <c r="C1637" s="3481" t="s">
        <v>3338</v>
      </c>
      <c r="D1637" s="3482">
        <v>12.48</v>
      </c>
      <c r="E1637" s="3519">
        <f t="shared" si="25"/>
        <v>3440.7852564102564</v>
      </c>
      <c r="F1637" s="3481">
        <v>42941</v>
      </c>
      <c r="G1637" s="3482" t="s">
        <v>3893</v>
      </c>
    </row>
    <row r="1638" spans="1:7">
      <c r="A1638" s="3536">
        <v>1637</v>
      </c>
      <c r="B1638" s="3481" t="s">
        <v>7643</v>
      </c>
      <c r="C1638" s="3481" t="s">
        <v>5318</v>
      </c>
      <c r="D1638" s="3482">
        <v>189.33</v>
      </c>
      <c r="E1638" s="3519">
        <f t="shared" si="25"/>
        <v>26799.24470501241</v>
      </c>
      <c r="F1638" s="3481">
        <v>5073901</v>
      </c>
      <c r="G1638" s="3482" t="s">
        <v>3759</v>
      </c>
    </row>
    <row r="1639" spans="1:7">
      <c r="A1639" s="3536">
        <v>1638</v>
      </c>
      <c r="B1639" s="3481" t="s">
        <v>3765</v>
      </c>
      <c r="C1639" s="3481" t="s">
        <v>3338</v>
      </c>
      <c r="D1639" s="3482">
        <v>12.48</v>
      </c>
      <c r="E1639" s="3519">
        <f t="shared" si="25"/>
        <v>8826.4423076923067</v>
      </c>
      <c r="F1639" s="3481">
        <v>110154</v>
      </c>
      <c r="G1639" s="3482" t="s">
        <v>3759</v>
      </c>
    </row>
    <row r="1640" spans="1:7">
      <c r="A1640" s="3536">
        <v>1639</v>
      </c>
      <c r="B1640" s="3481" t="s">
        <v>3894</v>
      </c>
      <c r="C1640" s="3481" t="s">
        <v>3338</v>
      </c>
      <c r="D1640" s="3482">
        <v>52.93</v>
      </c>
      <c r="E1640" s="3519">
        <f t="shared" si="25"/>
        <v>3195.0689590024563</v>
      </c>
      <c r="F1640" s="3481">
        <v>169115</v>
      </c>
      <c r="G1640" s="3482" t="s">
        <v>3893</v>
      </c>
    </row>
    <row r="1641" spans="1:7">
      <c r="A1641" s="3536">
        <v>1640</v>
      </c>
      <c r="B1641" s="3481" t="s">
        <v>3766</v>
      </c>
      <c r="C1641" s="3481" t="s">
        <v>3338</v>
      </c>
      <c r="D1641" s="3482">
        <v>54.56</v>
      </c>
      <c r="E1641" s="3519">
        <f t="shared" si="25"/>
        <v>2018.9516129032256</v>
      </c>
      <c r="F1641" s="3481">
        <v>110154</v>
      </c>
      <c r="G1641" s="3482" t="s">
        <v>3759</v>
      </c>
    </row>
    <row r="1642" spans="1:7">
      <c r="A1642" s="3536">
        <v>1641</v>
      </c>
      <c r="B1642" s="3481" t="s">
        <v>7684</v>
      </c>
      <c r="C1642" s="3481" t="s">
        <v>3395</v>
      </c>
      <c r="D1642" s="3482">
        <v>83.46</v>
      </c>
      <c r="E1642" s="3519">
        <f t="shared" si="25"/>
        <v>34131.24850227654</v>
      </c>
      <c r="F1642" s="3481">
        <v>2848594</v>
      </c>
      <c r="G1642" s="3482" t="s">
        <v>7683</v>
      </c>
    </row>
    <row r="1643" spans="1:7">
      <c r="A1643" s="3536">
        <v>1642</v>
      </c>
      <c r="B1643" s="3481" t="s">
        <v>7716</v>
      </c>
      <c r="C1643" s="3481" t="s">
        <v>3395</v>
      </c>
      <c r="D1643" s="3482">
        <v>83.46</v>
      </c>
      <c r="E1643" s="3519">
        <f t="shared" si="25"/>
        <v>33894.009106158643</v>
      </c>
      <c r="F1643" s="3481">
        <v>2828794</v>
      </c>
      <c r="G1643" s="3482" t="s">
        <v>3830</v>
      </c>
    </row>
    <row r="1644" spans="1:7">
      <c r="A1644" s="3536">
        <v>1643</v>
      </c>
      <c r="B1644" s="3481" t="s">
        <v>7519</v>
      </c>
      <c r="C1644" s="3481" t="s">
        <v>3395</v>
      </c>
      <c r="D1644" s="3482">
        <v>83.46</v>
      </c>
      <c r="E1644" s="3519">
        <f t="shared" si="25"/>
        <v>34033.333333333336</v>
      </c>
      <c r="F1644" s="3481">
        <v>2840422</v>
      </c>
      <c r="G1644" s="3482" t="s">
        <v>7520</v>
      </c>
    </row>
    <row r="1645" spans="1:7">
      <c r="A1645" s="3536">
        <v>1644</v>
      </c>
      <c r="B1645" s="3481" t="s">
        <v>7506</v>
      </c>
      <c r="C1645" s="3481" t="s">
        <v>3395</v>
      </c>
      <c r="D1645" s="3482">
        <v>83.46</v>
      </c>
      <c r="E1645" s="3519">
        <f t="shared" si="25"/>
        <v>32951.641504912535</v>
      </c>
      <c r="F1645" s="3481">
        <v>2750144</v>
      </c>
      <c r="G1645" s="3482" t="s">
        <v>3612</v>
      </c>
    </row>
    <row r="1646" spans="1:7">
      <c r="A1646" s="3536">
        <v>1645</v>
      </c>
      <c r="B1646" s="3481" t="s">
        <v>7767</v>
      </c>
      <c r="C1646" s="3481" t="s">
        <v>3395</v>
      </c>
      <c r="D1646" s="3482">
        <v>83.46</v>
      </c>
      <c r="E1646" s="3519">
        <f t="shared" si="25"/>
        <v>34131.24850227654</v>
      </c>
      <c r="F1646" s="3481">
        <v>2848594</v>
      </c>
      <c r="G1646" s="3482" t="s">
        <v>7768</v>
      </c>
    </row>
    <row r="1647" spans="1:7">
      <c r="A1647" s="3536">
        <v>1646</v>
      </c>
      <c r="B1647" s="3481" t="s">
        <v>6820</v>
      </c>
      <c r="C1647" s="3481" t="s">
        <v>3395</v>
      </c>
      <c r="D1647" s="3482">
        <v>83.46</v>
      </c>
      <c r="E1647" s="3519">
        <f t="shared" si="25"/>
        <v>27797.747423915651</v>
      </c>
      <c r="F1647" s="3481">
        <v>2320000</v>
      </c>
      <c r="G1647" s="3482" t="s">
        <v>3419</v>
      </c>
    </row>
    <row r="1648" spans="1:7">
      <c r="A1648" s="3536">
        <v>1647</v>
      </c>
      <c r="B1648" s="3481" t="s">
        <v>7786</v>
      </c>
      <c r="C1648" s="3481" t="s">
        <v>3395</v>
      </c>
      <c r="D1648" s="3482">
        <v>73.69</v>
      </c>
      <c r="E1648" s="3519">
        <f t="shared" si="25"/>
        <v>36437.684896186729</v>
      </c>
      <c r="F1648" s="3481">
        <v>2685093</v>
      </c>
      <c r="G1648" s="3482" t="s">
        <v>7787</v>
      </c>
    </row>
    <row r="1649" spans="1:7">
      <c r="A1649" s="3536">
        <v>1648</v>
      </c>
      <c r="B1649" s="3481" t="s">
        <v>7751</v>
      </c>
      <c r="C1649" s="3481" t="s">
        <v>3395</v>
      </c>
      <c r="D1649" s="3482">
        <v>73.69</v>
      </c>
      <c r="E1649" s="3519">
        <f t="shared" si="25"/>
        <v>36709.092142760215</v>
      </c>
      <c r="F1649" s="3481">
        <v>2705093</v>
      </c>
      <c r="G1649" s="3482" t="s">
        <v>3874</v>
      </c>
    </row>
    <row r="1650" spans="1:7">
      <c r="A1650" s="3536">
        <v>1649</v>
      </c>
      <c r="B1650" s="3481" t="s">
        <v>7771</v>
      </c>
      <c r="C1650" s="3481" t="s">
        <v>5318</v>
      </c>
      <c r="D1650" s="3482">
        <v>189.33</v>
      </c>
      <c r="E1650" s="3519">
        <f t="shared" si="25"/>
        <v>27590.920614799554</v>
      </c>
      <c r="F1650" s="3481">
        <v>5223789</v>
      </c>
      <c r="G1650" s="3482" t="s">
        <v>3888</v>
      </c>
    </row>
    <row r="1651" spans="1:7">
      <c r="A1651" s="3536">
        <v>1650</v>
      </c>
      <c r="B1651" s="3481" t="s">
        <v>3890</v>
      </c>
      <c r="C1651" s="3481" t="s">
        <v>3338</v>
      </c>
      <c r="D1651" s="3482">
        <v>12.48</v>
      </c>
      <c r="E1651" s="3519">
        <f t="shared" si="25"/>
        <v>3322.5961538461538</v>
      </c>
      <c r="F1651" s="3481">
        <v>41466</v>
      </c>
      <c r="G1651" s="3482" t="s">
        <v>3888</v>
      </c>
    </row>
    <row r="1652" spans="1:7">
      <c r="A1652" s="3536">
        <v>1651</v>
      </c>
      <c r="B1652" s="3481" t="s">
        <v>7589</v>
      </c>
      <c r="C1652" s="3481" t="s">
        <v>5318</v>
      </c>
      <c r="D1652" s="3482">
        <v>188.93</v>
      </c>
      <c r="E1652" s="3519">
        <f t="shared" si="25"/>
        <v>25901.349706240406</v>
      </c>
      <c r="F1652" s="3481">
        <v>4893542</v>
      </c>
      <c r="G1652" s="3482" t="s">
        <v>3709</v>
      </c>
    </row>
    <row r="1653" spans="1:7">
      <c r="A1653" s="3536">
        <v>1652</v>
      </c>
      <c r="B1653" s="3481" t="s">
        <v>3711</v>
      </c>
      <c r="C1653" s="3481" t="s">
        <v>3338</v>
      </c>
      <c r="D1653" s="3482">
        <v>12.48</v>
      </c>
      <c r="E1653" s="3519">
        <f t="shared" si="25"/>
        <v>8826.4423076923067</v>
      </c>
      <c r="F1653" s="3481">
        <v>110154</v>
      </c>
      <c r="G1653" s="3482" t="s">
        <v>3709</v>
      </c>
    </row>
    <row r="1654" spans="1:7">
      <c r="A1654" s="3536">
        <v>1653</v>
      </c>
      <c r="B1654" s="3481" t="s">
        <v>3891</v>
      </c>
      <c r="C1654" s="3481" t="s">
        <v>3338</v>
      </c>
      <c r="D1654" s="3482">
        <v>54.56</v>
      </c>
      <c r="E1654" s="3519">
        <f t="shared" si="25"/>
        <v>3049.2851906158357</v>
      </c>
      <c r="F1654" s="3481">
        <v>166369</v>
      </c>
      <c r="G1654" s="3482" t="s">
        <v>3888</v>
      </c>
    </row>
    <row r="1655" spans="1:7">
      <c r="A1655" s="3536">
        <v>1654</v>
      </c>
      <c r="B1655" s="3481" t="s">
        <v>3712</v>
      </c>
      <c r="C1655" s="3481" t="s">
        <v>3338</v>
      </c>
      <c r="D1655" s="3482">
        <v>52.93</v>
      </c>
      <c r="E1655" s="3519">
        <f t="shared" si="25"/>
        <v>2081.1260154921592</v>
      </c>
      <c r="F1655" s="3481">
        <v>110154</v>
      </c>
      <c r="G1655" s="3482" t="s">
        <v>3709</v>
      </c>
    </row>
    <row r="1656" spans="1:7">
      <c r="A1656" s="3536">
        <v>1655</v>
      </c>
      <c r="B1656" s="3481" t="s">
        <v>7508</v>
      </c>
      <c r="C1656" s="3481" t="s">
        <v>3395</v>
      </c>
      <c r="D1656" s="3482">
        <v>83.46</v>
      </c>
      <c r="E1656" s="3519">
        <f t="shared" si="25"/>
        <v>34043.817397555715</v>
      </c>
      <c r="F1656" s="3481">
        <v>2841297</v>
      </c>
      <c r="G1656" s="3482" t="s">
        <v>3615</v>
      </c>
    </row>
    <row r="1657" spans="1:7">
      <c r="A1657" s="3536">
        <v>1656</v>
      </c>
      <c r="B1657" s="3481" t="s">
        <v>7497</v>
      </c>
      <c r="C1657" s="3481" t="s">
        <v>3395</v>
      </c>
      <c r="D1657" s="3482">
        <v>83.46</v>
      </c>
      <c r="E1657" s="3519">
        <f t="shared" si="25"/>
        <v>34033.333333333336</v>
      </c>
      <c r="F1657" s="3481">
        <v>2840422</v>
      </c>
      <c r="G1657" s="3482" t="s">
        <v>7498</v>
      </c>
    </row>
    <row r="1658" spans="1:7">
      <c r="A1658" s="3536">
        <v>1657</v>
      </c>
      <c r="B1658" s="3481" t="s">
        <v>7542</v>
      </c>
      <c r="C1658" s="3481" t="s">
        <v>3395</v>
      </c>
      <c r="D1658" s="3482">
        <v>83.46</v>
      </c>
      <c r="E1658" s="3519">
        <f t="shared" si="25"/>
        <v>34387.694704049849</v>
      </c>
      <c r="F1658" s="3481">
        <v>2869997</v>
      </c>
      <c r="G1658" s="3482" t="s">
        <v>3662</v>
      </c>
    </row>
    <row r="1659" spans="1:7">
      <c r="A1659" s="3536">
        <v>1658</v>
      </c>
      <c r="B1659" s="3481" t="s">
        <v>7543</v>
      </c>
      <c r="C1659" s="3481" t="s">
        <v>3395</v>
      </c>
      <c r="D1659" s="3482">
        <v>83.46</v>
      </c>
      <c r="E1659" s="3519">
        <f t="shared" si="25"/>
        <v>34387.694704049849</v>
      </c>
      <c r="F1659" s="3481">
        <v>2869997</v>
      </c>
      <c r="G1659" s="3482" t="s">
        <v>3662</v>
      </c>
    </row>
    <row r="1660" spans="1:7">
      <c r="A1660" s="3536">
        <v>1659</v>
      </c>
      <c r="B1660" s="3481" t="s">
        <v>6879</v>
      </c>
      <c r="C1660" s="3481" t="s">
        <v>3395</v>
      </c>
      <c r="D1660" s="3482">
        <v>83.42</v>
      </c>
      <c r="E1660" s="3519">
        <f t="shared" si="25"/>
        <v>27811.07648046032</v>
      </c>
      <c r="F1660" s="3481">
        <v>2320000</v>
      </c>
      <c r="G1660" s="3482" t="s">
        <v>6880</v>
      </c>
    </row>
    <row r="1661" spans="1:7">
      <c r="A1661" s="3536">
        <v>1660</v>
      </c>
      <c r="B1661" s="3481" t="s">
        <v>6821</v>
      </c>
      <c r="C1661" s="3481" t="s">
        <v>3395</v>
      </c>
      <c r="D1661" s="3482">
        <v>83.46</v>
      </c>
      <c r="E1661" s="3519">
        <f t="shared" si="25"/>
        <v>27797.747423915651</v>
      </c>
      <c r="F1661" s="3481">
        <v>2320000</v>
      </c>
      <c r="G1661" s="3482" t="s">
        <v>3419</v>
      </c>
    </row>
    <row r="1662" spans="1:7">
      <c r="A1662" s="3536">
        <v>1661</v>
      </c>
      <c r="B1662" s="3481" t="s">
        <v>7745</v>
      </c>
      <c r="C1662" s="3481" t="s">
        <v>3395</v>
      </c>
      <c r="D1662" s="3482">
        <v>73.69</v>
      </c>
      <c r="E1662" s="3519">
        <f t="shared" si="25"/>
        <v>36073.307097299497</v>
      </c>
      <c r="F1662" s="3481">
        <v>2658242</v>
      </c>
      <c r="G1662" s="3482" t="s">
        <v>3866</v>
      </c>
    </row>
    <row r="1663" spans="1:7">
      <c r="A1663" s="3536">
        <v>1662</v>
      </c>
      <c r="B1663" s="3481" t="s">
        <v>7467</v>
      </c>
      <c r="C1663" s="3481" t="s">
        <v>3395</v>
      </c>
      <c r="D1663" s="3482">
        <v>73.69</v>
      </c>
      <c r="E1663" s="3519">
        <f t="shared" si="25"/>
        <v>36709.092142760215</v>
      </c>
      <c r="F1663" s="3481">
        <v>2705093</v>
      </c>
      <c r="G1663" s="3482" t="s">
        <v>7468</v>
      </c>
    </row>
    <row r="1664" spans="1:7">
      <c r="A1664" s="3536">
        <v>1663</v>
      </c>
      <c r="B1664" s="3481" t="s">
        <v>7644</v>
      </c>
      <c r="C1664" s="3481" t="s">
        <v>5318</v>
      </c>
      <c r="D1664" s="3482">
        <v>178.14</v>
      </c>
      <c r="E1664" s="3519">
        <f t="shared" si="25"/>
        <v>28600.819580105537</v>
      </c>
      <c r="F1664" s="3481">
        <v>5094950</v>
      </c>
      <c r="G1664" s="3482" t="s">
        <v>3759</v>
      </c>
    </row>
    <row r="1665" spans="1:7">
      <c r="A1665" s="3536">
        <v>1664</v>
      </c>
      <c r="B1665" s="3481" t="s">
        <v>3767</v>
      </c>
      <c r="C1665" s="3481" t="s">
        <v>3338</v>
      </c>
      <c r="D1665" s="3482">
        <v>23.61</v>
      </c>
      <c r="E1665" s="3519">
        <f t="shared" si="25"/>
        <v>4665.5654383735709</v>
      </c>
      <c r="F1665" s="3481">
        <v>110154</v>
      </c>
      <c r="G1665" s="3482" t="s">
        <v>3759</v>
      </c>
    </row>
    <row r="1666" spans="1:7">
      <c r="A1666" s="3536">
        <v>1665</v>
      </c>
      <c r="B1666" s="3481" t="s">
        <v>7532</v>
      </c>
      <c r="C1666" s="3481" t="s">
        <v>5305</v>
      </c>
      <c r="D1666" s="3482">
        <v>72.989999999999995</v>
      </c>
      <c r="E1666" s="3519">
        <f t="shared" si="25"/>
        <v>38970.749417728461</v>
      </c>
      <c r="F1666" s="3481">
        <v>2844475</v>
      </c>
      <c r="G1666" s="3482" t="s">
        <v>3645</v>
      </c>
    </row>
    <row r="1667" spans="1:7">
      <c r="A1667" s="3536">
        <v>1666</v>
      </c>
      <c r="B1667" s="3481" t="s">
        <v>3649</v>
      </c>
      <c r="C1667" s="3481" t="s">
        <v>3338</v>
      </c>
      <c r="D1667" s="3482">
        <v>96.74</v>
      </c>
      <c r="E1667" s="3519">
        <f t="shared" ref="E1667:E1730" si="26">F1667/D1667</f>
        <v>13301.271449245402</v>
      </c>
      <c r="F1667" s="3481">
        <v>1286765</v>
      </c>
      <c r="G1667" s="3482" t="s">
        <v>3645</v>
      </c>
    </row>
    <row r="1668" spans="1:7">
      <c r="A1668" s="3536">
        <v>1667</v>
      </c>
      <c r="B1668" s="3481" t="s">
        <v>7606</v>
      </c>
      <c r="C1668" s="3481" t="s">
        <v>5318</v>
      </c>
      <c r="D1668" s="3482">
        <v>178.14</v>
      </c>
      <c r="E1668" s="3519">
        <f t="shared" si="26"/>
        <v>27470.203210957676</v>
      </c>
      <c r="F1668" s="3481">
        <v>4893542</v>
      </c>
      <c r="G1668" s="3482" t="s">
        <v>3732</v>
      </c>
    </row>
    <row r="1669" spans="1:7">
      <c r="A1669" s="3536">
        <v>1668</v>
      </c>
      <c r="B1669" s="3481" t="s">
        <v>3734</v>
      </c>
      <c r="C1669" s="3481" t="s">
        <v>3338</v>
      </c>
      <c r="D1669" s="3482">
        <v>23.61</v>
      </c>
      <c r="E1669" s="3519">
        <f t="shared" si="26"/>
        <v>4665.5654383735709</v>
      </c>
      <c r="F1669" s="3481">
        <v>110154</v>
      </c>
      <c r="G1669" s="3482" t="s">
        <v>3732</v>
      </c>
    </row>
    <row r="1670" spans="1:7">
      <c r="A1670" s="3536">
        <v>1669</v>
      </c>
      <c r="B1670" s="3481" t="s">
        <v>3768</v>
      </c>
      <c r="C1670" s="3481" t="s">
        <v>3338</v>
      </c>
      <c r="D1670" s="3482">
        <v>28.25</v>
      </c>
      <c r="E1670" s="3519">
        <f t="shared" si="26"/>
        <v>3899.2566371681414</v>
      </c>
      <c r="F1670" s="3481">
        <v>110154</v>
      </c>
      <c r="G1670" s="3482" t="s">
        <v>3759</v>
      </c>
    </row>
    <row r="1671" spans="1:7">
      <c r="A1671" s="3536">
        <v>1670</v>
      </c>
      <c r="B1671" s="3481" t="s">
        <v>3650</v>
      </c>
      <c r="C1671" s="3481" t="s">
        <v>3338</v>
      </c>
      <c r="D1671" s="3482">
        <v>186.21</v>
      </c>
      <c r="E1671" s="3519">
        <f t="shared" si="26"/>
        <v>12183.8784168412</v>
      </c>
      <c r="F1671" s="3481">
        <v>2268760</v>
      </c>
      <c r="G1671" s="3482" t="s">
        <v>3645</v>
      </c>
    </row>
    <row r="1672" spans="1:7">
      <c r="A1672" s="3536">
        <v>1671</v>
      </c>
      <c r="B1672" s="3481" t="s">
        <v>3735</v>
      </c>
      <c r="C1672" s="3481" t="s">
        <v>3338</v>
      </c>
      <c r="D1672" s="3482">
        <v>28.25</v>
      </c>
      <c r="E1672" s="3519">
        <f t="shared" si="26"/>
        <v>3899.2566371681414</v>
      </c>
      <c r="F1672" s="3481">
        <v>110154</v>
      </c>
      <c r="G1672" s="3482" t="s">
        <v>3732</v>
      </c>
    </row>
    <row r="1673" spans="1:7">
      <c r="A1673" s="3536">
        <v>1672</v>
      </c>
      <c r="B1673" s="3481" t="s">
        <v>7635</v>
      </c>
      <c r="C1673" s="3481" t="s">
        <v>3395</v>
      </c>
      <c r="D1673" s="3482">
        <v>83.46</v>
      </c>
      <c r="E1673" s="3519">
        <f t="shared" si="26"/>
        <v>34033.333333333336</v>
      </c>
      <c r="F1673" s="3481">
        <v>2840422</v>
      </c>
      <c r="G1673" s="3482" t="s">
        <v>7636</v>
      </c>
    </row>
    <row r="1674" spans="1:7">
      <c r="A1674" s="3536">
        <v>1673</v>
      </c>
      <c r="B1674" s="3481" t="s">
        <v>7646</v>
      </c>
      <c r="C1674" s="3481" t="s">
        <v>3395</v>
      </c>
      <c r="D1674" s="3482">
        <v>83.46</v>
      </c>
      <c r="E1674" s="3519">
        <f t="shared" si="26"/>
        <v>33693.002635993296</v>
      </c>
      <c r="F1674" s="3481">
        <v>2812018</v>
      </c>
      <c r="G1674" s="3482" t="s">
        <v>3759</v>
      </c>
    </row>
    <row r="1675" spans="1:7">
      <c r="A1675" s="3536">
        <v>1674</v>
      </c>
      <c r="B1675" s="3481" t="s">
        <v>7533</v>
      </c>
      <c r="C1675" s="3481" t="s">
        <v>3395</v>
      </c>
      <c r="D1675" s="3482">
        <v>83.46</v>
      </c>
      <c r="E1675" s="3519">
        <f t="shared" si="26"/>
        <v>34387.694704049849</v>
      </c>
      <c r="F1675" s="3481">
        <v>2869997</v>
      </c>
      <c r="G1675" s="3482" t="s">
        <v>3645</v>
      </c>
    </row>
    <row r="1676" spans="1:7">
      <c r="A1676" s="3536">
        <v>1675</v>
      </c>
      <c r="B1676" s="3481" t="s">
        <v>7670</v>
      </c>
      <c r="C1676" s="3481" t="s">
        <v>3395</v>
      </c>
      <c r="D1676" s="3482">
        <v>83.46</v>
      </c>
      <c r="E1676" s="3519">
        <f t="shared" si="26"/>
        <v>33672.501797268153</v>
      </c>
      <c r="F1676" s="3481">
        <v>2810307</v>
      </c>
      <c r="G1676" s="3482" t="s">
        <v>3788</v>
      </c>
    </row>
    <row r="1677" spans="1:7">
      <c r="A1677" s="3536">
        <v>1676</v>
      </c>
      <c r="B1677" s="3481" t="s">
        <v>7657</v>
      </c>
      <c r="C1677" s="3481" t="s">
        <v>3395</v>
      </c>
      <c r="D1677" s="3482">
        <v>83.46</v>
      </c>
      <c r="E1677" s="3519">
        <f t="shared" si="26"/>
        <v>33693.002635993296</v>
      </c>
      <c r="F1677" s="3481">
        <v>2812018</v>
      </c>
      <c r="G1677" s="3482" t="s">
        <v>3777</v>
      </c>
    </row>
    <row r="1678" spans="1:7">
      <c r="A1678" s="3536">
        <v>1677</v>
      </c>
      <c r="B1678" s="3481" t="s">
        <v>7541</v>
      </c>
      <c r="C1678" s="3481" t="s">
        <v>3395</v>
      </c>
      <c r="D1678" s="3482">
        <v>83.46</v>
      </c>
      <c r="E1678" s="3519">
        <f t="shared" si="26"/>
        <v>33821.998562185479</v>
      </c>
      <c r="F1678" s="3481">
        <v>2822784</v>
      </c>
      <c r="G1678" s="3482" t="s">
        <v>3657</v>
      </c>
    </row>
    <row r="1679" spans="1:7">
      <c r="A1679" s="3536">
        <v>1678</v>
      </c>
      <c r="B1679" s="3481" t="s">
        <v>7788</v>
      </c>
      <c r="C1679" s="3481" t="s">
        <v>3395</v>
      </c>
      <c r="D1679" s="3482">
        <v>73.69</v>
      </c>
      <c r="E1679" s="3519">
        <f t="shared" si="26"/>
        <v>36709.092142760215</v>
      </c>
      <c r="F1679" s="3481">
        <v>2705093</v>
      </c>
      <c r="G1679" s="3482" t="s">
        <v>7789</v>
      </c>
    </row>
    <row r="1680" spans="1:7">
      <c r="A1680" s="3536">
        <v>1679</v>
      </c>
      <c r="B1680" s="3481" t="s">
        <v>7748</v>
      </c>
      <c r="C1680" s="3481" t="s">
        <v>3395</v>
      </c>
      <c r="D1680" s="3482">
        <v>73.69</v>
      </c>
      <c r="E1680" s="3519">
        <f t="shared" si="26"/>
        <v>36437.684896186729</v>
      </c>
      <c r="F1680" s="3481">
        <v>2685093</v>
      </c>
      <c r="G1680" s="3482" t="s">
        <v>7749</v>
      </c>
    </row>
    <row r="1681" spans="1:7">
      <c r="A1681" s="3536">
        <v>1680</v>
      </c>
      <c r="B1681" s="3481" t="s">
        <v>7615</v>
      </c>
      <c r="C1681" s="3481" t="s">
        <v>5318</v>
      </c>
      <c r="D1681" s="3482">
        <v>188.93</v>
      </c>
      <c r="E1681" s="3519">
        <f t="shared" si="26"/>
        <v>25901.349706240406</v>
      </c>
      <c r="F1681" s="3481">
        <v>4893542</v>
      </c>
      <c r="G1681" s="3482" t="s">
        <v>3745</v>
      </c>
    </row>
    <row r="1682" spans="1:7">
      <c r="A1682" s="3536">
        <v>1681</v>
      </c>
      <c r="B1682" s="3481" t="s">
        <v>3744</v>
      </c>
      <c r="C1682" s="3481" t="s">
        <v>3338</v>
      </c>
      <c r="D1682" s="3482">
        <v>12.48</v>
      </c>
      <c r="E1682" s="3519">
        <f t="shared" si="26"/>
        <v>8826.4423076923067</v>
      </c>
      <c r="F1682" s="3481">
        <v>110154</v>
      </c>
      <c r="G1682" s="3482" t="s">
        <v>3745</v>
      </c>
    </row>
    <row r="1683" spans="1:7">
      <c r="A1683" s="3536">
        <v>1682</v>
      </c>
      <c r="B1683" s="3481" t="s">
        <v>7572</v>
      </c>
      <c r="C1683" s="3481" t="s">
        <v>5305</v>
      </c>
      <c r="D1683" s="3482">
        <v>72.989999999999995</v>
      </c>
      <c r="E1683" s="3519">
        <f t="shared" si="26"/>
        <v>38970.749417728461</v>
      </c>
      <c r="F1683" s="3481">
        <v>2844475</v>
      </c>
      <c r="G1683" s="3482" t="s">
        <v>3679</v>
      </c>
    </row>
    <row r="1684" spans="1:7">
      <c r="A1684" s="3536">
        <v>1683</v>
      </c>
      <c r="B1684" s="3481" t="s">
        <v>3683</v>
      </c>
      <c r="C1684" s="3481" t="s">
        <v>3338</v>
      </c>
      <c r="D1684" s="3482">
        <v>96.74</v>
      </c>
      <c r="E1684" s="3519">
        <f t="shared" si="26"/>
        <v>14231.600165391772</v>
      </c>
      <c r="F1684" s="3481">
        <v>1376765</v>
      </c>
      <c r="G1684" s="3482" t="s">
        <v>3679</v>
      </c>
    </row>
    <row r="1685" spans="1:7">
      <c r="A1685" s="3536">
        <v>1684</v>
      </c>
      <c r="B1685" s="3481" t="s">
        <v>7512</v>
      </c>
      <c r="C1685" s="3481" t="s">
        <v>5305</v>
      </c>
      <c r="D1685" s="3482">
        <v>73.37</v>
      </c>
      <c r="E1685" s="3519">
        <f t="shared" si="26"/>
        <v>38381.218481668257</v>
      </c>
      <c r="F1685" s="3481">
        <v>2816030</v>
      </c>
      <c r="G1685" s="3482" t="s">
        <v>3618</v>
      </c>
    </row>
    <row r="1686" spans="1:7">
      <c r="A1686" s="3536">
        <v>1685</v>
      </c>
      <c r="B1686" s="3481" t="s">
        <v>3617</v>
      </c>
      <c r="C1686" s="3481" t="s">
        <v>3338</v>
      </c>
      <c r="D1686" s="3482">
        <v>98.14</v>
      </c>
      <c r="E1686" s="3519">
        <f t="shared" si="26"/>
        <v>11904.503770124313</v>
      </c>
      <c r="F1686" s="3481">
        <v>1168308</v>
      </c>
      <c r="G1686" s="3482" t="s">
        <v>3618</v>
      </c>
    </row>
    <row r="1687" spans="1:7">
      <c r="A1687" s="3536">
        <v>1686</v>
      </c>
      <c r="B1687" s="3481" t="s">
        <v>7710</v>
      </c>
      <c r="C1687" s="3481" t="s">
        <v>5318</v>
      </c>
      <c r="D1687" s="3482">
        <v>189.84</v>
      </c>
      <c r="E1687" s="3519">
        <f t="shared" si="26"/>
        <v>27295.849136114623</v>
      </c>
      <c r="F1687" s="3481">
        <v>5181844</v>
      </c>
      <c r="G1687" s="3482" t="s">
        <v>3824</v>
      </c>
    </row>
    <row r="1688" spans="1:7">
      <c r="A1688" s="3536">
        <v>1687</v>
      </c>
      <c r="B1688" s="3481" t="s">
        <v>3826</v>
      </c>
      <c r="C1688" s="3481" t="s">
        <v>3338</v>
      </c>
      <c r="D1688" s="3482">
        <v>12.48</v>
      </c>
      <c r="E1688" s="3519">
        <f t="shared" si="26"/>
        <v>3313.7820512820513</v>
      </c>
      <c r="F1688" s="3481">
        <v>41356</v>
      </c>
      <c r="G1688" s="3482" t="s">
        <v>3824</v>
      </c>
    </row>
    <row r="1689" spans="1:7">
      <c r="A1689" s="3536">
        <v>1688</v>
      </c>
      <c r="B1689" s="3481" t="s">
        <v>3746</v>
      </c>
      <c r="C1689" s="3481" t="s">
        <v>3338</v>
      </c>
      <c r="D1689" s="3482">
        <v>52.93</v>
      </c>
      <c r="E1689" s="3519">
        <f t="shared" si="26"/>
        <v>2081.1260154921592</v>
      </c>
      <c r="F1689" s="3481">
        <v>110154</v>
      </c>
      <c r="G1689" s="3482" t="s">
        <v>3745</v>
      </c>
    </row>
    <row r="1690" spans="1:7">
      <c r="A1690" s="3536">
        <v>1689</v>
      </c>
      <c r="B1690" s="3481" t="s">
        <v>3684</v>
      </c>
      <c r="C1690" s="3481" t="s">
        <v>3338</v>
      </c>
      <c r="D1690" s="3482">
        <v>186.21</v>
      </c>
      <c r="E1690" s="3519">
        <f t="shared" si="26"/>
        <v>12183.8784168412</v>
      </c>
      <c r="F1690" s="3481">
        <v>2268760</v>
      </c>
      <c r="G1690" s="3482" t="s">
        <v>3679</v>
      </c>
    </row>
    <row r="1691" spans="1:7">
      <c r="A1691" s="3536">
        <v>1690</v>
      </c>
      <c r="B1691" s="3481" t="s">
        <v>3619</v>
      </c>
      <c r="C1691" s="3481" t="s">
        <v>3338</v>
      </c>
      <c r="D1691" s="3482">
        <v>187.6</v>
      </c>
      <c r="E1691" s="3519">
        <f t="shared" si="26"/>
        <v>11852.942430703624</v>
      </c>
      <c r="F1691" s="3481">
        <v>2223612</v>
      </c>
      <c r="G1691" s="3482" t="s">
        <v>3618</v>
      </c>
    </row>
    <row r="1692" spans="1:7">
      <c r="A1692" s="3536">
        <v>1691</v>
      </c>
      <c r="B1692" s="3481" t="s">
        <v>3827</v>
      </c>
      <c r="C1692" s="3481" t="s">
        <v>3338</v>
      </c>
      <c r="D1692" s="3482">
        <v>53.47</v>
      </c>
      <c r="E1692" s="3519">
        <f t="shared" si="26"/>
        <v>3074.6586871142699</v>
      </c>
      <c r="F1692" s="3481">
        <v>164402</v>
      </c>
      <c r="G1692" s="3482" t="s">
        <v>3824</v>
      </c>
    </row>
    <row r="1693" spans="1:7">
      <c r="A1693" s="3536">
        <v>1692</v>
      </c>
      <c r="B1693" s="3481" t="s">
        <v>7594</v>
      </c>
      <c r="C1693" s="3481" t="s">
        <v>3395</v>
      </c>
      <c r="D1693" s="3482">
        <v>83.46</v>
      </c>
      <c r="E1693" s="3519">
        <f t="shared" si="26"/>
        <v>34033.333333333336</v>
      </c>
      <c r="F1693" s="3481">
        <v>2840422</v>
      </c>
      <c r="G1693" s="3482" t="s">
        <v>7593</v>
      </c>
    </row>
    <row r="1694" spans="1:7">
      <c r="A1694" s="3536">
        <v>1693</v>
      </c>
      <c r="B1694" s="3481" t="s">
        <v>7602</v>
      </c>
      <c r="C1694" s="3481" t="s">
        <v>3395</v>
      </c>
      <c r="D1694" s="3482">
        <v>83.85</v>
      </c>
      <c r="E1694" s="3519">
        <f t="shared" si="26"/>
        <v>33875.038759689924</v>
      </c>
      <c r="F1694" s="3481">
        <v>2840422</v>
      </c>
      <c r="G1694" s="3482" t="s">
        <v>3729</v>
      </c>
    </row>
    <row r="1695" spans="1:7">
      <c r="A1695" s="3536">
        <v>1694</v>
      </c>
      <c r="B1695" s="3481" t="s">
        <v>7490</v>
      </c>
      <c r="C1695" s="3481" t="s">
        <v>3395</v>
      </c>
      <c r="D1695" s="3482">
        <v>83.46</v>
      </c>
      <c r="E1695" s="3519">
        <f t="shared" si="26"/>
        <v>34356.194584231969</v>
      </c>
      <c r="F1695" s="3481">
        <v>2867368</v>
      </c>
      <c r="G1695" s="3482" t="s">
        <v>7491</v>
      </c>
    </row>
    <row r="1696" spans="1:7">
      <c r="A1696" s="3536">
        <v>1695</v>
      </c>
      <c r="B1696" s="3481" t="s">
        <v>7632</v>
      </c>
      <c r="C1696" s="3481" t="s">
        <v>3395</v>
      </c>
      <c r="D1696" s="3482">
        <v>83.85</v>
      </c>
      <c r="E1696" s="3519">
        <f t="shared" si="26"/>
        <v>33536.290995825882</v>
      </c>
      <c r="F1696" s="3481">
        <v>2812018</v>
      </c>
      <c r="G1696" s="3482" t="s">
        <v>7633</v>
      </c>
    </row>
    <row r="1697" spans="1:7">
      <c r="A1697" s="3536">
        <v>1696</v>
      </c>
      <c r="B1697" s="3481" t="s">
        <v>7790</v>
      </c>
      <c r="C1697" s="3481" t="s">
        <v>3395</v>
      </c>
      <c r="D1697" s="3482">
        <v>83.46</v>
      </c>
      <c r="E1697" s="3519">
        <f t="shared" si="26"/>
        <v>33894.009106158643</v>
      </c>
      <c r="F1697" s="3481">
        <v>2828794</v>
      </c>
      <c r="G1697" s="3482" t="s">
        <v>7789</v>
      </c>
    </row>
    <row r="1698" spans="1:7">
      <c r="A1698" s="3536">
        <v>1697</v>
      </c>
      <c r="B1698" s="3481" t="s">
        <v>7647</v>
      </c>
      <c r="C1698" s="3481" t="s">
        <v>3395</v>
      </c>
      <c r="D1698" s="3482">
        <v>83.85</v>
      </c>
      <c r="E1698" s="3519">
        <f t="shared" si="26"/>
        <v>33875.038759689924</v>
      </c>
      <c r="F1698" s="3481">
        <v>2840422</v>
      </c>
      <c r="G1698" s="3482" t="s">
        <v>3759</v>
      </c>
    </row>
    <row r="1699" spans="1:7">
      <c r="A1699" s="3536">
        <v>1698</v>
      </c>
      <c r="B1699" s="3481" t="s">
        <v>7761</v>
      </c>
      <c r="C1699" s="3481" t="s">
        <v>3395</v>
      </c>
      <c r="D1699" s="3482">
        <v>73.69</v>
      </c>
      <c r="E1699" s="3519">
        <f t="shared" si="26"/>
        <v>36789.387976658974</v>
      </c>
      <c r="F1699" s="3481">
        <v>2711010</v>
      </c>
      <c r="G1699" s="3482" t="s">
        <v>7762</v>
      </c>
    </row>
    <row r="1700" spans="1:7">
      <c r="A1700" s="3536">
        <v>1699</v>
      </c>
      <c r="B1700" s="3481" t="s">
        <v>7746</v>
      </c>
      <c r="C1700" s="3481" t="s">
        <v>3395</v>
      </c>
      <c r="D1700" s="3482">
        <v>74.150000000000006</v>
      </c>
      <c r="E1700" s="3519">
        <f t="shared" si="26"/>
        <v>37427.376938637892</v>
      </c>
      <c r="F1700" s="3481">
        <v>2775240</v>
      </c>
      <c r="G1700" s="3482" t="s">
        <v>3866</v>
      </c>
    </row>
    <row r="1701" spans="1:7">
      <c r="A1701" s="3536">
        <v>1700</v>
      </c>
      <c r="B1701" s="3481" t="s">
        <v>7750</v>
      </c>
      <c r="C1701" s="3481" t="s">
        <v>5318</v>
      </c>
      <c r="D1701" s="3482">
        <v>193.76</v>
      </c>
      <c r="E1701" s="3519">
        <f t="shared" si="26"/>
        <v>26340.787572254336</v>
      </c>
      <c r="F1701" s="3481">
        <v>5103791</v>
      </c>
      <c r="G1701" s="3482" t="s">
        <v>3874</v>
      </c>
    </row>
    <row r="1702" spans="1:7">
      <c r="A1702" s="3536">
        <v>1701</v>
      </c>
      <c r="B1702" s="3481" t="s">
        <v>3873</v>
      </c>
      <c r="C1702" s="3481" t="s">
        <v>3338</v>
      </c>
      <c r="D1702" s="3482">
        <v>12.54</v>
      </c>
      <c r="E1702" s="3519">
        <f t="shared" si="26"/>
        <v>3330.9409888357259</v>
      </c>
      <c r="F1702" s="3481">
        <v>41770</v>
      </c>
      <c r="G1702" s="3482" t="s">
        <v>3874</v>
      </c>
    </row>
    <row r="1703" spans="1:7">
      <c r="A1703" s="3536">
        <v>1702</v>
      </c>
      <c r="B1703" s="3481" t="s">
        <v>7473</v>
      </c>
      <c r="C1703" s="3481" t="s">
        <v>5305</v>
      </c>
      <c r="D1703" s="3482">
        <v>73.430000000000007</v>
      </c>
      <c r="E1703" s="3519">
        <f t="shared" si="26"/>
        <v>39085.687048890097</v>
      </c>
      <c r="F1703" s="3481">
        <v>2870062</v>
      </c>
      <c r="G1703" s="3482" t="s">
        <v>7472</v>
      </c>
    </row>
    <row r="1704" spans="1:7">
      <c r="A1704" s="3536">
        <v>1703</v>
      </c>
      <c r="B1704" s="3481" t="s">
        <v>3867</v>
      </c>
      <c r="C1704" s="3481" t="s">
        <v>3338</v>
      </c>
      <c r="D1704" s="3482">
        <v>98.54</v>
      </c>
      <c r="E1704" s="3519">
        <f t="shared" si="26"/>
        <v>13737.730870712399</v>
      </c>
      <c r="F1704" s="3481">
        <v>1353716</v>
      </c>
      <c r="G1704" s="3482" t="s">
        <v>3866</v>
      </c>
    </row>
    <row r="1705" spans="1:7">
      <c r="A1705" s="3536">
        <v>1704</v>
      </c>
      <c r="B1705" s="3481" t="s">
        <v>6800</v>
      </c>
      <c r="C1705" s="3481" t="s">
        <v>5305</v>
      </c>
      <c r="D1705" s="3482">
        <v>73.05</v>
      </c>
      <c r="E1705" s="3519">
        <f t="shared" si="26"/>
        <v>38938.74058863792</v>
      </c>
      <c r="F1705" s="3481">
        <v>2844475</v>
      </c>
      <c r="G1705" s="3482" t="s">
        <v>6870</v>
      </c>
    </row>
    <row r="1706" spans="1:7">
      <c r="A1706" s="3536">
        <v>1705</v>
      </c>
      <c r="B1706" s="3481" t="s">
        <v>3430</v>
      </c>
      <c r="C1706" s="3481" t="s">
        <v>3338</v>
      </c>
      <c r="D1706" s="3482">
        <v>97.14</v>
      </c>
      <c r="E1706" s="3519">
        <f t="shared" si="26"/>
        <v>13539.324686020176</v>
      </c>
      <c r="F1706" s="3481">
        <v>1315210</v>
      </c>
      <c r="G1706" s="3482" t="s">
        <v>3431</v>
      </c>
    </row>
    <row r="1707" spans="1:7">
      <c r="A1707" s="3536">
        <v>1706</v>
      </c>
      <c r="B1707" s="3481" t="s">
        <v>7714</v>
      </c>
      <c r="C1707" s="3481" t="s">
        <v>5318</v>
      </c>
      <c r="D1707" s="3482">
        <v>192.82</v>
      </c>
      <c r="E1707" s="3519">
        <f t="shared" si="26"/>
        <v>26736.567783424958</v>
      </c>
      <c r="F1707" s="3481">
        <v>5155345</v>
      </c>
      <c r="G1707" s="3482" t="s">
        <v>3830</v>
      </c>
    </row>
    <row r="1708" spans="1:7">
      <c r="A1708" s="3536">
        <v>1707</v>
      </c>
      <c r="B1708" s="3481" t="s">
        <v>3832</v>
      </c>
      <c r="C1708" s="3481" t="s">
        <v>3338</v>
      </c>
      <c r="D1708" s="3482">
        <v>12.54</v>
      </c>
      <c r="E1708" s="3519">
        <f t="shared" si="26"/>
        <v>3423.923444976077</v>
      </c>
      <c r="F1708" s="3481">
        <v>42936</v>
      </c>
      <c r="G1708" s="3482" t="s">
        <v>3830</v>
      </c>
    </row>
    <row r="1709" spans="1:7">
      <c r="A1709" s="3536">
        <v>1708</v>
      </c>
      <c r="B1709" s="3481" t="s">
        <v>3875</v>
      </c>
      <c r="C1709" s="3481" t="s">
        <v>3338</v>
      </c>
      <c r="D1709" s="3482">
        <v>53.69</v>
      </c>
      <c r="E1709" s="3519">
        <f t="shared" si="26"/>
        <v>3093.0340845595083</v>
      </c>
      <c r="F1709" s="3481">
        <v>166065</v>
      </c>
      <c r="G1709" s="3482" t="s">
        <v>3874</v>
      </c>
    </row>
    <row r="1710" spans="1:7">
      <c r="A1710" s="3536">
        <v>1709</v>
      </c>
      <c r="B1710" s="3481" t="s">
        <v>3868</v>
      </c>
      <c r="C1710" s="3481" t="s">
        <v>3338</v>
      </c>
      <c r="D1710" s="3482">
        <v>188.39</v>
      </c>
      <c r="E1710" s="3519">
        <f t="shared" si="26"/>
        <v>13716.035883008653</v>
      </c>
      <c r="F1710" s="3481">
        <v>2583964</v>
      </c>
      <c r="G1710" s="3482" t="s">
        <v>3866</v>
      </c>
    </row>
    <row r="1711" spans="1:7">
      <c r="A1711" s="3536">
        <v>1710</v>
      </c>
      <c r="B1711" s="3481" t="s">
        <v>3432</v>
      </c>
      <c r="C1711" s="3481" t="s">
        <v>3338</v>
      </c>
      <c r="D1711" s="3482">
        <v>186.99</v>
      </c>
      <c r="E1711" s="3519">
        <f t="shared" si="26"/>
        <v>12133.055243595914</v>
      </c>
      <c r="F1711" s="3481">
        <v>2268760</v>
      </c>
      <c r="G1711" s="3482" t="s">
        <v>3431</v>
      </c>
    </row>
    <row r="1712" spans="1:7">
      <c r="A1712" s="3536">
        <v>1711</v>
      </c>
      <c r="B1712" s="3481" t="s">
        <v>3833</v>
      </c>
      <c r="C1712" s="3481" t="s">
        <v>3338</v>
      </c>
      <c r="D1712" s="3482">
        <v>53.15</v>
      </c>
      <c r="E1712" s="3519">
        <f t="shared" si="26"/>
        <v>3181.9379115710253</v>
      </c>
      <c r="F1712" s="3481">
        <v>169120</v>
      </c>
      <c r="G1712" s="3482" t="s">
        <v>3830</v>
      </c>
    </row>
    <row r="1713" spans="1:7">
      <c r="A1713" s="3536">
        <v>1712</v>
      </c>
      <c r="B1713" s="3481" t="s">
        <v>7706</v>
      </c>
      <c r="C1713" s="3481" t="s">
        <v>3395</v>
      </c>
      <c r="D1713" s="3482">
        <v>83.92</v>
      </c>
      <c r="E1713" s="3519">
        <f t="shared" si="26"/>
        <v>33552.168732125836</v>
      </c>
      <c r="F1713" s="3481">
        <v>2815698</v>
      </c>
      <c r="G1713" s="3482" t="s">
        <v>3810</v>
      </c>
    </row>
    <row r="1714" spans="1:7">
      <c r="A1714" s="3536">
        <v>1713</v>
      </c>
      <c r="B1714" s="3481" t="s">
        <v>7707</v>
      </c>
      <c r="C1714" s="3481" t="s">
        <v>3395</v>
      </c>
      <c r="D1714" s="3482">
        <v>83.54</v>
      </c>
      <c r="E1714" s="3519">
        <f t="shared" si="26"/>
        <v>33652.83696432846</v>
      </c>
      <c r="F1714" s="3481">
        <v>2811358</v>
      </c>
      <c r="G1714" s="3482" t="s">
        <v>3810</v>
      </c>
    </row>
    <row r="1715" spans="1:7">
      <c r="A1715" s="3536">
        <v>1714</v>
      </c>
      <c r="B1715" s="3481" t="s">
        <v>7722</v>
      </c>
      <c r="C1715" s="3481" t="s">
        <v>3395</v>
      </c>
      <c r="D1715" s="3482">
        <v>83.92</v>
      </c>
      <c r="E1715" s="3519">
        <f t="shared" si="26"/>
        <v>33552.168732125836</v>
      </c>
      <c r="F1715" s="3481">
        <v>2815698</v>
      </c>
      <c r="G1715" s="3482" t="s">
        <v>7721</v>
      </c>
    </row>
    <row r="1716" spans="1:7">
      <c r="A1716" s="3536">
        <v>1715</v>
      </c>
      <c r="B1716" s="3481" t="s">
        <v>7696</v>
      </c>
      <c r="C1716" s="3481" t="s">
        <v>3395</v>
      </c>
      <c r="D1716" s="3482">
        <v>83.54</v>
      </c>
      <c r="E1716" s="3519">
        <f t="shared" si="26"/>
        <v>33785.863059612158</v>
      </c>
      <c r="F1716" s="3481">
        <v>2822471</v>
      </c>
      <c r="G1716" s="3482" t="s">
        <v>7697</v>
      </c>
    </row>
    <row r="1717" spans="1:7">
      <c r="A1717" s="3536">
        <v>1716</v>
      </c>
      <c r="B1717" s="3481" t="s">
        <v>6832</v>
      </c>
      <c r="C1717" s="3481" t="s">
        <v>3395</v>
      </c>
      <c r="D1717" s="3482">
        <v>83.92</v>
      </c>
      <c r="E1717" s="3519">
        <f t="shared" si="26"/>
        <v>27764.537654909436</v>
      </c>
      <c r="F1717" s="3481">
        <v>2330000</v>
      </c>
      <c r="G1717" s="3482" t="s">
        <v>3423</v>
      </c>
    </row>
    <row r="1718" spans="1:7">
      <c r="A1718" s="3536">
        <v>1717</v>
      </c>
      <c r="B1718" s="3481" t="s">
        <v>6833</v>
      </c>
      <c r="C1718" s="3481" t="s">
        <v>3395</v>
      </c>
      <c r="D1718" s="3482">
        <v>83.54</v>
      </c>
      <c r="E1718" s="3519">
        <f t="shared" si="26"/>
        <v>28051.639932966242</v>
      </c>
      <c r="F1718" s="3481">
        <v>2343434</v>
      </c>
      <c r="G1718" s="3482" t="s">
        <v>3423</v>
      </c>
    </row>
    <row r="1719" spans="1:7">
      <c r="A1719" s="3536">
        <v>1718</v>
      </c>
      <c r="B1719" s="3481" t="s">
        <v>7712</v>
      </c>
      <c r="C1719" s="3481" t="s">
        <v>3395</v>
      </c>
      <c r="D1719" s="3482">
        <v>74.22</v>
      </c>
      <c r="E1719" s="3519">
        <f t="shared" si="26"/>
        <v>36259.525734303425</v>
      </c>
      <c r="F1719" s="3481">
        <v>2691182</v>
      </c>
      <c r="G1719" s="3482" t="s">
        <v>3824</v>
      </c>
    </row>
    <row r="1720" spans="1:7">
      <c r="A1720" s="3536">
        <v>1719</v>
      </c>
      <c r="B1720" s="3481" t="s">
        <v>7671</v>
      </c>
      <c r="C1720" s="3481" t="s">
        <v>3395</v>
      </c>
      <c r="D1720" s="3482">
        <v>73.760000000000005</v>
      </c>
      <c r="E1720" s="3519">
        <f t="shared" si="26"/>
        <v>36337.079718004337</v>
      </c>
      <c r="F1720" s="3481">
        <v>2680223</v>
      </c>
      <c r="G1720" s="3482" t="s">
        <v>3788</v>
      </c>
    </row>
    <row r="1721" spans="1:7">
      <c r="A1721" s="3536">
        <v>1720</v>
      </c>
      <c r="B1721" s="3481" t="s">
        <v>7743</v>
      </c>
      <c r="C1721" s="3481" t="s">
        <v>5318</v>
      </c>
      <c r="D1721" s="3482">
        <v>192.82</v>
      </c>
      <c r="E1721" s="3519">
        <f t="shared" si="26"/>
        <v>26633.881340109947</v>
      </c>
      <c r="F1721" s="3481">
        <v>5135545</v>
      </c>
      <c r="G1721" s="3482" t="s">
        <v>3866</v>
      </c>
    </row>
    <row r="1722" spans="1:7">
      <c r="A1722" s="3536">
        <v>1721</v>
      </c>
      <c r="B1722" s="3481" t="s">
        <v>3869</v>
      </c>
      <c r="C1722" s="3481" t="s">
        <v>3338</v>
      </c>
      <c r="D1722" s="3482">
        <v>12.54</v>
      </c>
      <c r="E1722" s="3519">
        <f t="shared" si="26"/>
        <v>3389.7129186602874</v>
      </c>
      <c r="F1722" s="3481">
        <v>42507</v>
      </c>
      <c r="G1722" s="3482" t="s">
        <v>3866</v>
      </c>
    </row>
    <row r="1723" spans="1:7">
      <c r="A1723" s="3536">
        <v>1722</v>
      </c>
      <c r="B1723" s="3481" t="s">
        <v>7580</v>
      </c>
      <c r="C1723" s="3481" t="s">
        <v>5305</v>
      </c>
      <c r="D1723" s="3482">
        <v>73.05</v>
      </c>
      <c r="E1723" s="3519">
        <f t="shared" si="26"/>
        <v>38938.74058863792</v>
      </c>
      <c r="F1723" s="3481">
        <v>2844475</v>
      </c>
      <c r="G1723" s="3482" t="s">
        <v>3691</v>
      </c>
    </row>
    <row r="1724" spans="1:7">
      <c r="A1724" s="3536">
        <v>1723</v>
      </c>
      <c r="B1724" s="3481" t="s">
        <v>3695</v>
      </c>
      <c r="C1724" s="3481" t="s">
        <v>3338</v>
      </c>
      <c r="D1724" s="3482">
        <v>97.14</v>
      </c>
      <c r="E1724" s="3519">
        <f t="shared" si="26"/>
        <v>12148.538192299773</v>
      </c>
      <c r="F1724" s="3481">
        <v>1180109</v>
      </c>
      <c r="G1724" s="3482" t="s">
        <v>3691</v>
      </c>
    </row>
    <row r="1725" spans="1:7">
      <c r="A1725" s="3536">
        <v>1724</v>
      </c>
      <c r="B1725" s="3481" t="s">
        <v>7421</v>
      </c>
      <c r="C1725" s="3481" t="s">
        <v>5305</v>
      </c>
      <c r="D1725" s="3482">
        <v>73.05</v>
      </c>
      <c r="E1725" s="3519">
        <f t="shared" si="26"/>
        <v>38549.349760438061</v>
      </c>
      <c r="F1725" s="3481">
        <v>2816030</v>
      </c>
      <c r="G1725" s="3482" t="s">
        <v>3551</v>
      </c>
    </row>
    <row r="1726" spans="1:7">
      <c r="A1726" s="3536">
        <v>1725</v>
      </c>
      <c r="B1726" s="3481" t="s">
        <v>3550</v>
      </c>
      <c r="C1726" s="3481" t="s">
        <v>3338</v>
      </c>
      <c r="D1726" s="3482">
        <v>97.14</v>
      </c>
      <c r="E1726" s="3519">
        <f t="shared" si="26"/>
        <v>12271.247683755404</v>
      </c>
      <c r="F1726" s="3481">
        <v>1192029</v>
      </c>
      <c r="G1726" s="3482" t="s">
        <v>3551</v>
      </c>
    </row>
    <row r="1727" spans="1:7">
      <c r="A1727" s="3536">
        <v>1726</v>
      </c>
      <c r="B1727" s="3481" t="s">
        <v>7734</v>
      </c>
      <c r="C1727" s="3481" t="s">
        <v>5318</v>
      </c>
      <c r="D1727" s="3482">
        <v>192.82</v>
      </c>
      <c r="E1727" s="3519">
        <f t="shared" si="26"/>
        <v>26204.506793901048</v>
      </c>
      <c r="F1727" s="3481">
        <v>5052753</v>
      </c>
      <c r="G1727" s="3482" t="s">
        <v>3850</v>
      </c>
    </row>
    <row r="1728" spans="1:7">
      <c r="A1728" s="3536">
        <v>1727</v>
      </c>
      <c r="B1728" s="3481" t="s">
        <v>3849</v>
      </c>
      <c r="C1728" s="3481" t="s">
        <v>3338</v>
      </c>
      <c r="D1728" s="3482">
        <v>12.54</v>
      </c>
      <c r="E1728" s="3519">
        <f t="shared" si="26"/>
        <v>3423.923444976077</v>
      </c>
      <c r="F1728" s="3481">
        <v>42936</v>
      </c>
      <c r="G1728" s="3482" t="s">
        <v>3850</v>
      </c>
    </row>
    <row r="1729" spans="1:7">
      <c r="A1729" s="3536">
        <v>1728</v>
      </c>
      <c r="B1729" s="3481" t="s">
        <v>3870</v>
      </c>
      <c r="C1729" s="3481" t="s">
        <v>3338</v>
      </c>
      <c r="D1729" s="3482">
        <v>53.15</v>
      </c>
      <c r="E1729" s="3519">
        <f t="shared" si="26"/>
        <v>3150.1222953904048</v>
      </c>
      <c r="F1729" s="3481">
        <v>167429</v>
      </c>
      <c r="G1729" s="3482" t="s">
        <v>3866</v>
      </c>
    </row>
    <row r="1730" spans="1:7">
      <c r="A1730" s="3536">
        <v>1729</v>
      </c>
      <c r="B1730" s="3481" t="s">
        <v>3696</v>
      </c>
      <c r="C1730" s="3481" t="s">
        <v>3338</v>
      </c>
      <c r="D1730" s="3482">
        <v>186.99</v>
      </c>
      <c r="E1730" s="3519">
        <f t="shared" si="26"/>
        <v>11891.609176961334</v>
      </c>
      <c r="F1730" s="3481">
        <v>2223612</v>
      </c>
      <c r="G1730" s="3482" t="s">
        <v>3691</v>
      </c>
    </row>
    <row r="1731" spans="1:7">
      <c r="A1731" s="3536">
        <v>1730</v>
      </c>
      <c r="B1731" s="3481" t="s">
        <v>3552</v>
      </c>
      <c r="C1731" s="3481" t="s">
        <v>3338</v>
      </c>
      <c r="D1731" s="3482">
        <v>186.99</v>
      </c>
      <c r="E1731" s="3519">
        <f t="shared" ref="E1731:E1794" si="27">F1731/D1731</f>
        <v>13861.388309535268</v>
      </c>
      <c r="F1731" s="3481">
        <v>2591941</v>
      </c>
      <c r="G1731" s="3482" t="s">
        <v>3551</v>
      </c>
    </row>
    <row r="1732" spans="1:7">
      <c r="A1732" s="3536">
        <v>1731</v>
      </c>
      <c r="B1732" s="3481" t="s">
        <v>3851</v>
      </c>
      <c r="C1732" s="3481" t="s">
        <v>3338</v>
      </c>
      <c r="D1732" s="3482">
        <v>53.15</v>
      </c>
      <c r="E1732" s="3519">
        <f t="shared" si="27"/>
        <v>3181.9379115710253</v>
      </c>
      <c r="F1732" s="3481">
        <v>169120</v>
      </c>
      <c r="G1732" s="3482" t="s">
        <v>3850</v>
      </c>
    </row>
    <row r="1733" spans="1:7">
      <c r="A1733" s="3536">
        <v>1732</v>
      </c>
      <c r="B1733" s="3481" t="s">
        <v>7717</v>
      </c>
      <c r="C1733" s="3481" t="s">
        <v>3395</v>
      </c>
      <c r="D1733" s="3482">
        <v>83.54</v>
      </c>
      <c r="E1733" s="3519">
        <f t="shared" si="27"/>
        <v>33890.124491261668</v>
      </c>
      <c r="F1733" s="3481">
        <v>2831181</v>
      </c>
      <c r="G1733" s="3482" t="s">
        <v>3830</v>
      </c>
    </row>
    <row r="1734" spans="1:7">
      <c r="A1734" s="3536">
        <v>1733</v>
      </c>
      <c r="B1734" s="3481" t="s">
        <v>7718</v>
      </c>
      <c r="C1734" s="3481" t="s">
        <v>3395</v>
      </c>
      <c r="D1734" s="3482">
        <v>83.54</v>
      </c>
      <c r="E1734" s="3519">
        <f t="shared" si="27"/>
        <v>33636.58127842949</v>
      </c>
      <c r="F1734" s="3481">
        <v>2810000</v>
      </c>
      <c r="G1734" s="3482" t="s">
        <v>7719</v>
      </c>
    </row>
    <row r="1735" spans="1:7">
      <c r="A1735" s="3536">
        <v>1734</v>
      </c>
      <c r="B1735" s="3481" t="s">
        <v>7739</v>
      </c>
      <c r="C1735" s="3481" t="s">
        <v>3395</v>
      </c>
      <c r="D1735" s="3482">
        <v>83.54</v>
      </c>
      <c r="E1735" s="3519">
        <f t="shared" si="27"/>
        <v>33890.124491261668</v>
      </c>
      <c r="F1735" s="3481">
        <v>2831181</v>
      </c>
      <c r="G1735" s="3482" t="s">
        <v>3856</v>
      </c>
    </row>
    <row r="1736" spans="1:7">
      <c r="A1736" s="3536">
        <v>1735</v>
      </c>
      <c r="B1736" s="3481" t="s">
        <v>7685</v>
      </c>
      <c r="C1736" s="3481" t="s">
        <v>3395</v>
      </c>
      <c r="D1736" s="3482">
        <v>83.54</v>
      </c>
      <c r="E1736" s="3519">
        <f t="shared" si="27"/>
        <v>33668.542015800813</v>
      </c>
      <c r="F1736" s="3481">
        <v>2812670</v>
      </c>
      <c r="G1736" s="3482" t="s">
        <v>7686</v>
      </c>
    </row>
    <row r="1737" spans="1:7">
      <c r="A1737" s="3536">
        <v>1736</v>
      </c>
      <c r="B1737" s="3481" t="s">
        <v>6841</v>
      </c>
      <c r="C1737" s="3481" t="s">
        <v>3395</v>
      </c>
      <c r="D1737" s="3482">
        <v>83.54</v>
      </c>
      <c r="E1737" s="3519">
        <f t="shared" si="27"/>
        <v>28051.639932966242</v>
      </c>
      <c r="F1737" s="3481">
        <v>2343434</v>
      </c>
      <c r="G1737" s="3482" t="s">
        <v>6842</v>
      </c>
    </row>
    <row r="1738" spans="1:7">
      <c r="A1738" s="3536">
        <v>1737</v>
      </c>
      <c r="B1738" s="3481" t="s">
        <v>5960</v>
      </c>
      <c r="C1738" s="3481" t="s">
        <v>3395</v>
      </c>
      <c r="D1738" s="3482">
        <v>83.54</v>
      </c>
      <c r="E1738" s="3519">
        <f t="shared" si="27"/>
        <v>33890.124491261668</v>
      </c>
      <c r="F1738" s="3481">
        <v>2831181</v>
      </c>
      <c r="G1738" s="3482" t="s">
        <v>3874</v>
      </c>
    </row>
    <row r="1739" spans="1:7">
      <c r="A1739" s="3536">
        <v>1738</v>
      </c>
      <c r="B1739" s="3481" t="s">
        <v>7732</v>
      </c>
      <c r="C1739" s="3481" t="s">
        <v>3395</v>
      </c>
      <c r="D1739" s="3482">
        <v>73.760000000000005</v>
      </c>
      <c r="E1739" s="3519">
        <f t="shared" si="27"/>
        <v>36432.971800433836</v>
      </c>
      <c r="F1739" s="3481">
        <v>2687296</v>
      </c>
      <c r="G1739" s="3482" t="s">
        <v>3847</v>
      </c>
    </row>
    <row r="1740" spans="1:7">
      <c r="A1740" s="3536">
        <v>1739</v>
      </c>
      <c r="B1740" s="3481" t="s">
        <v>7747</v>
      </c>
      <c r="C1740" s="3481" t="s">
        <v>3395</v>
      </c>
      <c r="D1740" s="3482">
        <v>73.760000000000005</v>
      </c>
      <c r="E1740" s="3519">
        <f t="shared" si="27"/>
        <v>36068.641540130149</v>
      </c>
      <c r="F1740" s="3481">
        <v>2660423</v>
      </c>
      <c r="G1740" s="3482" t="s">
        <v>3866</v>
      </c>
    </row>
    <row r="1741" spans="1:7">
      <c r="A1741" s="3536">
        <v>1740</v>
      </c>
      <c r="B1741" s="3481" t="s">
        <v>7725</v>
      </c>
      <c r="C1741" s="3481" t="s">
        <v>5318</v>
      </c>
      <c r="D1741" s="3482">
        <v>178.28</v>
      </c>
      <c r="E1741" s="3519">
        <f t="shared" si="27"/>
        <v>27981.517837110165</v>
      </c>
      <c r="F1741" s="3481">
        <v>4988545</v>
      </c>
      <c r="G1741" s="3482" t="s">
        <v>3835</v>
      </c>
    </row>
    <row r="1742" spans="1:7">
      <c r="A1742" s="3536">
        <v>1741</v>
      </c>
      <c r="B1742" s="3481" t="s">
        <v>3834</v>
      </c>
      <c r="C1742" s="3481" t="s">
        <v>3338</v>
      </c>
      <c r="D1742" s="3482">
        <v>25.8</v>
      </c>
      <c r="E1742" s="3519">
        <f t="shared" si="27"/>
        <v>3911.5891472868216</v>
      </c>
      <c r="F1742" s="3481">
        <v>100919</v>
      </c>
      <c r="G1742" s="3482" t="s">
        <v>3835</v>
      </c>
    </row>
    <row r="1743" spans="1:7">
      <c r="A1743" s="3536">
        <v>1742</v>
      </c>
      <c r="B1743" s="3481" t="s">
        <v>7648</v>
      </c>
      <c r="C1743" s="3481" t="s">
        <v>5305</v>
      </c>
      <c r="D1743" s="3482">
        <v>73.430000000000007</v>
      </c>
      <c r="E1743" s="3519">
        <f t="shared" si="27"/>
        <v>38746.997140133455</v>
      </c>
      <c r="F1743" s="3481">
        <v>2845192</v>
      </c>
      <c r="G1743" s="3482" t="s">
        <v>3759</v>
      </c>
    </row>
    <row r="1744" spans="1:7">
      <c r="A1744" s="3536">
        <v>1743</v>
      </c>
      <c r="B1744" s="3481" t="s">
        <v>3769</v>
      </c>
      <c r="C1744" s="3481" t="s">
        <v>3338</v>
      </c>
      <c r="D1744" s="3482">
        <v>98.54</v>
      </c>
      <c r="E1744" s="3519">
        <f t="shared" si="27"/>
        <v>12399.614369799066</v>
      </c>
      <c r="F1744" s="3481">
        <v>1221858</v>
      </c>
      <c r="G1744" s="3482" t="s">
        <v>3759</v>
      </c>
    </row>
    <row r="1745" spans="1:7">
      <c r="A1745" s="3536">
        <v>1744</v>
      </c>
      <c r="B1745" s="3481" t="s">
        <v>7744</v>
      </c>
      <c r="C1745" s="3481" t="s">
        <v>5318</v>
      </c>
      <c r="D1745" s="3482">
        <v>179.48</v>
      </c>
      <c r="E1745" s="3519">
        <f t="shared" si="27"/>
        <v>28613.466681524405</v>
      </c>
      <c r="F1745" s="3481">
        <v>5135545</v>
      </c>
      <c r="G1745" s="3482" t="s">
        <v>3866</v>
      </c>
    </row>
    <row r="1746" spans="1:7">
      <c r="A1746" s="3536">
        <v>1745</v>
      </c>
      <c r="B1746" s="3481" t="s">
        <v>3871</v>
      </c>
      <c r="C1746" s="3481" t="s">
        <v>3338</v>
      </c>
      <c r="D1746" s="3482">
        <v>25.96</v>
      </c>
      <c r="E1746" s="3519">
        <f t="shared" si="27"/>
        <v>3832.8197226502311</v>
      </c>
      <c r="F1746" s="3481">
        <v>99500</v>
      </c>
      <c r="G1746" s="3482" t="s">
        <v>3866</v>
      </c>
    </row>
    <row r="1747" spans="1:7">
      <c r="A1747" s="3536">
        <v>1746</v>
      </c>
      <c r="B1747" s="3481" t="s">
        <v>3836</v>
      </c>
      <c r="C1747" s="3481" t="s">
        <v>3338</v>
      </c>
      <c r="D1747" s="3482">
        <v>28.35</v>
      </c>
      <c r="E1747" s="3519">
        <f t="shared" si="27"/>
        <v>3898.9770723104057</v>
      </c>
      <c r="F1747" s="3481">
        <v>110536</v>
      </c>
      <c r="G1747" s="3482" t="s">
        <v>3835</v>
      </c>
    </row>
    <row r="1748" spans="1:7">
      <c r="A1748" s="3536">
        <v>1747</v>
      </c>
      <c r="B1748" s="3481" t="s">
        <v>3770</v>
      </c>
      <c r="C1748" s="3481" t="s">
        <v>3338</v>
      </c>
      <c r="D1748" s="3482">
        <v>188.39</v>
      </c>
      <c r="E1748" s="3519">
        <f t="shared" si="27"/>
        <v>12397.107065130847</v>
      </c>
      <c r="F1748" s="3481">
        <v>2335491</v>
      </c>
      <c r="G1748" s="3482" t="s">
        <v>3759</v>
      </c>
    </row>
    <row r="1749" spans="1:7">
      <c r="A1749" s="3536">
        <v>1748</v>
      </c>
      <c r="B1749" s="3481" t="s">
        <v>3872</v>
      </c>
      <c r="C1749" s="3481" t="s">
        <v>3338</v>
      </c>
      <c r="D1749" s="3482">
        <v>28.35</v>
      </c>
      <c r="E1749" s="3519">
        <f t="shared" si="27"/>
        <v>3821.3756613756614</v>
      </c>
      <c r="F1749" s="3481">
        <v>108336</v>
      </c>
      <c r="G1749" s="3482" t="s">
        <v>3866</v>
      </c>
    </row>
    <row r="1750" spans="1:7">
      <c r="A1750" s="3536">
        <v>1749</v>
      </c>
      <c r="B1750" s="3481" t="s">
        <v>6909</v>
      </c>
      <c r="C1750" s="3481" t="s">
        <v>3395</v>
      </c>
      <c r="D1750" s="3482">
        <v>83.54</v>
      </c>
      <c r="E1750" s="3519">
        <f t="shared" si="27"/>
        <v>29387.119942542493</v>
      </c>
      <c r="F1750" s="3481">
        <v>2455000</v>
      </c>
      <c r="G1750" s="3482" t="s">
        <v>6910</v>
      </c>
    </row>
    <row r="1751" spans="1:7">
      <c r="A1751" s="3536">
        <v>1750</v>
      </c>
      <c r="B1751" s="3481" t="s">
        <v>7733</v>
      </c>
      <c r="C1751" s="3481" t="s">
        <v>3395</v>
      </c>
      <c r="D1751" s="3482">
        <v>83.92</v>
      </c>
      <c r="E1751" s="3519">
        <f t="shared" si="27"/>
        <v>33632.876549094377</v>
      </c>
      <c r="F1751" s="3481">
        <v>2822471</v>
      </c>
      <c r="G1751" s="3482" t="s">
        <v>3847</v>
      </c>
    </row>
    <row r="1752" spans="1:7">
      <c r="A1752" s="3536">
        <v>1751</v>
      </c>
      <c r="B1752" s="3481" t="s">
        <v>7723</v>
      </c>
      <c r="C1752" s="3481" t="s">
        <v>3395</v>
      </c>
      <c r="D1752" s="3482">
        <v>83.54</v>
      </c>
      <c r="E1752" s="3519">
        <f t="shared" si="27"/>
        <v>33890.124491261668</v>
      </c>
      <c r="F1752" s="3481">
        <v>2831181</v>
      </c>
      <c r="G1752" s="3482" t="s">
        <v>7721</v>
      </c>
    </row>
    <row r="1753" spans="1:7">
      <c r="A1753" s="3536">
        <v>1752</v>
      </c>
      <c r="B1753" s="3481" t="s">
        <v>7760</v>
      </c>
      <c r="C1753" s="3481" t="s">
        <v>3395</v>
      </c>
      <c r="D1753" s="3482">
        <v>83.92</v>
      </c>
      <c r="E1753" s="3519">
        <f t="shared" si="27"/>
        <v>33552.168732125836</v>
      </c>
      <c r="F1753" s="3481">
        <v>2815698</v>
      </c>
      <c r="G1753" s="3482" t="s">
        <v>3877</v>
      </c>
    </row>
    <row r="1754" spans="1:7">
      <c r="A1754" s="3536">
        <v>1753</v>
      </c>
      <c r="B1754" s="3481" t="s">
        <v>6894</v>
      </c>
      <c r="C1754" s="3481" t="s">
        <v>3395</v>
      </c>
      <c r="D1754" s="3482">
        <v>83.54</v>
      </c>
      <c r="E1754" s="3519">
        <f t="shared" si="27"/>
        <v>27890.830739765381</v>
      </c>
      <c r="F1754" s="3481">
        <v>2330000</v>
      </c>
      <c r="G1754" s="3482" t="s">
        <v>3437</v>
      </c>
    </row>
    <row r="1755" spans="1:7">
      <c r="A1755" s="3536">
        <v>1754</v>
      </c>
      <c r="B1755" s="3481" t="s">
        <v>6861</v>
      </c>
      <c r="C1755" s="3481" t="s">
        <v>3395</v>
      </c>
      <c r="D1755" s="3482">
        <v>83.92</v>
      </c>
      <c r="E1755" s="3519">
        <f t="shared" si="27"/>
        <v>27645.376549094373</v>
      </c>
      <c r="F1755" s="3481">
        <v>2320000</v>
      </c>
      <c r="G1755" s="3482" t="s">
        <v>6859</v>
      </c>
    </row>
    <row r="1756" spans="1:7">
      <c r="A1756" s="3536">
        <v>1755</v>
      </c>
      <c r="B1756" s="3481" t="s">
        <v>7783</v>
      </c>
      <c r="C1756" s="3481" t="s">
        <v>3395</v>
      </c>
      <c r="D1756" s="3482">
        <v>73.760000000000005</v>
      </c>
      <c r="E1756" s="3519">
        <f t="shared" si="27"/>
        <v>36337.079718004337</v>
      </c>
      <c r="F1756" s="3481">
        <v>2680223</v>
      </c>
      <c r="G1756" s="3482" t="s">
        <v>7782</v>
      </c>
    </row>
    <row r="1757" spans="1:7">
      <c r="A1757" s="3536">
        <v>1756</v>
      </c>
      <c r="B1757" s="3481" t="s">
        <v>7778</v>
      </c>
      <c r="C1757" s="3481" t="s">
        <v>3395</v>
      </c>
      <c r="D1757" s="3482">
        <v>74.22</v>
      </c>
      <c r="E1757" s="3519">
        <f t="shared" si="27"/>
        <v>35973.740231743468</v>
      </c>
      <c r="F1757" s="3481">
        <v>2669971</v>
      </c>
      <c r="G1757" s="3482" t="s">
        <v>3896</v>
      </c>
    </row>
    <row r="1758" spans="1:7">
      <c r="A1758" s="3536">
        <v>1757</v>
      </c>
      <c r="B1758" s="3481" t="s">
        <v>7728</v>
      </c>
      <c r="C1758" s="3481" t="s">
        <v>5318</v>
      </c>
      <c r="D1758" s="3482">
        <v>193.76</v>
      </c>
      <c r="E1758" s="3519">
        <f t="shared" si="27"/>
        <v>25234.129851362512</v>
      </c>
      <c r="F1758" s="3481">
        <v>4889365</v>
      </c>
      <c r="G1758" s="3482" t="s">
        <v>3838</v>
      </c>
    </row>
    <row r="1759" spans="1:7">
      <c r="A1759" s="3536">
        <v>1758</v>
      </c>
      <c r="B1759" s="3481" t="s">
        <v>3837</v>
      </c>
      <c r="C1759" s="3481" t="s">
        <v>3338</v>
      </c>
      <c r="D1759" s="3482">
        <v>12.54</v>
      </c>
      <c r="E1759" s="3519">
        <f t="shared" si="27"/>
        <v>3327.8309409888361</v>
      </c>
      <c r="F1759" s="3481">
        <v>41731</v>
      </c>
      <c r="G1759" s="3482" t="s">
        <v>3838</v>
      </c>
    </row>
    <row r="1760" spans="1:7">
      <c r="A1760" s="3536">
        <v>1759</v>
      </c>
      <c r="B1760" s="3481" t="s">
        <v>6801</v>
      </c>
      <c r="C1760" s="3481" t="s">
        <v>5305</v>
      </c>
      <c r="D1760" s="3482">
        <v>73.430000000000007</v>
      </c>
      <c r="E1760" s="3519">
        <f t="shared" si="27"/>
        <v>39085.687048890097</v>
      </c>
      <c r="F1760" s="3481">
        <v>2870062</v>
      </c>
      <c r="G1760" s="3482" t="s">
        <v>3838</v>
      </c>
    </row>
    <row r="1761" spans="1:7">
      <c r="A1761" s="3536">
        <v>1760</v>
      </c>
      <c r="B1761" s="3481" t="s">
        <v>3839</v>
      </c>
      <c r="C1761" s="3481" t="s">
        <v>3338</v>
      </c>
      <c r="D1761" s="3482">
        <v>98.52</v>
      </c>
      <c r="E1761" s="3519">
        <f t="shared" si="27"/>
        <v>12669.102720259847</v>
      </c>
      <c r="F1761" s="3481">
        <v>1248160</v>
      </c>
      <c r="G1761" s="3482" t="s">
        <v>3838</v>
      </c>
    </row>
    <row r="1762" spans="1:7">
      <c r="A1762" s="3536">
        <v>1761</v>
      </c>
      <c r="B1762" s="3481" t="s">
        <v>7486</v>
      </c>
      <c r="C1762" s="3481" t="s">
        <v>5305</v>
      </c>
      <c r="D1762" s="3482">
        <v>73.05</v>
      </c>
      <c r="E1762" s="3519">
        <f t="shared" si="27"/>
        <v>38549.349760438061</v>
      </c>
      <c r="F1762" s="3481">
        <v>2816030</v>
      </c>
      <c r="G1762" s="3482" t="s">
        <v>3594</v>
      </c>
    </row>
    <row r="1763" spans="1:7">
      <c r="A1763" s="3536">
        <v>1762</v>
      </c>
      <c r="B1763" s="3481" t="s">
        <v>3593</v>
      </c>
      <c r="C1763" s="3481" t="s">
        <v>3338</v>
      </c>
      <c r="D1763" s="3482">
        <v>97.12</v>
      </c>
      <c r="E1763" s="3519">
        <f t="shared" si="27"/>
        <v>13542.112850082372</v>
      </c>
      <c r="F1763" s="3481">
        <v>1315210</v>
      </c>
      <c r="G1763" s="3482" t="s">
        <v>3594</v>
      </c>
    </row>
    <row r="1764" spans="1:7">
      <c r="A1764" s="3536">
        <v>1763</v>
      </c>
      <c r="B1764" s="3481" t="s">
        <v>7616</v>
      </c>
      <c r="C1764" s="3481" t="s">
        <v>5318</v>
      </c>
      <c r="D1764" s="3482">
        <v>192.82</v>
      </c>
      <c r="E1764" s="3519">
        <f t="shared" si="27"/>
        <v>25256.716108287525</v>
      </c>
      <c r="F1764" s="3481">
        <v>4870000</v>
      </c>
      <c r="G1764" s="3482" t="s">
        <v>3748</v>
      </c>
    </row>
    <row r="1765" spans="1:7">
      <c r="A1765" s="3536">
        <v>1764</v>
      </c>
      <c r="B1765" s="3481" t="s">
        <v>3747</v>
      </c>
      <c r="C1765" s="3481" t="s">
        <v>3338</v>
      </c>
      <c r="D1765" s="3482">
        <v>12.54</v>
      </c>
      <c r="E1765" s="3519">
        <f t="shared" si="27"/>
        <v>7974.4816586921852</v>
      </c>
      <c r="F1765" s="3481">
        <v>100000</v>
      </c>
      <c r="G1765" s="3482" t="s">
        <v>3748</v>
      </c>
    </row>
    <row r="1766" spans="1:7">
      <c r="A1766" s="3536">
        <v>1765</v>
      </c>
      <c r="B1766" s="3481" t="s">
        <v>3840</v>
      </c>
      <c r="C1766" s="3481" t="s">
        <v>3338</v>
      </c>
      <c r="D1766" s="3482">
        <v>53.68</v>
      </c>
      <c r="E1766" s="3519">
        <f t="shared" si="27"/>
        <v>3207.3397913561848</v>
      </c>
      <c r="F1766" s="3481">
        <v>172170</v>
      </c>
      <c r="G1766" s="3482" t="s">
        <v>3838</v>
      </c>
    </row>
    <row r="1767" spans="1:7">
      <c r="A1767" s="3536">
        <v>1766</v>
      </c>
      <c r="B1767" s="3481" t="s">
        <v>3417</v>
      </c>
      <c r="C1767" s="3481" t="s">
        <v>3338</v>
      </c>
      <c r="D1767" s="3482">
        <v>188.35</v>
      </c>
      <c r="E1767" s="3519">
        <f t="shared" si="27"/>
        <v>12748.537297584286</v>
      </c>
      <c r="F1767" s="3481">
        <v>2401187</v>
      </c>
      <c r="G1767" s="3482" t="s">
        <v>3838</v>
      </c>
    </row>
    <row r="1768" spans="1:7">
      <c r="A1768" s="3536">
        <v>1767</v>
      </c>
      <c r="B1768" s="3481" t="s">
        <v>3595</v>
      </c>
      <c r="C1768" s="3481" t="s">
        <v>3338</v>
      </c>
      <c r="D1768" s="3482">
        <v>186.96</v>
      </c>
      <c r="E1768" s="3519">
        <f t="shared" si="27"/>
        <v>12135.002139495078</v>
      </c>
      <c r="F1768" s="3481">
        <v>2268760</v>
      </c>
      <c r="G1768" s="3482" t="s">
        <v>3594</v>
      </c>
    </row>
    <row r="1769" spans="1:7">
      <c r="A1769" s="3536">
        <v>1768</v>
      </c>
      <c r="B1769" s="3481" t="s">
        <v>3749</v>
      </c>
      <c r="C1769" s="3481" t="s">
        <v>3338</v>
      </c>
      <c r="D1769" s="3482">
        <v>53.14</v>
      </c>
      <c r="E1769" s="3519">
        <f t="shared" si="27"/>
        <v>1881.8216033120059</v>
      </c>
      <c r="F1769" s="3481">
        <v>100000</v>
      </c>
      <c r="G1769" s="3482" t="s">
        <v>3748</v>
      </c>
    </row>
    <row r="1770" spans="1:7">
      <c r="A1770" s="3536">
        <v>1769</v>
      </c>
      <c r="B1770" s="3481" t="s">
        <v>6895</v>
      </c>
      <c r="C1770" s="3481" t="s">
        <v>3395</v>
      </c>
      <c r="D1770" s="3482">
        <v>83.92</v>
      </c>
      <c r="E1770" s="3519">
        <f t="shared" si="27"/>
        <v>29313.632030505243</v>
      </c>
      <c r="F1770" s="3481">
        <v>2460000</v>
      </c>
      <c r="G1770" s="3482" t="s">
        <v>3437</v>
      </c>
    </row>
    <row r="1771" spans="1:7">
      <c r="A1771" s="3536">
        <v>1770</v>
      </c>
      <c r="B1771" s="3481" t="s">
        <v>7713</v>
      </c>
      <c r="C1771" s="3481" t="s">
        <v>3395</v>
      </c>
      <c r="D1771" s="3482">
        <v>83.54</v>
      </c>
      <c r="E1771" s="3519">
        <f t="shared" si="27"/>
        <v>33636.58127842949</v>
      </c>
      <c r="F1771" s="3481">
        <v>2810000</v>
      </c>
      <c r="G1771" s="3482" t="s">
        <v>3824</v>
      </c>
    </row>
    <row r="1772" spans="1:7">
      <c r="A1772" s="3536">
        <v>1771</v>
      </c>
      <c r="B1772" s="3481" t="s">
        <v>7672</v>
      </c>
      <c r="C1772" s="3481" t="s">
        <v>3395</v>
      </c>
      <c r="D1772" s="3482">
        <v>83.92</v>
      </c>
      <c r="E1772" s="3519">
        <f t="shared" si="27"/>
        <v>33841.754051477597</v>
      </c>
      <c r="F1772" s="3481">
        <v>2840000</v>
      </c>
      <c r="G1772" s="3482" t="s">
        <v>3788</v>
      </c>
    </row>
    <row r="1773" spans="1:7">
      <c r="A1773" s="3536">
        <v>1772</v>
      </c>
      <c r="B1773" s="3481" t="s">
        <v>7534</v>
      </c>
      <c r="C1773" s="3481" t="s">
        <v>3395</v>
      </c>
      <c r="D1773" s="3482">
        <v>83.54</v>
      </c>
      <c r="E1773" s="3519">
        <f t="shared" si="27"/>
        <v>34000.742159444577</v>
      </c>
      <c r="F1773" s="3481">
        <v>2840422</v>
      </c>
      <c r="G1773" s="3482" t="s">
        <v>3645</v>
      </c>
    </row>
    <row r="1774" spans="1:7">
      <c r="A1774" s="3536">
        <v>1773</v>
      </c>
      <c r="B1774" s="3481" t="s">
        <v>7373</v>
      </c>
      <c r="C1774" s="3481" t="s">
        <v>3395</v>
      </c>
      <c r="D1774" s="3482">
        <v>83.92</v>
      </c>
      <c r="E1774" s="3519">
        <f t="shared" si="27"/>
        <v>31577.69304099142</v>
      </c>
      <c r="F1774" s="3481">
        <v>2650000</v>
      </c>
      <c r="G1774" s="3482" t="s">
        <v>7374</v>
      </c>
    </row>
    <row r="1775" spans="1:7">
      <c r="A1775" s="3536">
        <v>1774</v>
      </c>
      <c r="B1775" s="3481" t="s">
        <v>7348</v>
      </c>
      <c r="C1775" s="3481" t="s">
        <v>3395</v>
      </c>
      <c r="D1775" s="3482">
        <v>83.54</v>
      </c>
      <c r="E1775" s="3519">
        <f t="shared" si="27"/>
        <v>31721.331098874787</v>
      </c>
      <c r="F1775" s="3481">
        <v>2650000</v>
      </c>
      <c r="G1775" s="3482" t="s">
        <v>3520</v>
      </c>
    </row>
    <row r="1776" spans="1:7">
      <c r="A1776" s="3536">
        <v>1775</v>
      </c>
      <c r="B1776" s="3481" t="s">
        <v>7708</v>
      </c>
      <c r="C1776" s="3481" t="s">
        <v>3395</v>
      </c>
      <c r="D1776" s="3482">
        <v>74.22</v>
      </c>
      <c r="E1776" s="3519">
        <f t="shared" si="27"/>
        <v>35542.980328752361</v>
      </c>
      <c r="F1776" s="3481">
        <v>2638000</v>
      </c>
      <c r="G1776" s="3482" t="s">
        <v>3810</v>
      </c>
    </row>
    <row r="1777" spans="1:7">
      <c r="A1777" s="3536">
        <v>1776</v>
      </c>
      <c r="B1777" s="3481" t="s">
        <v>6822</v>
      </c>
      <c r="C1777" s="3481" t="s">
        <v>3395</v>
      </c>
      <c r="D1777" s="3482">
        <v>73.760000000000005</v>
      </c>
      <c r="E1777" s="3519">
        <f t="shared" si="27"/>
        <v>28906.588937093275</v>
      </c>
      <c r="F1777" s="3481">
        <v>2132150</v>
      </c>
      <c r="G1777" s="3482" t="s">
        <v>3419</v>
      </c>
    </row>
    <row r="1778" spans="1:7">
      <c r="A1778" s="3536">
        <v>1777</v>
      </c>
      <c r="B1778" s="3481" t="s">
        <v>7668</v>
      </c>
      <c r="C1778" s="3481" t="s">
        <v>5318</v>
      </c>
      <c r="D1778" s="3482">
        <v>192.82</v>
      </c>
      <c r="E1778" s="3519">
        <f t="shared" si="27"/>
        <v>25407.063582615912</v>
      </c>
      <c r="F1778" s="3481">
        <v>4898990</v>
      </c>
      <c r="G1778" s="3482" t="s">
        <v>3788</v>
      </c>
    </row>
    <row r="1779" spans="1:7">
      <c r="A1779" s="3536">
        <v>1778</v>
      </c>
      <c r="B1779" s="3481" t="s">
        <v>3793</v>
      </c>
      <c r="C1779" s="3481" t="s">
        <v>3338</v>
      </c>
      <c r="D1779" s="3482">
        <v>12.54</v>
      </c>
      <c r="E1779" s="3519">
        <f t="shared" si="27"/>
        <v>7974.4816586921852</v>
      </c>
      <c r="F1779" s="3481">
        <v>100000</v>
      </c>
      <c r="G1779" s="3482" t="s">
        <v>3788</v>
      </c>
    </row>
    <row r="1780" spans="1:7">
      <c r="A1780" s="3536">
        <v>1779</v>
      </c>
      <c r="B1780" s="3481" t="s">
        <v>7416</v>
      </c>
      <c r="C1780" s="3481" t="s">
        <v>5305</v>
      </c>
      <c r="D1780" s="3482">
        <v>73.05</v>
      </c>
      <c r="E1780" s="3519">
        <f t="shared" si="27"/>
        <v>38549.349760438061</v>
      </c>
      <c r="F1780" s="3481">
        <v>2816030</v>
      </c>
      <c r="G1780" s="3482" t="s">
        <v>3540</v>
      </c>
    </row>
    <row r="1781" spans="1:7">
      <c r="A1781" s="3536">
        <v>1780</v>
      </c>
      <c r="B1781" s="3481" t="s">
        <v>3542</v>
      </c>
      <c r="C1781" s="3481" t="s">
        <v>3338</v>
      </c>
      <c r="D1781" s="3482">
        <v>97.12</v>
      </c>
      <c r="E1781" s="3519">
        <f t="shared" si="27"/>
        <v>12151.039950576605</v>
      </c>
      <c r="F1781" s="3481">
        <v>1180109</v>
      </c>
      <c r="G1781" s="3482" t="s">
        <v>3540</v>
      </c>
    </row>
    <row r="1782" spans="1:7">
      <c r="A1782" s="3536">
        <v>1781</v>
      </c>
      <c r="B1782" s="3481" t="s">
        <v>7599</v>
      </c>
      <c r="C1782" s="3481" t="s">
        <v>5318</v>
      </c>
      <c r="D1782" s="3482">
        <v>192.82</v>
      </c>
      <c r="E1782" s="3519">
        <f t="shared" si="27"/>
        <v>25368.073851260244</v>
      </c>
      <c r="F1782" s="3481">
        <v>4891472</v>
      </c>
      <c r="G1782" s="3482" t="s">
        <v>3729</v>
      </c>
    </row>
    <row r="1783" spans="1:7">
      <c r="A1783" s="3536">
        <v>1782</v>
      </c>
      <c r="B1783" s="3481" t="s">
        <v>3728</v>
      </c>
      <c r="C1783" s="3481" t="s">
        <v>3338</v>
      </c>
      <c r="D1783" s="3482">
        <v>12.54</v>
      </c>
      <c r="E1783" s="3519">
        <f t="shared" si="27"/>
        <v>4029.984051036683</v>
      </c>
      <c r="F1783" s="3481">
        <v>50536</v>
      </c>
      <c r="G1783" s="3482" t="s">
        <v>3729</v>
      </c>
    </row>
    <row r="1784" spans="1:7">
      <c r="A1784" s="3536">
        <v>1783</v>
      </c>
      <c r="B1784" s="3481" t="s">
        <v>3794</v>
      </c>
      <c r="C1784" s="3481" t="s">
        <v>3338</v>
      </c>
      <c r="D1784" s="3482">
        <v>53.14</v>
      </c>
      <c r="E1784" s="3519">
        <f t="shared" si="27"/>
        <v>1881.8216033120059</v>
      </c>
      <c r="F1784" s="3481">
        <v>100000</v>
      </c>
      <c r="G1784" s="3482" t="s">
        <v>3788</v>
      </c>
    </row>
    <row r="1785" spans="1:7">
      <c r="A1785" s="3536">
        <v>1784</v>
      </c>
      <c r="B1785" s="3481" t="s">
        <v>3543</v>
      </c>
      <c r="C1785" s="3481" t="s">
        <v>3338</v>
      </c>
      <c r="D1785" s="3482">
        <v>186.96</v>
      </c>
      <c r="E1785" s="3519">
        <f t="shared" si="27"/>
        <v>11770.951005562687</v>
      </c>
      <c r="F1785" s="3481">
        <v>2200697</v>
      </c>
      <c r="G1785" s="3482" t="s">
        <v>3540</v>
      </c>
    </row>
    <row r="1786" spans="1:7">
      <c r="A1786" s="3536">
        <v>1785</v>
      </c>
      <c r="B1786" s="3481" t="s">
        <v>3730</v>
      </c>
      <c r="C1786" s="3481" t="s">
        <v>3338</v>
      </c>
      <c r="D1786" s="3482">
        <v>53.14</v>
      </c>
      <c r="E1786" s="3519">
        <f t="shared" si="27"/>
        <v>3233.7598795634171</v>
      </c>
      <c r="F1786" s="3481">
        <v>171842</v>
      </c>
      <c r="G1786" s="3482" t="s">
        <v>3729</v>
      </c>
    </row>
    <row r="1787" spans="1:7">
      <c r="A1787" s="3536">
        <v>1786</v>
      </c>
      <c r="B1787" s="3481" t="s">
        <v>7665</v>
      </c>
      <c r="C1787" s="3481" t="s">
        <v>3395</v>
      </c>
      <c r="D1787" s="3482">
        <v>83.54</v>
      </c>
      <c r="E1787" s="3519">
        <f t="shared" si="27"/>
        <v>34012.365333971749</v>
      </c>
      <c r="F1787" s="3481">
        <v>2841393</v>
      </c>
      <c r="G1787" s="3482" t="s">
        <v>3785</v>
      </c>
    </row>
    <row r="1788" spans="1:7">
      <c r="A1788" s="3536">
        <v>1787</v>
      </c>
      <c r="B1788" s="3481" t="s">
        <v>7673</v>
      </c>
      <c r="C1788" s="3481" t="s">
        <v>3395</v>
      </c>
      <c r="D1788" s="3482">
        <v>83.54</v>
      </c>
      <c r="E1788" s="3519">
        <f t="shared" si="27"/>
        <v>34012.365333971749</v>
      </c>
      <c r="F1788" s="3481">
        <v>2841393</v>
      </c>
      <c r="G1788" s="3482" t="s">
        <v>3788</v>
      </c>
    </row>
    <row r="1789" spans="1:7">
      <c r="A1789" s="3536">
        <v>1788</v>
      </c>
      <c r="B1789" s="3481" t="s">
        <v>7674</v>
      </c>
      <c r="C1789" s="3481" t="s">
        <v>3395</v>
      </c>
      <c r="D1789" s="3482">
        <v>83.54</v>
      </c>
      <c r="E1789" s="3519">
        <f t="shared" si="27"/>
        <v>34012.365333971749</v>
      </c>
      <c r="F1789" s="3481">
        <v>2841393</v>
      </c>
      <c r="G1789" s="3482" t="s">
        <v>3788</v>
      </c>
    </row>
    <row r="1790" spans="1:7">
      <c r="A1790" s="3536">
        <v>1789</v>
      </c>
      <c r="B1790" s="3481" t="s">
        <v>7545</v>
      </c>
      <c r="C1790" s="3481" t="s">
        <v>3395</v>
      </c>
      <c r="D1790" s="3482">
        <v>83.54</v>
      </c>
      <c r="E1790" s="3519">
        <f t="shared" si="27"/>
        <v>34000.742159444577</v>
      </c>
      <c r="F1790" s="3481">
        <v>2840422</v>
      </c>
      <c r="G1790" s="3482" t="s">
        <v>7546</v>
      </c>
    </row>
    <row r="1791" spans="1:7">
      <c r="A1791" s="3536">
        <v>1790</v>
      </c>
      <c r="B1791" s="3481" t="s">
        <v>6823</v>
      </c>
      <c r="C1791" s="3481" t="s">
        <v>3395</v>
      </c>
      <c r="D1791" s="3482">
        <v>83.54</v>
      </c>
      <c r="E1791" s="3519">
        <f t="shared" si="27"/>
        <v>27630.871438831695</v>
      </c>
      <c r="F1791" s="3481">
        <v>2308283</v>
      </c>
      <c r="G1791" s="3482" t="s">
        <v>3419</v>
      </c>
    </row>
    <row r="1792" spans="1:7">
      <c r="A1792" s="3536">
        <v>1791</v>
      </c>
      <c r="B1792" s="3481" t="s">
        <v>7300</v>
      </c>
      <c r="C1792" s="3481" t="s">
        <v>3395</v>
      </c>
      <c r="D1792" s="3482">
        <v>83.54</v>
      </c>
      <c r="E1792" s="3519">
        <f t="shared" si="27"/>
        <v>32343.6437634666</v>
      </c>
      <c r="F1792" s="3481">
        <v>2701988</v>
      </c>
      <c r="G1792" s="3482" t="s">
        <v>7301</v>
      </c>
    </row>
    <row r="1793" spans="1:7">
      <c r="A1793" s="3536">
        <v>1792</v>
      </c>
      <c r="B1793" s="3481" t="s">
        <v>7675</v>
      </c>
      <c r="C1793" s="3481" t="s">
        <v>3395</v>
      </c>
      <c r="D1793" s="3482">
        <v>73.760000000000005</v>
      </c>
      <c r="E1793" s="3519">
        <f t="shared" si="27"/>
        <v>36469.63123644251</v>
      </c>
      <c r="F1793" s="3481">
        <v>2690000</v>
      </c>
      <c r="G1793" s="3482" t="s">
        <v>3788</v>
      </c>
    </row>
    <row r="1794" spans="1:7">
      <c r="A1794" s="3536">
        <v>1793</v>
      </c>
      <c r="B1794" s="3481" t="s">
        <v>7676</v>
      </c>
      <c r="C1794" s="3481" t="s">
        <v>3395</v>
      </c>
      <c r="D1794" s="3482">
        <v>73.760000000000005</v>
      </c>
      <c r="E1794" s="3519">
        <f t="shared" si="27"/>
        <v>36881.195770065075</v>
      </c>
      <c r="F1794" s="3481">
        <v>2720357</v>
      </c>
      <c r="G1794" s="3482" t="s">
        <v>3788</v>
      </c>
    </row>
    <row r="1795" spans="1:7">
      <c r="A1795" s="3536">
        <v>1794</v>
      </c>
      <c r="B1795" s="3481" t="s">
        <v>7679</v>
      </c>
      <c r="C1795" s="3481" t="s">
        <v>5318</v>
      </c>
      <c r="D1795" s="3482">
        <v>178.28</v>
      </c>
      <c r="E1795" s="3519">
        <f t="shared" ref="E1795:E1858" si="28">F1795/D1795</f>
        <v>27479.190038142249</v>
      </c>
      <c r="F1795" s="3481">
        <v>4898990</v>
      </c>
      <c r="G1795" s="3482" t="s">
        <v>3796</v>
      </c>
    </row>
    <row r="1796" spans="1:7">
      <c r="A1796" s="3536">
        <v>1795</v>
      </c>
      <c r="B1796" s="3481" t="s">
        <v>3795</v>
      </c>
      <c r="C1796" s="3481" t="s">
        <v>3338</v>
      </c>
      <c r="D1796" s="3482">
        <v>25.8</v>
      </c>
      <c r="E1796" s="3519">
        <f t="shared" si="28"/>
        <v>3875.968992248062</v>
      </c>
      <c r="F1796" s="3481">
        <v>100000</v>
      </c>
      <c r="G1796" s="3482" t="s">
        <v>3796</v>
      </c>
    </row>
    <row r="1797" spans="1:7">
      <c r="A1797" s="3536">
        <v>1796</v>
      </c>
      <c r="B1797" s="3481" t="s">
        <v>6794</v>
      </c>
      <c r="C1797" s="3481" t="s">
        <v>5305</v>
      </c>
      <c r="D1797" s="3482">
        <v>73.430000000000007</v>
      </c>
      <c r="E1797" s="3519">
        <f t="shared" si="28"/>
        <v>39085.673430478004</v>
      </c>
      <c r="F1797" s="3481">
        <v>2870061</v>
      </c>
      <c r="G1797" s="3482" t="s">
        <v>3824</v>
      </c>
    </row>
    <row r="1798" spans="1:7">
      <c r="A1798" s="3536">
        <v>1797</v>
      </c>
      <c r="B1798" s="3481" t="s">
        <v>3828</v>
      </c>
      <c r="C1798" s="3481" t="s">
        <v>3338</v>
      </c>
      <c r="D1798" s="3482">
        <v>98.52</v>
      </c>
      <c r="E1798" s="3519">
        <f t="shared" si="28"/>
        <v>13003.887535525782</v>
      </c>
      <c r="F1798" s="3481">
        <v>1281143</v>
      </c>
      <c r="G1798" s="3482" t="s">
        <v>3824</v>
      </c>
    </row>
    <row r="1799" spans="1:7">
      <c r="A1799" s="3536">
        <v>1798</v>
      </c>
      <c r="B1799" s="3481" t="s">
        <v>7729</v>
      </c>
      <c r="C1799" s="3481" t="s">
        <v>5318</v>
      </c>
      <c r="D1799" s="3482">
        <v>179.48</v>
      </c>
      <c r="E1799" s="3519">
        <f t="shared" si="28"/>
        <v>27858.257187430358</v>
      </c>
      <c r="F1799" s="3481">
        <v>5000000</v>
      </c>
      <c r="G1799" s="3482" t="s">
        <v>3838</v>
      </c>
    </row>
    <row r="1800" spans="1:7">
      <c r="A1800" s="3536">
        <v>1799</v>
      </c>
      <c r="B1800" s="3481" t="s">
        <v>3841</v>
      </c>
      <c r="C1800" s="3481" t="s">
        <v>3338</v>
      </c>
      <c r="D1800" s="3482">
        <v>25.96</v>
      </c>
      <c r="E1800" s="3519">
        <f t="shared" si="28"/>
        <v>4050.8089368258857</v>
      </c>
      <c r="F1800" s="3481">
        <v>105159</v>
      </c>
      <c r="G1800" s="3482" t="s">
        <v>3838</v>
      </c>
    </row>
    <row r="1801" spans="1:7">
      <c r="A1801" s="3536">
        <v>1800</v>
      </c>
      <c r="B1801" s="3481" t="s">
        <v>3797</v>
      </c>
      <c r="C1801" s="3481" t="s">
        <v>3338</v>
      </c>
      <c r="D1801" s="3482">
        <v>28.35</v>
      </c>
      <c r="E1801" s="3519">
        <f t="shared" si="28"/>
        <v>3527.3368606701938</v>
      </c>
      <c r="F1801" s="3481">
        <v>100000</v>
      </c>
      <c r="G1801" s="3482" t="s">
        <v>3796</v>
      </c>
    </row>
    <row r="1802" spans="1:7">
      <c r="A1802" s="3536">
        <v>1801</v>
      </c>
      <c r="B1802" s="3481" t="s">
        <v>3411</v>
      </c>
      <c r="C1802" s="3481" t="s">
        <v>3338</v>
      </c>
      <c r="D1802" s="3482">
        <v>188.35</v>
      </c>
      <c r="E1802" s="3519">
        <f t="shared" si="28"/>
        <v>13001.306079108044</v>
      </c>
      <c r="F1802" s="3481">
        <v>2448796</v>
      </c>
      <c r="G1802" s="3482" t="s">
        <v>3824</v>
      </c>
    </row>
    <row r="1803" spans="1:7">
      <c r="A1803" s="3536">
        <v>1802</v>
      </c>
      <c r="B1803" s="3481" t="s">
        <v>3842</v>
      </c>
      <c r="C1803" s="3481" t="s">
        <v>3338</v>
      </c>
      <c r="D1803" s="3482">
        <v>28.35</v>
      </c>
      <c r="E1803" s="3519">
        <f t="shared" si="28"/>
        <v>4050.8289241622574</v>
      </c>
      <c r="F1803" s="3481">
        <v>114841</v>
      </c>
      <c r="G1803" s="3482" t="s">
        <v>3838</v>
      </c>
    </row>
    <row r="1804" spans="1:7">
      <c r="A1804" s="3536">
        <v>1803</v>
      </c>
      <c r="B1804" s="3481" t="s">
        <v>7660</v>
      </c>
      <c r="C1804" s="3481" t="s">
        <v>3395</v>
      </c>
      <c r="D1804" s="3482">
        <v>83.54</v>
      </c>
      <c r="E1804" s="3519">
        <f t="shared" si="28"/>
        <v>34012.365333971749</v>
      </c>
      <c r="F1804" s="3481">
        <v>2841393</v>
      </c>
      <c r="G1804" s="3482" t="s">
        <v>7661</v>
      </c>
    </row>
    <row r="1805" spans="1:7">
      <c r="A1805" s="3536">
        <v>1804</v>
      </c>
      <c r="B1805" s="3481" t="s">
        <v>7677</v>
      </c>
      <c r="C1805" s="3481" t="s">
        <v>3395</v>
      </c>
      <c r="D1805" s="3482">
        <v>83.92</v>
      </c>
      <c r="E1805" s="3519">
        <f t="shared" si="28"/>
        <v>33484.270734032412</v>
      </c>
      <c r="F1805" s="3481">
        <v>2810000</v>
      </c>
      <c r="G1805" s="3482" t="s">
        <v>3788</v>
      </c>
    </row>
    <row r="1806" spans="1:7">
      <c r="A1806" s="3536">
        <v>1805</v>
      </c>
      <c r="B1806" s="3481" t="s">
        <v>7678</v>
      </c>
      <c r="C1806" s="3481" t="s">
        <v>3395</v>
      </c>
      <c r="D1806" s="3482">
        <v>83.54</v>
      </c>
      <c r="E1806" s="3519">
        <f t="shared" si="28"/>
        <v>34012.365333971749</v>
      </c>
      <c r="F1806" s="3481">
        <v>2841393</v>
      </c>
      <c r="G1806" s="3482" t="s">
        <v>3788</v>
      </c>
    </row>
    <row r="1807" spans="1:7">
      <c r="A1807" s="3536">
        <v>1806</v>
      </c>
      <c r="B1807" s="3481" t="s">
        <v>7596</v>
      </c>
      <c r="C1807" s="3481" t="s">
        <v>3395</v>
      </c>
      <c r="D1807" s="3482">
        <v>83.92</v>
      </c>
      <c r="E1807" s="3519">
        <f t="shared" si="28"/>
        <v>33846.782650142995</v>
      </c>
      <c r="F1807" s="3481">
        <v>2840422</v>
      </c>
      <c r="G1807" s="3482" t="s">
        <v>3720</v>
      </c>
    </row>
    <row r="1808" spans="1:7">
      <c r="A1808" s="3536">
        <v>1807</v>
      </c>
      <c r="B1808" s="3481" t="s">
        <v>6824</v>
      </c>
      <c r="C1808" s="3481" t="s">
        <v>3395</v>
      </c>
      <c r="D1808" s="3482">
        <v>83.54</v>
      </c>
      <c r="E1808" s="3519">
        <f t="shared" si="28"/>
        <v>27630.871438831695</v>
      </c>
      <c r="F1808" s="3481">
        <v>2308283</v>
      </c>
      <c r="G1808" s="3482" t="s">
        <v>3419</v>
      </c>
    </row>
    <row r="1809" spans="1:7">
      <c r="A1809" s="3536">
        <v>1808</v>
      </c>
      <c r="B1809" s="3481" t="s">
        <v>7375</v>
      </c>
      <c r="C1809" s="3481" t="s">
        <v>3395</v>
      </c>
      <c r="D1809" s="3482">
        <v>83.92</v>
      </c>
      <c r="E1809" s="3519">
        <f t="shared" si="28"/>
        <v>31577.69304099142</v>
      </c>
      <c r="F1809" s="3481">
        <v>2650000</v>
      </c>
      <c r="G1809" s="3482" t="s">
        <v>7374</v>
      </c>
    </row>
    <row r="1810" spans="1:7">
      <c r="A1810" s="3536">
        <v>1809</v>
      </c>
      <c r="B1810" s="3481" t="s">
        <v>7494</v>
      </c>
      <c r="C1810" s="3481" t="s">
        <v>3395</v>
      </c>
      <c r="D1810" s="3482">
        <v>73.760000000000005</v>
      </c>
      <c r="E1810" s="3519">
        <f t="shared" si="28"/>
        <v>36334.056399132322</v>
      </c>
      <c r="F1810" s="3481">
        <v>2680000</v>
      </c>
      <c r="G1810" s="3482" t="s">
        <v>7495</v>
      </c>
    </row>
    <row r="1811" spans="1:7">
      <c r="A1811" s="3536">
        <v>1810</v>
      </c>
      <c r="B1811" s="3481" t="s">
        <v>6911</v>
      </c>
      <c r="C1811" s="3481" t="s">
        <v>3395</v>
      </c>
      <c r="D1811" s="3482">
        <v>74.22</v>
      </c>
      <c r="E1811" s="3519">
        <f t="shared" si="28"/>
        <v>29439.504176771759</v>
      </c>
      <c r="F1811" s="3481">
        <v>2185000</v>
      </c>
      <c r="G1811" s="3482" t="s">
        <v>6910</v>
      </c>
    </row>
    <row r="1812" spans="1:7">
      <c r="A1812" s="3536">
        <v>1811</v>
      </c>
      <c r="B1812" s="3481" t="s">
        <v>7449</v>
      </c>
      <c r="C1812" s="3481" t="s">
        <v>5305</v>
      </c>
      <c r="D1812" s="3482">
        <v>73.040000000000006</v>
      </c>
      <c r="E1812" s="3519">
        <f t="shared" si="28"/>
        <v>38554.627601314343</v>
      </c>
      <c r="F1812" s="3481">
        <v>2816030</v>
      </c>
      <c r="G1812" s="3482" t="s">
        <v>3557</v>
      </c>
    </row>
    <row r="1813" spans="1:7">
      <c r="A1813" s="3536">
        <v>1812</v>
      </c>
      <c r="B1813" s="3481" t="s">
        <v>3561</v>
      </c>
      <c r="C1813" s="3481" t="s">
        <v>3338</v>
      </c>
      <c r="D1813" s="3482">
        <v>97.81</v>
      </c>
      <c r="E1813" s="3519">
        <f t="shared" si="28"/>
        <v>11944.668234331868</v>
      </c>
      <c r="F1813" s="3481">
        <v>1168308</v>
      </c>
      <c r="G1813" s="3482" t="s">
        <v>3557</v>
      </c>
    </row>
    <row r="1814" spans="1:7">
      <c r="A1814" s="3536">
        <v>1813</v>
      </c>
      <c r="B1814" s="3481" t="s">
        <v>7292</v>
      </c>
      <c r="C1814" s="3481" t="s">
        <v>5318</v>
      </c>
      <c r="D1814" s="3482">
        <v>189.04</v>
      </c>
      <c r="E1814" s="3519">
        <f t="shared" si="28"/>
        <v>25867.541261108759</v>
      </c>
      <c r="F1814" s="3481">
        <v>4890000</v>
      </c>
      <c r="G1814" s="3482" t="s">
        <v>3514</v>
      </c>
    </row>
    <row r="1815" spans="1:7">
      <c r="A1815" s="3536">
        <v>1814</v>
      </c>
      <c r="B1815" s="3481" t="s">
        <v>3513</v>
      </c>
      <c r="C1815" s="3481" t="s">
        <v>3338</v>
      </c>
      <c r="D1815" s="3482">
        <v>12.64</v>
      </c>
      <c r="E1815" s="3519">
        <f t="shared" si="28"/>
        <v>7911.3924050632904</v>
      </c>
      <c r="F1815" s="3481">
        <v>100000</v>
      </c>
      <c r="G1815" s="3482" t="s">
        <v>3514</v>
      </c>
    </row>
    <row r="1816" spans="1:7">
      <c r="A1816" s="3536">
        <v>1815</v>
      </c>
      <c r="B1816" s="3481" t="s">
        <v>3562</v>
      </c>
      <c r="C1816" s="3481" t="s">
        <v>3338</v>
      </c>
      <c r="D1816" s="3482">
        <v>188.33</v>
      </c>
      <c r="E1816" s="3519">
        <f t="shared" si="28"/>
        <v>11806.998353953166</v>
      </c>
      <c r="F1816" s="3481">
        <v>2223612</v>
      </c>
      <c r="G1816" s="3482" t="s">
        <v>3557</v>
      </c>
    </row>
    <row r="1817" spans="1:7">
      <c r="A1817" s="3536">
        <v>1816</v>
      </c>
      <c r="B1817" s="3481" t="s">
        <v>3515</v>
      </c>
      <c r="C1817" s="3481" t="s">
        <v>3338</v>
      </c>
      <c r="D1817" s="3482">
        <v>53.52</v>
      </c>
      <c r="E1817" s="3519">
        <f t="shared" si="28"/>
        <v>1868.4603886397608</v>
      </c>
      <c r="F1817" s="3481">
        <v>100000</v>
      </c>
      <c r="G1817" s="3482" t="s">
        <v>3514</v>
      </c>
    </row>
    <row r="1818" spans="1:7">
      <c r="A1818" s="3536">
        <v>1817</v>
      </c>
      <c r="B1818" s="3481" t="s">
        <v>6896</v>
      </c>
      <c r="C1818" s="3481" t="s">
        <v>3395</v>
      </c>
      <c r="D1818" s="3482">
        <v>83.91</v>
      </c>
      <c r="E1818" s="3519">
        <f t="shared" si="28"/>
        <v>29138.362531283517</v>
      </c>
      <c r="F1818" s="3481">
        <v>2445000</v>
      </c>
      <c r="G1818" s="3482" t="s">
        <v>3437</v>
      </c>
    </row>
    <row r="1819" spans="1:7">
      <c r="A1819" s="3536">
        <v>1818</v>
      </c>
      <c r="B1819" s="3481" t="s">
        <v>6864</v>
      </c>
      <c r="C1819" s="3481" t="s">
        <v>3395</v>
      </c>
      <c r="D1819" s="3482">
        <v>83.53</v>
      </c>
      <c r="E1819" s="3519">
        <f t="shared" si="28"/>
        <v>28679.588171914282</v>
      </c>
      <c r="F1819" s="3481">
        <v>2395606</v>
      </c>
      <c r="G1819" s="3482" t="s">
        <v>6863</v>
      </c>
    </row>
    <row r="1820" spans="1:7">
      <c r="A1820" s="3536">
        <v>1819</v>
      </c>
      <c r="B1820" s="3481" t="s">
        <v>6851</v>
      </c>
      <c r="C1820" s="3481" t="s">
        <v>3395</v>
      </c>
      <c r="D1820" s="3482">
        <v>83.91</v>
      </c>
      <c r="E1820" s="3519">
        <f t="shared" si="28"/>
        <v>28701.501608866645</v>
      </c>
      <c r="F1820" s="3481">
        <v>2408343</v>
      </c>
      <c r="G1820" s="3482" t="s">
        <v>6850</v>
      </c>
    </row>
    <row r="1821" spans="1:7">
      <c r="A1821" s="3536">
        <v>1820</v>
      </c>
      <c r="B1821" s="3481" t="s">
        <v>6825</v>
      </c>
      <c r="C1821" s="3481" t="s">
        <v>3395</v>
      </c>
      <c r="D1821" s="3482">
        <v>83.53</v>
      </c>
      <c r="E1821" s="3519">
        <f t="shared" si="28"/>
        <v>28832.072309349933</v>
      </c>
      <c r="F1821" s="3481">
        <v>2408343</v>
      </c>
      <c r="G1821" s="3482" t="s">
        <v>3419</v>
      </c>
    </row>
    <row r="1822" spans="1:7">
      <c r="A1822" s="3536">
        <v>1821</v>
      </c>
      <c r="B1822" s="3481" t="s">
        <v>6834</v>
      </c>
      <c r="C1822" s="3481" t="s">
        <v>3395</v>
      </c>
      <c r="D1822" s="3482">
        <v>83.91</v>
      </c>
      <c r="E1822" s="3519">
        <f t="shared" si="28"/>
        <v>27648.67119532833</v>
      </c>
      <c r="F1822" s="3481">
        <v>2320000</v>
      </c>
      <c r="G1822" s="3482" t="s">
        <v>3423</v>
      </c>
    </row>
    <row r="1823" spans="1:7">
      <c r="A1823" s="3536">
        <v>1822</v>
      </c>
      <c r="B1823" s="3481" t="s">
        <v>7433</v>
      </c>
      <c r="C1823" s="3481" t="s">
        <v>3395</v>
      </c>
      <c r="D1823" s="3482">
        <v>74.209999999999994</v>
      </c>
      <c r="E1823" s="3519">
        <f t="shared" si="28"/>
        <v>36103.840452769175</v>
      </c>
      <c r="F1823" s="3481">
        <v>2679266</v>
      </c>
      <c r="G1823" s="3482" t="s">
        <v>7434</v>
      </c>
    </row>
    <row r="1824" spans="1:7">
      <c r="A1824" s="3536">
        <v>1823</v>
      </c>
      <c r="B1824" s="3481" t="s">
        <v>7287</v>
      </c>
      <c r="C1824" s="3481" t="s">
        <v>3395</v>
      </c>
      <c r="D1824" s="3482">
        <v>73.75</v>
      </c>
      <c r="E1824" s="3519">
        <f t="shared" si="28"/>
        <v>28361.003389830508</v>
      </c>
      <c r="F1824" s="3481">
        <v>2091624</v>
      </c>
      <c r="G1824" s="3482" t="s">
        <v>3506</v>
      </c>
    </row>
    <row r="1825" spans="1:7">
      <c r="A1825" s="3536">
        <v>1824</v>
      </c>
      <c r="B1825" s="3481" t="s">
        <v>7481</v>
      </c>
      <c r="C1825" s="3481" t="s">
        <v>5318</v>
      </c>
      <c r="D1825" s="3482">
        <v>178.25</v>
      </c>
      <c r="E1825" s="3519">
        <f t="shared" si="28"/>
        <v>27454.126227208977</v>
      </c>
      <c r="F1825" s="3481">
        <v>4893698</v>
      </c>
      <c r="G1825" s="3482" t="s">
        <v>3585</v>
      </c>
    </row>
    <row r="1826" spans="1:7">
      <c r="A1826" s="3536">
        <v>1825</v>
      </c>
      <c r="B1826" s="3481" t="s">
        <v>3584</v>
      </c>
      <c r="C1826" s="3481" t="s">
        <v>3338</v>
      </c>
      <c r="D1826" s="3482">
        <v>23.83</v>
      </c>
      <c r="E1826" s="3519">
        <f t="shared" si="28"/>
        <v>4211.8338229122955</v>
      </c>
      <c r="F1826" s="3481">
        <v>100368</v>
      </c>
      <c r="G1826" s="3482" t="s">
        <v>3585</v>
      </c>
    </row>
    <row r="1827" spans="1:7">
      <c r="A1827" s="3536">
        <v>1826</v>
      </c>
      <c r="B1827" s="3481" t="s">
        <v>3586</v>
      </c>
      <c r="C1827" s="3481" t="s">
        <v>3338</v>
      </c>
      <c r="D1827" s="3482">
        <v>28.53</v>
      </c>
      <c r="E1827" s="3519">
        <f t="shared" si="28"/>
        <v>3517.9810725552047</v>
      </c>
      <c r="F1827" s="3481">
        <v>100368</v>
      </c>
      <c r="G1827" s="3482" t="s">
        <v>3585</v>
      </c>
    </row>
    <row r="1828" spans="1:7">
      <c r="A1828" s="3536">
        <v>1827</v>
      </c>
      <c r="B1828" s="3481" t="s">
        <v>6876</v>
      </c>
      <c r="C1828" s="3481" t="s">
        <v>3395</v>
      </c>
      <c r="D1828" s="3482">
        <v>83.53</v>
      </c>
      <c r="E1828" s="3519">
        <f t="shared" si="28"/>
        <v>29211.061893930324</v>
      </c>
      <c r="F1828" s="3481">
        <v>2440000</v>
      </c>
      <c r="G1828" s="3482" t="s">
        <v>6870</v>
      </c>
    </row>
    <row r="1829" spans="1:7">
      <c r="A1829" s="3536">
        <v>1828</v>
      </c>
      <c r="B1829" s="3481" t="s">
        <v>6826</v>
      </c>
      <c r="C1829" s="3481" t="s">
        <v>3395</v>
      </c>
      <c r="D1829" s="3482">
        <v>83.53</v>
      </c>
      <c r="E1829" s="3519">
        <f t="shared" si="28"/>
        <v>28978.21142104633</v>
      </c>
      <c r="F1829" s="3481">
        <v>2420550</v>
      </c>
      <c r="G1829" s="3482" t="s">
        <v>3419</v>
      </c>
    </row>
    <row r="1830" spans="1:7">
      <c r="A1830" s="3536">
        <v>1829</v>
      </c>
      <c r="B1830" s="3481" t="s">
        <v>6827</v>
      </c>
      <c r="C1830" s="3481" t="s">
        <v>3395</v>
      </c>
      <c r="D1830" s="3482">
        <v>83.53</v>
      </c>
      <c r="E1830" s="3519">
        <f t="shared" si="28"/>
        <v>27894.169759367891</v>
      </c>
      <c r="F1830" s="3481">
        <v>2330000</v>
      </c>
      <c r="G1830" s="3482" t="s">
        <v>3419</v>
      </c>
    </row>
    <row r="1831" spans="1:7">
      <c r="A1831" s="3536">
        <v>1830</v>
      </c>
      <c r="B1831" s="3481" t="s">
        <v>6958</v>
      </c>
      <c r="C1831" s="3481" t="s">
        <v>3395</v>
      </c>
      <c r="D1831" s="3482">
        <v>73.75</v>
      </c>
      <c r="E1831" s="3519">
        <f t="shared" si="28"/>
        <v>27796.610169491527</v>
      </c>
      <c r="F1831" s="3481">
        <v>2050000</v>
      </c>
      <c r="G1831" s="3482" t="s">
        <v>6955</v>
      </c>
    </row>
    <row r="1832" spans="1:7">
      <c r="A1832" s="3536">
        <v>1831</v>
      </c>
      <c r="B1832" s="3481" t="s">
        <v>6803</v>
      </c>
      <c r="C1832" s="3481" t="s">
        <v>3395</v>
      </c>
      <c r="D1832" s="3482">
        <v>73.75</v>
      </c>
      <c r="E1832" s="3519">
        <f t="shared" si="28"/>
        <v>27796.610169491527</v>
      </c>
      <c r="F1832" s="3481">
        <v>2050000</v>
      </c>
      <c r="G1832" s="3482" t="s">
        <v>3506</v>
      </c>
    </row>
    <row r="1833" spans="1:7">
      <c r="A1833" s="3536">
        <v>1832</v>
      </c>
      <c r="B1833" s="3481" t="s">
        <v>7403</v>
      </c>
      <c r="C1833" s="3481" t="s">
        <v>5318</v>
      </c>
      <c r="D1833" s="3482">
        <v>189.44</v>
      </c>
      <c r="E1833" s="3519">
        <f t="shared" si="28"/>
        <v>25807.20016891892</v>
      </c>
      <c r="F1833" s="3481">
        <v>4888916</v>
      </c>
      <c r="G1833" s="3482" t="s">
        <v>3534</v>
      </c>
    </row>
    <row r="1834" spans="1:7">
      <c r="A1834" s="3536">
        <v>1833</v>
      </c>
      <c r="B1834" s="3481" t="s">
        <v>3533</v>
      </c>
      <c r="C1834" s="3481" t="s">
        <v>3338</v>
      </c>
      <c r="D1834" s="3482">
        <v>12.64</v>
      </c>
      <c r="E1834" s="3519">
        <f t="shared" si="28"/>
        <v>8218.1170886075943</v>
      </c>
      <c r="F1834" s="3481">
        <v>103877</v>
      </c>
      <c r="G1834" s="3482" t="s">
        <v>3534</v>
      </c>
    </row>
    <row r="1835" spans="1:7">
      <c r="A1835" s="3536">
        <v>1834</v>
      </c>
      <c r="B1835" s="3481" t="s">
        <v>7452</v>
      </c>
      <c r="C1835" s="3481" t="s">
        <v>5318</v>
      </c>
      <c r="D1835" s="3482">
        <v>189.04</v>
      </c>
      <c r="E1835" s="3519">
        <f t="shared" si="28"/>
        <v>25861.807024968261</v>
      </c>
      <c r="F1835" s="3481">
        <v>4888916</v>
      </c>
      <c r="G1835" s="3482" t="s">
        <v>3568</v>
      </c>
    </row>
    <row r="1836" spans="1:7">
      <c r="A1836" s="3536">
        <v>1835</v>
      </c>
      <c r="B1836" s="3481" t="s">
        <v>3570</v>
      </c>
      <c r="C1836" s="3481" t="s">
        <v>3338</v>
      </c>
      <c r="D1836" s="3482">
        <v>12.64</v>
      </c>
      <c r="E1836" s="3519">
        <f t="shared" si="28"/>
        <v>8135.9177215189866</v>
      </c>
      <c r="F1836" s="3481">
        <v>102838</v>
      </c>
      <c r="G1836" s="3482" t="s">
        <v>3568</v>
      </c>
    </row>
    <row r="1837" spans="1:7">
      <c r="A1837" s="3536">
        <v>1836</v>
      </c>
      <c r="B1837" s="3481" t="s">
        <v>3535</v>
      </c>
      <c r="C1837" s="3481" t="s">
        <v>3338</v>
      </c>
      <c r="D1837" s="3482">
        <v>55.18</v>
      </c>
      <c r="E1837" s="3519">
        <f t="shared" si="28"/>
        <v>1882.5117796303009</v>
      </c>
      <c r="F1837" s="3481">
        <v>103877</v>
      </c>
      <c r="G1837" s="3482" t="s">
        <v>3534</v>
      </c>
    </row>
    <row r="1838" spans="1:7">
      <c r="A1838" s="3536">
        <v>1837</v>
      </c>
      <c r="B1838" s="3481" t="s">
        <v>3571</v>
      </c>
      <c r="C1838" s="3481" t="s">
        <v>3338</v>
      </c>
      <c r="D1838" s="3482">
        <v>53.52</v>
      </c>
      <c r="E1838" s="3519">
        <f t="shared" si="28"/>
        <v>1921.487294469357</v>
      </c>
      <c r="F1838" s="3481">
        <v>102838</v>
      </c>
      <c r="G1838" s="3482" t="s">
        <v>3568</v>
      </c>
    </row>
    <row r="1839" spans="1:7">
      <c r="A1839" s="3536">
        <v>1838</v>
      </c>
      <c r="B1839" s="3481" t="s">
        <v>6883</v>
      </c>
      <c r="C1839" s="3481" t="s">
        <v>3395</v>
      </c>
      <c r="D1839" s="3482">
        <v>83.53</v>
      </c>
      <c r="E1839" s="3519">
        <f t="shared" si="28"/>
        <v>29270.920627319527</v>
      </c>
      <c r="F1839" s="3481">
        <v>2445000</v>
      </c>
      <c r="G1839" s="3482" t="s">
        <v>6882</v>
      </c>
    </row>
    <row r="1840" spans="1:7">
      <c r="A1840" s="3536">
        <v>1839</v>
      </c>
      <c r="B1840" s="3481" t="s">
        <v>6839</v>
      </c>
      <c r="C1840" s="3481" t="s">
        <v>3395</v>
      </c>
      <c r="D1840" s="3482">
        <v>83.53</v>
      </c>
      <c r="E1840" s="3519">
        <f t="shared" si="28"/>
        <v>28978.21142104633</v>
      </c>
      <c r="F1840" s="3481">
        <v>2420550</v>
      </c>
      <c r="G1840" s="3482" t="s">
        <v>3426</v>
      </c>
    </row>
    <row r="1841" spans="1:7">
      <c r="A1841" s="3536">
        <v>1840</v>
      </c>
      <c r="B1841" s="3481" t="s">
        <v>6840</v>
      </c>
      <c r="C1841" s="3481" t="s">
        <v>3395</v>
      </c>
      <c r="D1841" s="3482">
        <v>83.53</v>
      </c>
      <c r="E1841" s="3519">
        <f t="shared" si="28"/>
        <v>29426.553334131448</v>
      </c>
      <c r="F1841" s="3481">
        <v>2458000</v>
      </c>
      <c r="G1841" s="3482" t="s">
        <v>3426</v>
      </c>
    </row>
    <row r="1842" spans="1:7">
      <c r="A1842" s="3536">
        <v>1841</v>
      </c>
      <c r="B1842" s="3481" t="s">
        <v>7297</v>
      </c>
      <c r="C1842" s="3481" t="s">
        <v>3395</v>
      </c>
      <c r="D1842" s="3482">
        <v>73.75</v>
      </c>
      <c r="E1842" s="3519">
        <f t="shared" si="28"/>
        <v>28361.003389830508</v>
      </c>
      <c r="F1842" s="3481">
        <v>2091624</v>
      </c>
      <c r="G1842" s="3482" t="s">
        <v>7296</v>
      </c>
    </row>
    <row r="1843" spans="1:7">
      <c r="A1843" s="3536">
        <v>1842</v>
      </c>
      <c r="B1843" s="3481" t="s">
        <v>7310</v>
      </c>
      <c r="C1843" s="3481" t="s">
        <v>3395</v>
      </c>
      <c r="D1843" s="3482">
        <v>73.75</v>
      </c>
      <c r="E1843" s="3519">
        <f t="shared" si="28"/>
        <v>28361.003389830508</v>
      </c>
      <c r="F1843" s="3481">
        <v>2091624</v>
      </c>
      <c r="G1843" s="3482" t="s">
        <v>7311</v>
      </c>
    </row>
    <row r="1844" spans="1:7">
      <c r="A1844" s="3536">
        <v>1843</v>
      </c>
      <c r="B1844" s="3481" t="s">
        <v>7496</v>
      </c>
      <c r="C1844" s="3481" t="s">
        <v>5318</v>
      </c>
      <c r="D1844" s="3482">
        <v>178.25</v>
      </c>
      <c r="E1844" s="3519">
        <f t="shared" si="28"/>
        <v>28644.6507713885</v>
      </c>
      <c r="F1844" s="3481">
        <v>5105909</v>
      </c>
      <c r="G1844" s="3482" t="s">
        <v>3606</v>
      </c>
    </row>
    <row r="1845" spans="1:7">
      <c r="A1845" s="3536">
        <v>1844</v>
      </c>
      <c r="B1845" s="3481" t="s">
        <v>3605</v>
      </c>
      <c r="C1845" s="3481" t="s">
        <v>3338</v>
      </c>
      <c r="D1845" s="3482">
        <v>23.83</v>
      </c>
      <c r="E1845" s="3519">
        <f t="shared" si="28"/>
        <v>4631.4729332773813</v>
      </c>
      <c r="F1845" s="3481">
        <v>110368</v>
      </c>
      <c r="G1845" s="3482" t="s">
        <v>3606</v>
      </c>
    </row>
    <row r="1846" spans="1:7">
      <c r="A1846" s="3536">
        <v>1845</v>
      </c>
      <c r="B1846" s="3481" t="s">
        <v>3607</v>
      </c>
      <c r="C1846" s="3481" t="s">
        <v>3338</v>
      </c>
      <c r="D1846" s="3482">
        <v>28.53</v>
      </c>
      <c r="E1846" s="3519">
        <f t="shared" si="28"/>
        <v>3868.4893094987729</v>
      </c>
      <c r="F1846" s="3481">
        <v>110368</v>
      </c>
      <c r="G1846" s="3482" t="s">
        <v>3606</v>
      </c>
    </row>
    <row r="1847" spans="1:7">
      <c r="A1847" s="3536">
        <v>1846</v>
      </c>
      <c r="B1847" s="3481" t="s">
        <v>6877</v>
      </c>
      <c r="C1847" s="3481" t="s">
        <v>3395</v>
      </c>
      <c r="D1847" s="3482">
        <v>83.53</v>
      </c>
      <c r="E1847" s="3519">
        <f t="shared" si="28"/>
        <v>28978.21142104633</v>
      </c>
      <c r="F1847" s="3481">
        <v>2420550</v>
      </c>
      <c r="G1847" s="3482" t="s">
        <v>6870</v>
      </c>
    </row>
    <row r="1848" spans="1:7">
      <c r="A1848" s="3536">
        <v>1847</v>
      </c>
      <c r="B1848" s="3481" t="s">
        <v>6904</v>
      </c>
      <c r="C1848" s="3481" t="s">
        <v>3395</v>
      </c>
      <c r="D1848" s="3482">
        <v>83.53</v>
      </c>
      <c r="E1848" s="3519">
        <f t="shared" si="28"/>
        <v>29270.920627319527</v>
      </c>
      <c r="F1848" s="3481">
        <v>2445000</v>
      </c>
      <c r="G1848" s="3482" t="s">
        <v>3444</v>
      </c>
    </row>
    <row r="1849" spans="1:7">
      <c r="A1849" s="3536">
        <v>1848</v>
      </c>
      <c r="B1849" s="3481" t="s">
        <v>7426</v>
      </c>
      <c r="C1849" s="3481" t="s">
        <v>3395</v>
      </c>
      <c r="D1849" s="3482">
        <v>73.75</v>
      </c>
      <c r="E1849" s="3519">
        <f t="shared" si="28"/>
        <v>35962.074576271189</v>
      </c>
      <c r="F1849" s="3481">
        <v>2652203</v>
      </c>
      <c r="G1849" s="3482" t="s">
        <v>7423</v>
      </c>
    </row>
    <row r="1850" spans="1:7">
      <c r="A1850" s="3536">
        <v>1849</v>
      </c>
      <c r="B1850" s="3481" t="s">
        <v>7437</v>
      </c>
      <c r="C1850" s="3481" t="s">
        <v>3395</v>
      </c>
      <c r="D1850" s="3482">
        <v>73.75</v>
      </c>
      <c r="E1850" s="3519">
        <f t="shared" si="28"/>
        <v>36043.959322033901</v>
      </c>
      <c r="F1850" s="3481">
        <v>2658242</v>
      </c>
      <c r="G1850" s="3482" t="s">
        <v>7438</v>
      </c>
    </row>
    <row r="1851" spans="1:7">
      <c r="A1851" s="3536">
        <v>1850</v>
      </c>
      <c r="B1851" s="3481" t="s">
        <v>7492</v>
      </c>
      <c r="C1851" s="3481" t="s">
        <v>5318</v>
      </c>
      <c r="D1851" s="3482">
        <v>189.04</v>
      </c>
      <c r="E1851" s="3519">
        <f t="shared" si="28"/>
        <v>25858.469107067289</v>
      </c>
      <c r="F1851" s="3481">
        <v>4888285</v>
      </c>
      <c r="G1851" s="3482" t="s">
        <v>3600</v>
      </c>
    </row>
    <row r="1852" spans="1:7">
      <c r="A1852" s="3536">
        <v>1851</v>
      </c>
      <c r="B1852" s="3481" t="s">
        <v>3599</v>
      </c>
      <c r="C1852" s="3481" t="s">
        <v>3338</v>
      </c>
      <c r="D1852" s="3482">
        <v>12.64</v>
      </c>
      <c r="E1852" s="3519">
        <f t="shared" si="28"/>
        <v>8194.2246835443038</v>
      </c>
      <c r="F1852" s="3481">
        <v>103575</v>
      </c>
      <c r="G1852" s="3482" t="s">
        <v>3600</v>
      </c>
    </row>
    <row r="1853" spans="1:7">
      <c r="A1853" s="3536">
        <v>1852</v>
      </c>
      <c r="B1853" s="3481" t="s">
        <v>7544</v>
      </c>
      <c r="C1853" s="3481" t="s">
        <v>5305</v>
      </c>
      <c r="D1853" s="3482">
        <v>73.42</v>
      </c>
      <c r="E1853" s="3519">
        <f t="shared" si="28"/>
        <v>38742.508853173524</v>
      </c>
      <c r="F1853" s="3481">
        <v>2844475</v>
      </c>
      <c r="G1853" s="3482" t="s">
        <v>3662</v>
      </c>
    </row>
    <row r="1854" spans="1:7">
      <c r="A1854" s="3536">
        <v>1853</v>
      </c>
      <c r="B1854" s="3481" t="s">
        <v>3661</v>
      </c>
      <c r="C1854" s="3481" t="s">
        <v>3338</v>
      </c>
      <c r="D1854" s="3482">
        <v>99.22</v>
      </c>
      <c r="E1854" s="3519">
        <f t="shared" si="28"/>
        <v>11653.577907679903</v>
      </c>
      <c r="F1854" s="3481">
        <v>1156268</v>
      </c>
      <c r="G1854" s="3482" t="s">
        <v>3662</v>
      </c>
    </row>
    <row r="1855" spans="1:7">
      <c r="A1855" s="3536">
        <v>1854</v>
      </c>
      <c r="B1855" s="3481" t="s">
        <v>7528</v>
      </c>
      <c r="C1855" s="3481" t="s">
        <v>5318</v>
      </c>
      <c r="D1855" s="3482">
        <v>169.07</v>
      </c>
      <c r="E1855" s="3519">
        <f t="shared" si="28"/>
        <v>28912.787602768087</v>
      </c>
      <c r="F1855" s="3481">
        <v>4888285</v>
      </c>
      <c r="G1855" s="3482" t="s">
        <v>3645</v>
      </c>
    </row>
    <row r="1856" spans="1:7">
      <c r="A1856" s="3536">
        <v>1855</v>
      </c>
      <c r="B1856" s="3481" t="s">
        <v>3651</v>
      </c>
      <c r="C1856" s="3481" t="s">
        <v>3338</v>
      </c>
      <c r="D1856" s="3482">
        <v>12.64</v>
      </c>
      <c r="E1856" s="3519">
        <f t="shared" si="28"/>
        <v>8194.2246835443038</v>
      </c>
      <c r="F1856" s="3481">
        <v>103575</v>
      </c>
      <c r="G1856" s="3482" t="s">
        <v>3645</v>
      </c>
    </row>
    <row r="1857" spans="1:7">
      <c r="A1857" s="3536">
        <v>1856</v>
      </c>
      <c r="B1857" s="3481" t="s">
        <v>3601</v>
      </c>
      <c r="C1857" s="3481" t="s">
        <v>3338</v>
      </c>
      <c r="D1857" s="3482">
        <v>53.52</v>
      </c>
      <c r="E1857" s="3519">
        <f t="shared" si="28"/>
        <v>1935.2578475336322</v>
      </c>
      <c r="F1857" s="3481">
        <v>103575</v>
      </c>
      <c r="G1857" s="3482" t="s">
        <v>3600</v>
      </c>
    </row>
    <row r="1858" spans="1:7">
      <c r="A1858" s="3536">
        <v>1857</v>
      </c>
      <c r="B1858" s="3481" t="s">
        <v>3663</v>
      </c>
      <c r="C1858" s="3481" t="s">
        <v>3338</v>
      </c>
      <c r="D1858" s="3482">
        <v>189.73</v>
      </c>
      <c r="E1858" s="3519">
        <f t="shared" si="28"/>
        <v>11599.098719232594</v>
      </c>
      <c r="F1858" s="3481">
        <v>2200697</v>
      </c>
      <c r="G1858" s="3482" t="s">
        <v>3662</v>
      </c>
    </row>
    <row r="1859" spans="1:7">
      <c r="A1859" s="3536">
        <v>1858</v>
      </c>
      <c r="B1859" s="3481" t="s">
        <v>3652</v>
      </c>
      <c r="C1859" s="3481" t="s">
        <v>3338</v>
      </c>
      <c r="D1859" s="3482">
        <v>45.41</v>
      </c>
      <c r="E1859" s="3519">
        <f t="shared" ref="E1859:E1922" si="29">F1859/D1859</f>
        <v>2280.8852675622111</v>
      </c>
      <c r="F1859" s="3481">
        <v>103575</v>
      </c>
      <c r="G1859" s="3482" t="s">
        <v>3645</v>
      </c>
    </row>
    <row r="1860" spans="1:7">
      <c r="A1860" s="3536">
        <v>1859</v>
      </c>
      <c r="B1860" s="3481" t="s">
        <v>6916</v>
      </c>
      <c r="C1860" s="3481" t="s">
        <v>3395</v>
      </c>
      <c r="D1860" s="3482">
        <v>83.53</v>
      </c>
      <c r="E1860" s="3519">
        <f t="shared" si="29"/>
        <v>29211.061893930324</v>
      </c>
      <c r="F1860" s="3481">
        <v>2440000</v>
      </c>
      <c r="G1860" s="3482" t="s">
        <v>6917</v>
      </c>
    </row>
    <row r="1861" spans="1:7">
      <c r="A1861" s="3536">
        <v>1860</v>
      </c>
      <c r="B1861" s="3481" t="s">
        <v>6905</v>
      </c>
      <c r="C1861" s="3481" t="s">
        <v>3395</v>
      </c>
      <c r="D1861" s="3482">
        <v>83.91</v>
      </c>
      <c r="E1861" s="3519">
        <f t="shared" si="29"/>
        <v>29257.537838159933</v>
      </c>
      <c r="F1861" s="3481">
        <v>2455000</v>
      </c>
      <c r="G1861" s="3482" t="s">
        <v>3444</v>
      </c>
    </row>
    <row r="1862" spans="1:7">
      <c r="A1862" s="3536">
        <v>1861</v>
      </c>
      <c r="B1862" s="3481" t="s">
        <v>7205</v>
      </c>
      <c r="C1862" s="3481" t="s">
        <v>3395</v>
      </c>
      <c r="D1862" s="3482">
        <v>83.91</v>
      </c>
      <c r="E1862" s="3519">
        <f t="shared" si="29"/>
        <v>29155.02323918484</v>
      </c>
      <c r="F1862" s="3481">
        <v>2446398</v>
      </c>
      <c r="G1862" s="3482" t="s">
        <v>7192</v>
      </c>
    </row>
    <row r="1863" spans="1:7">
      <c r="A1863" s="3536">
        <v>1862</v>
      </c>
      <c r="B1863" s="3481" t="s">
        <v>7455</v>
      </c>
      <c r="C1863" s="3481" t="s">
        <v>3395</v>
      </c>
      <c r="D1863" s="3482">
        <v>73.75</v>
      </c>
      <c r="E1863" s="3519">
        <f t="shared" si="29"/>
        <v>35602.4406779661</v>
      </c>
      <c r="F1863" s="3481">
        <v>2625680</v>
      </c>
      <c r="G1863" s="3482" t="s">
        <v>7456</v>
      </c>
    </row>
    <row r="1864" spans="1:7">
      <c r="A1864" s="3536">
        <v>1863</v>
      </c>
      <c r="B1864" s="3481" t="s">
        <v>7451</v>
      </c>
      <c r="C1864" s="3481" t="s">
        <v>3395</v>
      </c>
      <c r="D1864" s="3482">
        <v>74.209999999999994</v>
      </c>
      <c r="E1864" s="3519">
        <f t="shared" si="29"/>
        <v>35381.75448052823</v>
      </c>
      <c r="F1864" s="3481">
        <v>2625680</v>
      </c>
      <c r="G1864" s="3482" t="s">
        <v>3565</v>
      </c>
    </row>
    <row r="1865" spans="1:7">
      <c r="A1865" s="3536">
        <v>1864</v>
      </c>
      <c r="B1865" s="3481" t="s">
        <v>6996</v>
      </c>
      <c r="C1865" s="3481" t="s">
        <v>3395</v>
      </c>
      <c r="D1865" s="3482">
        <v>85.94</v>
      </c>
      <c r="E1865" s="3519">
        <f t="shared" si="29"/>
        <v>28566.44170351408</v>
      </c>
      <c r="F1865" s="3481">
        <v>2455000</v>
      </c>
      <c r="G1865" s="3482" t="s">
        <v>6993</v>
      </c>
    </row>
    <row r="1866" spans="1:7">
      <c r="A1866" s="3536">
        <v>1865</v>
      </c>
      <c r="B1866" s="3481" t="s">
        <v>6975</v>
      </c>
      <c r="C1866" s="3481" t="s">
        <v>3395</v>
      </c>
      <c r="D1866" s="3482">
        <v>85.94</v>
      </c>
      <c r="E1866" s="3519">
        <f t="shared" si="29"/>
        <v>28854.991854782405</v>
      </c>
      <c r="F1866" s="3481">
        <v>2479798</v>
      </c>
      <c r="G1866" s="3482" t="s">
        <v>6971</v>
      </c>
    </row>
    <row r="1867" spans="1:7">
      <c r="A1867" s="3536">
        <v>1866</v>
      </c>
      <c r="B1867" s="3481" t="s">
        <v>6997</v>
      </c>
      <c r="C1867" s="3481" t="s">
        <v>3395</v>
      </c>
      <c r="D1867" s="3482">
        <v>85.56</v>
      </c>
      <c r="E1867" s="3519">
        <f t="shared" si="29"/>
        <v>28459.560542309489</v>
      </c>
      <c r="F1867" s="3481">
        <v>2435000</v>
      </c>
      <c r="G1867" s="3482" t="s">
        <v>6993</v>
      </c>
    </row>
    <row r="1868" spans="1:7">
      <c r="A1868" s="3536">
        <v>1867</v>
      </c>
      <c r="B1868" s="3481" t="s">
        <v>6959</v>
      </c>
      <c r="C1868" s="3481" t="s">
        <v>3395</v>
      </c>
      <c r="D1868" s="3482">
        <v>85.94</v>
      </c>
      <c r="E1868" s="3519">
        <f t="shared" si="29"/>
        <v>28740.982080521295</v>
      </c>
      <c r="F1868" s="3481">
        <v>2470000</v>
      </c>
      <c r="G1868" s="3482" t="s">
        <v>6955</v>
      </c>
    </row>
    <row r="1869" spans="1:7">
      <c r="A1869" s="3536">
        <v>1868</v>
      </c>
      <c r="B1869" s="3481" t="s">
        <v>6935</v>
      </c>
      <c r="C1869" s="3481" t="s">
        <v>3395</v>
      </c>
      <c r="D1869" s="3482">
        <v>85.61</v>
      </c>
      <c r="E1869" s="3519">
        <f t="shared" si="29"/>
        <v>28618.152085036796</v>
      </c>
      <c r="F1869" s="3481">
        <v>2450000</v>
      </c>
      <c r="G1869" s="3482" t="s">
        <v>6934</v>
      </c>
    </row>
    <row r="1870" spans="1:7">
      <c r="A1870" s="3536">
        <v>1869</v>
      </c>
      <c r="B1870" s="3481" t="s">
        <v>6976</v>
      </c>
      <c r="C1870" s="3481" t="s">
        <v>3395</v>
      </c>
      <c r="D1870" s="3482">
        <v>85.56</v>
      </c>
      <c r="E1870" s="3519">
        <f t="shared" si="29"/>
        <v>28459.560542309489</v>
      </c>
      <c r="F1870" s="3481">
        <v>2435000</v>
      </c>
      <c r="G1870" s="3482" t="s">
        <v>6971</v>
      </c>
    </row>
    <row r="1871" spans="1:7">
      <c r="A1871" s="3536">
        <v>1870</v>
      </c>
      <c r="B1871" s="3481" t="s">
        <v>7022</v>
      </c>
      <c r="C1871" s="3481" t="s">
        <v>3395</v>
      </c>
      <c r="D1871" s="3482">
        <v>85.61</v>
      </c>
      <c r="E1871" s="3519">
        <f t="shared" si="29"/>
        <v>28442.938909005956</v>
      </c>
      <c r="F1871" s="3481">
        <v>2435000</v>
      </c>
      <c r="G1871" s="3482" t="s">
        <v>7023</v>
      </c>
    </row>
    <row r="1872" spans="1:7">
      <c r="A1872" s="3536">
        <v>1871</v>
      </c>
      <c r="B1872" s="3481" t="s">
        <v>6998</v>
      </c>
      <c r="C1872" s="3481" t="s">
        <v>3395</v>
      </c>
      <c r="D1872" s="3482">
        <v>85.56</v>
      </c>
      <c r="E1872" s="3519">
        <f t="shared" si="29"/>
        <v>28459.560542309489</v>
      </c>
      <c r="F1872" s="3481">
        <v>2435000</v>
      </c>
      <c r="G1872" s="3482" t="s">
        <v>6993</v>
      </c>
    </row>
    <row r="1873" spans="1:7">
      <c r="A1873" s="3536">
        <v>1872</v>
      </c>
      <c r="B1873" s="3481" t="s">
        <v>6960</v>
      </c>
      <c r="C1873" s="3481" t="s">
        <v>3395</v>
      </c>
      <c r="D1873" s="3482">
        <v>85.56</v>
      </c>
      <c r="E1873" s="3519">
        <f t="shared" si="29"/>
        <v>27884.618980832165</v>
      </c>
      <c r="F1873" s="3481">
        <v>2385808</v>
      </c>
      <c r="G1873" s="3482" t="s">
        <v>6955</v>
      </c>
    </row>
    <row r="1874" spans="1:7">
      <c r="A1874" s="3536">
        <v>1873</v>
      </c>
      <c r="B1874" s="3481" t="s">
        <v>6999</v>
      </c>
      <c r="C1874" s="3481" t="s">
        <v>3395</v>
      </c>
      <c r="D1874" s="3482">
        <v>85.56</v>
      </c>
      <c r="E1874" s="3519">
        <f t="shared" si="29"/>
        <v>28634.87611033193</v>
      </c>
      <c r="F1874" s="3481">
        <v>2450000</v>
      </c>
      <c r="G1874" s="3482" t="s">
        <v>6993</v>
      </c>
    </row>
    <row r="1875" spans="1:7">
      <c r="A1875" s="3536">
        <v>1874</v>
      </c>
      <c r="B1875" s="3481" t="s">
        <v>7000</v>
      </c>
      <c r="C1875" s="3481" t="s">
        <v>3395</v>
      </c>
      <c r="D1875" s="3482">
        <v>85.56</v>
      </c>
      <c r="E1875" s="3519">
        <f t="shared" si="29"/>
        <v>28634.87611033193</v>
      </c>
      <c r="F1875" s="3481">
        <v>2450000</v>
      </c>
      <c r="G1875" s="3482" t="s">
        <v>6993</v>
      </c>
    </row>
    <row r="1876" spans="1:7">
      <c r="A1876" s="3536">
        <v>1875</v>
      </c>
      <c r="B1876" s="3481" t="s">
        <v>7001</v>
      </c>
      <c r="C1876" s="3481" t="s">
        <v>3395</v>
      </c>
      <c r="D1876" s="3482">
        <v>85.56</v>
      </c>
      <c r="E1876" s="3519">
        <f t="shared" si="29"/>
        <v>28459.560542309489</v>
      </c>
      <c r="F1876" s="3481">
        <v>2435000</v>
      </c>
      <c r="G1876" s="3482" t="s">
        <v>6993</v>
      </c>
    </row>
    <row r="1877" spans="1:7">
      <c r="A1877" s="3536">
        <v>1876</v>
      </c>
      <c r="B1877" s="3481" t="s">
        <v>7020</v>
      </c>
      <c r="C1877" s="3481" t="s">
        <v>3395</v>
      </c>
      <c r="D1877" s="3482">
        <v>85.56</v>
      </c>
      <c r="E1877" s="3519">
        <f t="shared" si="29"/>
        <v>28284.244974287049</v>
      </c>
      <c r="F1877" s="3481">
        <v>2420000</v>
      </c>
      <c r="G1877" s="3482" t="s">
        <v>7019</v>
      </c>
    </row>
    <row r="1878" spans="1:7">
      <c r="A1878" s="3536">
        <v>1877</v>
      </c>
      <c r="B1878" s="3481" t="s">
        <v>6897</v>
      </c>
      <c r="C1878" s="3481" t="s">
        <v>3395</v>
      </c>
      <c r="D1878" s="3482">
        <v>85.56</v>
      </c>
      <c r="E1878" s="3519">
        <f t="shared" si="29"/>
        <v>28459.560542309489</v>
      </c>
      <c r="F1878" s="3481">
        <v>2435000</v>
      </c>
      <c r="G1878" s="3482" t="s">
        <v>3437</v>
      </c>
    </row>
    <row r="1879" spans="1:7">
      <c r="A1879" s="3536">
        <v>1878</v>
      </c>
      <c r="B1879" s="3481" t="s">
        <v>6828</v>
      </c>
      <c r="C1879" s="3481" t="s">
        <v>3395</v>
      </c>
      <c r="D1879" s="3482">
        <v>85.56</v>
      </c>
      <c r="E1879" s="3519">
        <f t="shared" si="29"/>
        <v>28747.031323048152</v>
      </c>
      <c r="F1879" s="3481">
        <v>2459596</v>
      </c>
      <c r="G1879" s="3482" t="s">
        <v>3419</v>
      </c>
    </row>
    <row r="1880" spans="1:7">
      <c r="A1880" s="3536">
        <v>1879</v>
      </c>
      <c r="B1880" s="3481" t="s">
        <v>7014</v>
      </c>
      <c r="C1880" s="3481" t="s">
        <v>3395</v>
      </c>
      <c r="D1880" s="3482">
        <v>85.56</v>
      </c>
      <c r="E1880" s="3519">
        <f t="shared" si="29"/>
        <v>28634.87611033193</v>
      </c>
      <c r="F1880" s="3481">
        <v>2450000</v>
      </c>
      <c r="G1880" s="3482" t="s">
        <v>7015</v>
      </c>
    </row>
    <row r="1881" spans="1:7">
      <c r="A1881" s="3536">
        <v>1880</v>
      </c>
      <c r="B1881" s="3481" t="s">
        <v>7002</v>
      </c>
      <c r="C1881" s="3481" t="s">
        <v>3395</v>
      </c>
      <c r="D1881" s="3482">
        <v>85.56</v>
      </c>
      <c r="E1881" s="3519">
        <f t="shared" si="29"/>
        <v>28634.87611033193</v>
      </c>
      <c r="F1881" s="3481">
        <v>2450000</v>
      </c>
      <c r="G1881" s="3482" t="s">
        <v>6993</v>
      </c>
    </row>
    <row r="1882" spans="1:7">
      <c r="A1882" s="3536">
        <v>1881</v>
      </c>
      <c r="B1882" s="3481" t="s">
        <v>7016</v>
      </c>
      <c r="C1882" s="3481" t="s">
        <v>3395</v>
      </c>
      <c r="D1882" s="3482">
        <v>85.56</v>
      </c>
      <c r="E1882" s="3519">
        <f t="shared" si="29"/>
        <v>28459.560542309489</v>
      </c>
      <c r="F1882" s="3481">
        <v>2435000</v>
      </c>
      <c r="G1882" s="3482" t="s">
        <v>7015</v>
      </c>
    </row>
    <row r="1883" spans="1:7">
      <c r="A1883" s="3536">
        <v>1882</v>
      </c>
      <c r="B1883" s="3481" t="s">
        <v>6942</v>
      </c>
      <c r="C1883" s="3481" t="s">
        <v>3395</v>
      </c>
      <c r="D1883" s="3482">
        <v>85.56</v>
      </c>
      <c r="E1883" s="3519">
        <f t="shared" si="29"/>
        <v>28634.87611033193</v>
      </c>
      <c r="F1883" s="3481">
        <v>2450000</v>
      </c>
      <c r="G1883" s="3482" t="s">
        <v>6943</v>
      </c>
    </row>
    <row r="1884" spans="1:7">
      <c r="A1884" s="3536">
        <v>1883</v>
      </c>
      <c r="B1884" s="3481" t="s">
        <v>7003</v>
      </c>
      <c r="C1884" s="3481" t="s">
        <v>3395</v>
      </c>
      <c r="D1884" s="3482">
        <v>85.56</v>
      </c>
      <c r="E1884" s="3519">
        <f t="shared" si="29"/>
        <v>28634.87611033193</v>
      </c>
      <c r="F1884" s="3481">
        <v>2450000</v>
      </c>
      <c r="G1884" s="3482" t="s">
        <v>6993</v>
      </c>
    </row>
    <row r="1885" spans="1:7">
      <c r="A1885" s="3536">
        <v>1884</v>
      </c>
      <c r="B1885" s="3481" t="s">
        <v>7004</v>
      </c>
      <c r="C1885" s="3481" t="s">
        <v>3395</v>
      </c>
      <c r="D1885" s="3482">
        <v>85.56</v>
      </c>
      <c r="E1885" s="3519">
        <f t="shared" si="29"/>
        <v>28459.560542309489</v>
      </c>
      <c r="F1885" s="3481">
        <v>2435000</v>
      </c>
      <c r="G1885" s="3482" t="s">
        <v>6993</v>
      </c>
    </row>
    <row r="1886" spans="1:7">
      <c r="A1886" s="3536">
        <v>1885</v>
      </c>
      <c r="B1886" s="3481" t="s">
        <v>6925</v>
      </c>
      <c r="C1886" s="3481" t="s">
        <v>3395</v>
      </c>
      <c r="D1886" s="3482">
        <v>85.56</v>
      </c>
      <c r="E1886" s="3519">
        <f t="shared" si="29"/>
        <v>28459.560542309489</v>
      </c>
      <c r="F1886" s="3481">
        <v>2435000</v>
      </c>
      <c r="G1886" s="3482" t="s">
        <v>3446</v>
      </c>
    </row>
    <row r="1887" spans="1:7">
      <c r="A1887" s="3536">
        <v>1886</v>
      </c>
      <c r="B1887" s="3481" t="s">
        <v>7005</v>
      </c>
      <c r="C1887" s="3481" t="s">
        <v>3395</v>
      </c>
      <c r="D1887" s="3482">
        <v>85.56</v>
      </c>
      <c r="E1887" s="3519">
        <f t="shared" si="29"/>
        <v>28634.87611033193</v>
      </c>
      <c r="F1887" s="3481">
        <v>2450000</v>
      </c>
      <c r="G1887" s="3482" t="s">
        <v>6993</v>
      </c>
    </row>
    <row r="1888" spans="1:7">
      <c r="A1888" s="3536">
        <v>1887</v>
      </c>
      <c r="B1888" s="3481" t="s">
        <v>7006</v>
      </c>
      <c r="C1888" s="3481" t="s">
        <v>3395</v>
      </c>
      <c r="D1888" s="3482">
        <v>85.56</v>
      </c>
      <c r="E1888" s="3519">
        <f t="shared" si="29"/>
        <v>28634.87611033193</v>
      </c>
      <c r="F1888" s="3481">
        <v>2450000</v>
      </c>
      <c r="G1888" s="3482" t="s">
        <v>6993</v>
      </c>
    </row>
    <row r="1889" spans="1:7">
      <c r="A1889" s="3536">
        <v>1888</v>
      </c>
      <c r="B1889" s="3481" t="s">
        <v>6898</v>
      </c>
      <c r="C1889" s="3481" t="s">
        <v>3395</v>
      </c>
      <c r="D1889" s="3482">
        <v>85.94</v>
      </c>
      <c r="E1889" s="3519">
        <f t="shared" si="29"/>
        <v>28450.081452175938</v>
      </c>
      <c r="F1889" s="3481">
        <v>2445000</v>
      </c>
      <c r="G1889" s="3482" t="s">
        <v>3437</v>
      </c>
    </row>
    <row r="1890" spans="1:7">
      <c r="A1890" s="3536">
        <v>1889</v>
      </c>
      <c r="B1890" s="3481" t="s">
        <v>6952</v>
      </c>
      <c r="C1890" s="3481" t="s">
        <v>3395</v>
      </c>
      <c r="D1890" s="3482">
        <v>85.56</v>
      </c>
      <c r="E1890" s="3519">
        <f t="shared" si="29"/>
        <v>28459.560542309489</v>
      </c>
      <c r="F1890" s="3481">
        <v>2435000</v>
      </c>
      <c r="G1890" s="3482" t="s">
        <v>6953</v>
      </c>
    </row>
    <row r="1891" spans="1:7">
      <c r="A1891" s="3536">
        <v>1890</v>
      </c>
      <c r="B1891" s="3481" t="s">
        <v>6986</v>
      </c>
      <c r="C1891" s="3481" t="s">
        <v>3395</v>
      </c>
      <c r="D1891" s="3482">
        <v>85.94</v>
      </c>
      <c r="E1891" s="3519">
        <f t="shared" si="29"/>
        <v>28333.721200837794</v>
      </c>
      <c r="F1891" s="3481">
        <v>2435000</v>
      </c>
      <c r="G1891" s="3482" t="s">
        <v>3457</v>
      </c>
    </row>
    <row r="1892" spans="1:7">
      <c r="A1892" s="3536">
        <v>1891</v>
      </c>
      <c r="B1892" s="3481" t="s">
        <v>7017</v>
      </c>
      <c r="C1892" s="3481" t="s">
        <v>3395</v>
      </c>
      <c r="D1892" s="3482">
        <v>85.56</v>
      </c>
      <c r="E1892" s="3519">
        <f t="shared" si="29"/>
        <v>28634.87611033193</v>
      </c>
      <c r="F1892" s="3481">
        <v>2450000</v>
      </c>
      <c r="G1892" s="3482" t="s">
        <v>7015</v>
      </c>
    </row>
    <row r="1893" spans="1:7">
      <c r="A1893" s="3536">
        <v>1892</v>
      </c>
      <c r="B1893" s="3481" t="s">
        <v>6987</v>
      </c>
      <c r="C1893" s="3481" t="s">
        <v>3395</v>
      </c>
      <c r="D1893" s="3482">
        <v>85.94</v>
      </c>
      <c r="E1893" s="3519">
        <f t="shared" si="29"/>
        <v>28624.62182918315</v>
      </c>
      <c r="F1893" s="3481">
        <v>2460000</v>
      </c>
      <c r="G1893" s="3482" t="s">
        <v>3457</v>
      </c>
    </row>
    <row r="1894" spans="1:7">
      <c r="A1894" s="3536">
        <v>1893</v>
      </c>
      <c r="B1894" s="3481" t="s">
        <v>6829</v>
      </c>
      <c r="C1894" s="3481" t="s">
        <v>3395</v>
      </c>
      <c r="D1894" s="3482">
        <v>85.94</v>
      </c>
      <c r="E1894" s="3519">
        <f t="shared" si="29"/>
        <v>27476.297416802419</v>
      </c>
      <c r="F1894" s="3481">
        <v>2361313</v>
      </c>
      <c r="G1894" s="3482" t="s">
        <v>3419</v>
      </c>
    </row>
    <row r="1895" spans="1:7">
      <c r="A1895" s="3536">
        <v>1894</v>
      </c>
      <c r="B1895" s="3481" t="s">
        <v>7089</v>
      </c>
      <c r="C1895" s="3481" t="s">
        <v>3395</v>
      </c>
      <c r="D1895" s="3482">
        <v>85.99</v>
      </c>
      <c r="E1895" s="3519">
        <f t="shared" si="29"/>
        <v>28375.39248749855</v>
      </c>
      <c r="F1895" s="3481">
        <v>2440000</v>
      </c>
      <c r="G1895" s="3482" t="s">
        <v>7090</v>
      </c>
    </row>
    <row r="1896" spans="1:7">
      <c r="A1896" s="3536">
        <v>1895</v>
      </c>
      <c r="B1896" s="3481" t="s">
        <v>7057</v>
      </c>
      <c r="C1896" s="3481" t="s">
        <v>3395</v>
      </c>
      <c r="D1896" s="3482">
        <v>85.61</v>
      </c>
      <c r="E1896" s="3519">
        <f t="shared" si="29"/>
        <v>28034.108164934005</v>
      </c>
      <c r="F1896" s="3481">
        <v>2400000</v>
      </c>
      <c r="G1896" s="3482" t="s">
        <v>3474</v>
      </c>
    </row>
    <row r="1897" spans="1:7">
      <c r="A1897" s="3536">
        <v>1896</v>
      </c>
      <c r="B1897" s="3481" t="s">
        <v>7067</v>
      </c>
      <c r="C1897" s="3481" t="s">
        <v>3395</v>
      </c>
      <c r="D1897" s="3482">
        <v>85.99</v>
      </c>
      <c r="E1897" s="3519">
        <f t="shared" si="29"/>
        <v>28235.841376904293</v>
      </c>
      <c r="F1897" s="3481">
        <v>2428000</v>
      </c>
      <c r="G1897" s="3482" t="s">
        <v>7066</v>
      </c>
    </row>
    <row r="1898" spans="1:7">
      <c r="A1898" s="3536">
        <v>1897</v>
      </c>
      <c r="B1898" s="3481" t="s">
        <v>7046</v>
      </c>
      <c r="C1898" s="3481" t="s">
        <v>3395</v>
      </c>
      <c r="D1898" s="3482">
        <v>85.61</v>
      </c>
      <c r="E1898" s="3519">
        <f t="shared" si="29"/>
        <v>28034.108164934005</v>
      </c>
      <c r="F1898" s="3481">
        <v>2400000</v>
      </c>
      <c r="G1898" s="3482" t="s">
        <v>7047</v>
      </c>
    </row>
    <row r="1899" spans="1:7">
      <c r="A1899" s="3536">
        <v>1898</v>
      </c>
      <c r="B1899" s="3481" t="s">
        <v>7028</v>
      </c>
      <c r="C1899" s="3481" t="s">
        <v>3395</v>
      </c>
      <c r="D1899" s="3482">
        <v>85.99</v>
      </c>
      <c r="E1899" s="3519">
        <f t="shared" si="29"/>
        <v>28433.538783579486</v>
      </c>
      <c r="F1899" s="3481">
        <v>2445000</v>
      </c>
      <c r="G1899" s="3482" t="s">
        <v>7029</v>
      </c>
    </row>
    <row r="1900" spans="1:7">
      <c r="A1900" s="3536">
        <v>1899</v>
      </c>
      <c r="B1900" s="3481" t="s">
        <v>7119</v>
      </c>
      <c r="C1900" s="3481" t="s">
        <v>3395</v>
      </c>
      <c r="D1900" s="3482">
        <v>85.61</v>
      </c>
      <c r="E1900" s="3519">
        <f t="shared" si="29"/>
        <v>28442.938909005956</v>
      </c>
      <c r="F1900" s="3481">
        <v>2435000</v>
      </c>
      <c r="G1900" s="3482" t="s">
        <v>7120</v>
      </c>
    </row>
    <row r="1901" spans="1:7">
      <c r="A1901" s="3536">
        <v>1900</v>
      </c>
      <c r="B1901" s="3481" t="s">
        <v>7075</v>
      </c>
      <c r="C1901" s="3481" t="s">
        <v>3395</v>
      </c>
      <c r="D1901" s="3482">
        <v>85.61</v>
      </c>
      <c r="E1901" s="3519">
        <f t="shared" si="29"/>
        <v>27800.490596892887</v>
      </c>
      <c r="F1901" s="3481">
        <v>2380000</v>
      </c>
      <c r="G1901" s="3482" t="s">
        <v>7074</v>
      </c>
    </row>
    <row r="1902" spans="1:7">
      <c r="A1902" s="3536">
        <v>1901</v>
      </c>
      <c r="B1902" s="3481" t="s">
        <v>7109</v>
      </c>
      <c r="C1902" s="3481" t="s">
        <v>3395</v>
      </c>
      <c r="D1902" s="3482">
        <v>85.61</v>
      </c>
      <c r="E1902" s="3519">
        <f t="shared" si="29"/>
        <v>28267.725732975119</v>
      </c>
      <c r="F1902" s="3481">
        <v>2420000</v>
      </c>
      <c r="G1902" s="3482" t="s">
        <v>3479</v>
      </c>
    </row>
    <row r="1903" spans="1:7">
      <c r="A1903" s="3536">
        <v>1902</v>
      </c>
      <c r="B1903" s="3481" t="s">
        <v>7085</v>
      </c>
      <c r="C1903" s="3481" t="s">
        <v>3395</v>
      </c>
      <c r="D1903" s="3482">
        <v>85.61</v>
      </c>
      <c r="E1903" s="3519">
        <f t="shared" si="29"/>
        <v>28267.725732975119</v>
      </c>
      <c r="F1903" s="3481">
        <v>2420000</v>
      </c>
      <c r="G1903" s="3482" t="s">
        <v>7083</v>
      </c>
    </row>
    <row r="1904" spans="1:7">
      <c r="A1904" s="3536">
        <v>1903</v>
      </c>
      <c r="B1904" s="3481" t="s">
        <v>7079</v>
      </c>
      <c r="C1904" s="3481" t="s">
        <v>3395</v>
      </c>
      <c r="D1904" s="3482">
        <v>85.61</v>
      </c>
      <c r="E1904" s="3519">
        <f t="shared" si="29"/>
        <v>28267.725732975119</v>
      </c>
      <c r="F1904" s="3481">
        <v>2420000</v>
      </c>
      <c r="G1904" s="3482" t="s">
        <v>7080</v>
      </c>
    </row>
    <row r="1905" spans="1:7">
      <c r="A1905" s="3536">
        <v>1904</v>
      </c>
      <c r="B1905" s="3481" t="s">
        <v>7060</v>
      </c>
      <c r="C1905" s="3481" t="s">
        <v>3395</v>
      </c>
      <c r="D1905" s="3482">
        <v>85.61</v>
      </c>
      <c r="E1905" s="3519">
        <f t="shared" si="29"/>
        <v>28442.938909005956</v>
      </c>
      <c r="F1905" s="3481">
        <v>2435000</v>
      </c>
      <c r="G1905" s="3482" t="s">
        <v>7061</v>
      </c>
    </row>
    <row r="1906" spans="1:7">
      <c r="A1906" s="3536">
        <v>1905</v>
      </c>
      <c r="B1906" s="3481" t="s">
        <v>7101</v>
      </c>
      <c r="C1906" s="3481" t="s">
        <v>3395</v>
      </c>
      <c r="D1906" s="3482">
        <v>85.61</v>
      </c>
      <c r="E1906" s="3519">
        <f t="shared" si="29"/>
        <v>28442.938909005956</v>
      </c>
      <c r="F1906" s="3481">
        <v>2435000</v>
      </c>
      <c r="G1906" s="3482" t="s">
        <v>7100</v>
      </c>
    </row>
    <row r="1907" spans="1:7">
      <c r="A1907" s="3536">
        <v>1906</v>
      </c>
      <c r="B1907" s="3481" t="s">
        <v>7072</v>
      </c>
      <c r="C1907" s="3481" t="s">
        <v>3395</v>
      </c>
      <c r="D1907" s="3482">
        <v>85.61</v>
      </c>
      <c r="E1907" s="3519">
        <f t="shared" si="29"/>
        <v>28267.725732975119</v>
      </c>
      <c r="F1907" s="3481">
        <v>2420000</v>
      </c>
      <c r="G1907" s="3482" t="s">
        <v>7071</v>
      </c>
    </row>
    <row r="1908" spans="1:7">
      <c r="A1908" s="3536">
        <v>1907</v>
      </c>
      <c r="B1908" s="3481" t="s">
        <v>7068</v>
      </c>
      <c r="C1908" s="3481" t="s">
        <v>3395</v>
      </c>
      <c r="D1908" s="3482">
        <v>85.61</v>
      </c>
      <c r="E1908" s="3519">
        <f t="shared" si="29"/>
        <v>28034.108164934005</v>
      </c>
      <c r="F1908" s="3481">
        <v>2400000</v>
      </c>
      <c r="G1908" s="3482" t="s">
        <v>7066</v>
      </c>
    </row>
    <row r="1909" spans="1:7">
      <c r="A1909" s="3536">
        <v>1908</v>
      </c>
      <c r="B1909" s="3481" t="s">
        <v>7110</v>
      </c>
      <c r="C1909" s="3481" t="s">
        <v>3395</v>
      </c>
      <c r="D1909" s="3482">
        <v>85.61</v>
      </c>
      <c r="E1909" s="3519">
        <f t="shared" si="29"/>
        <v>28267.725732975119</v>
      </c>
      <c r="F1909" s="3481">
        <v>2420000</v>
      </c>
      <c r="G1909" s="3482" t="s">
        <v>3479</v>
      </c>
    </row>
    <row r="1910" spans="1:7">
      <c r="A1910" s="3536">
        <v>1909</v>
      </c>
      <c r="B1910" s="3481" t="s">
        <v>7081</v>
      </c>
      <c r="C1910" s="3481" t="s">
        <v>3395</v>
      </c>
      <c r="D1910" s="3482">
        <v>85.61</v>
      </c>
      <c r="E1910" s="3519">
        <f t="shared" si="29"/>
        <v>28267.725732975119</v>
      </c>
      <c r="F1910" s="3481">
        <v>2420000</v>
      </c>
      <c r="G1910" s="3482" t="s">
        <v>7080</v>
      </c>
    </row>
    <row r="1911" spans="1:7">
      <c r="A1911" s="3536">
        <v>1910</v>
      </c>
      <c r="B1911" s="3481" t="s">
        <v>7124</v>
      </c>
      <c r="C1911" s="3481" t="s">
        <v>3395</v>
      </c>
      <c r="D1911" s="3482">
        <v>85.61</v>
      </c>
      <c r="E1911" s="3519">
        <f t="shared" si="29"/>
        <v>28442.938909005956</v>
      </c>
      <c r="F1911" s="3481">
        <v>2435000</v>
      </c>
      <c r="G1911" s="3482" t="s">
        <v>7122</v>
      </c>
    </row>
    <row r="1912" spans="1:7">
      <c r="A1912" s="3536">
        <v>1911</v>
      </c>
      <c r="B1912" s="3481" t="s">
        <v>7125</v>
      </c>
      <c r="C1912" s="3481" t="s">
        <v>3395</v>
      </c>
      <c r="D1912" s="3482">
        <v>85.61</v>
      </c>
      <c r="E1912" s="3519">
        <f t="shared" si="29"/>
        <v>28442.938909005956</v>
      </c>
      <c r="F1912" s="3481">
        <v>2435000</v>
      </c>
      <c r="G1912" s="3482" t="s">
        <v>7122</v>
      </c>
    </row>
    <row r="1913" spans="1:7">
      <c r="A1913" s="3536">
        <v>1912</v>
      </c>
      <c r="B1913" s="3481" t="s">
        <v>7116</v>
      </c>
      <c r="C1913" s="3481" t="s">
        <v>3395</v>
      </c>
      <c r="D1913" s="3482">
        <v>85.61</v>
      </c>
      <c r="E1913" s="3519">
        <f t="shared" si="29"/>
        <v>28150.91694895456</v>
      </c>
      <c r="F1913" s="3481">
        <v>2410000</v>
      </c>
      <c r="G1913" s="3482" t="s">
        <v>7117</v>
      </c>
    </row>
    <row r="1914" spans="1:7">
      <c r="A1914" s="3536">
        <v>1913</v>
      </c>
      <c r="B1914" s="3481" t="s">
        <v>6970</v>
      </c>
      <c r="C1914" s="3481" t="s">
        <v>3395</v>
      </c>
      <c r="D1914" s="3482">
        <v>85.61</v>
      </c>
      <c r="E1914" s="3519">
        <f t="shared" si="29"/>
        <v>27683.681812872328</v>
      </c>
      <c r="F1914" s="3481">
        <v>2370000</v>
      </c>
      <c r="G1914" s="3482" t="s">
        <v>6971</v>
      </c>
    </row>
    <row r="1915" spans="1:7">
      <c r="A1915" s="3536">
        <v>1914</v>
      </c>
      <c r="B1915" s="3481" t="s">
        <v>7086</v>
      </c>
      <c r="C1915" s="3481" t="s">
        <v>3395</v>
      </c>
      <c r="D1915" s="3482">
        <v>85.61</v>
      </c>
      <c r="E1915" s="3519">
        <f t="shared" si="29"/>
        <v>28267.725732975119</v>
      </c>
      <c r="F1915" s="3481">
        <v>2420000</v>
      </c>
      <c r="G1915" s="3482" t="s">
        <v>7083</v>
      </c>
    </row>
    <row r="1916" spans="1:7">
      <c r="A1916" s="3536">
        <v>1915</v>
      </c>
      <c r="B1916" s="3481" t="s">
        <v>7062</v>
      </c>
      <c r="C1916" s="3481" t="s">
        <v>3395</v>
      </c>
      <c r="D1916" s="3482">
        <v>85.61</v>
      </c>
      <c r="E1916" s="3519">
        <f t="shared" si="29"/>
        <v>28267.725732975119</v>
      </c>
      <c r="F1916" s="3481">
        <v>2420000</v>
      </c>
      <c r="G1916" s="3482" t="s">
        <v>7061</v>
      </c>
    </row>
    <row r="1917" spans="1:7">
      <c r="A1917" s="3536">
        <v>1916</v>
      </c>
      <c r="B1917" s="3481" t="s">
        <v>7098</v>
      </c>
      <c r="C1917" s="3481" t="s">
        <v>3395</v>
      </c>
      <c r="D1917" s="3482">
        <v>85.61</v>
      </c>
      <c r="E1917" s="3519">
        <f t="shared" si="29"/>
        <v>28267.725732975119</v>
      </c>
      <c r="F1917" s="3481">
        <v>2420000</v>
      </c>
      <c r="G1917" s="3482" t="s">
        <v>7095</v>
      </c>
    </row>
    <row r="1918" spans="1:7">
      <c r="A1918" s="3536">
        <v>1917</v>
      </c>
      <c r="B1918" s="3481" t="s">
        <v>7076</v>
      </c>
      <c r="C1918" s="3481" t="s">
        <v>3395</v>
      </c>
      <c r="D1918" s="3482">
        <v>85.61</v>
      </c>
      <c r="E1918" s="3519">
        <f t="shared" si="29"/>
        <v>28267.725732975119</v>
      </c>
      <c r="F1918" s="3481">
        <v>2420000</v>
      </c>
      <c r="G1918" s="3482" t="s">
        <v>7074</v>
      </c>
    </row>
    <row r="1919" spans="1:7">
      <c r="A1919" s="3536">
        <v>1918</v>
      </c>
      <c r="B1919" s="3481" t="s">
        <v>7133</v>
      </c>
      <c r="C1919" s="3481" t="s">
        <v>3395</v>
      </c>
      <c r="D1919" s="3482">
        <v>85.61</v>
      </c>
      <c r="E1919" s="3519">
        <f t="shared" si="29"/>
        <v>28442.938909005956</v>
      </c>
      <c r="F1919" s="3481">
        <v>2435000</v>
      </c>
      <c r="G1919" s="3482" t="s">
        <v>7132</v>
      </c>
    </row>
    <row r="1920" spans="1:7">
      <c r="A1920" s="3536">
        <v>1919</v>
      </c>
      <c r="B1920" s="3481" t="s">
        <v>7136</v>
      </c>
      <c r="C1920" s="3481" t="s">
        <v>3395</v>
      </c>
      <c r="D1920" s="3482">
        <v>85.61</v>
      </c>
      <c r="E1920" s="3519">
        <f t="shared" si="29"/>
        <v>28442.938909005956</v>
      </c>
      <c r="F1920" s="3481">
        <v>2435000</v>
      </c>
      <c r="G1920" s="3482" t="s">
        <v>7135</v>
      </c>
    </row>
    <row r="1921" spans="1:7">
      <c r="A1921" s="3536">
        <v>1920</v>
      </c>
      <c r="B1921" s="3481" t="s">
        <v>7137</v>
      </c>
      <c r="C1921" s="3481" t="s">
        <v>3395</v>
      </c>
      <c r="D1921" s="3482">
        <v>85.61</v>
      </c>
      <c r="E1921" s="3519">
        <f t="shared" si="29"/>
        <v>28267.725732975119</v>
      </c>
      <c r="F1921" s="3481">
        <v>2420000</v>
      </c>
      <c r="G1921" s="3482" t="s">
        <v>7135</v>
      </c>
    </row>
    <row r="1922" spans="1:7">
      <c r="A1922" s="3536">
        <v>1921</v>
      </c>
      <c r="B1922" s="3481" t="s">
        <v>7112</v>
      </c>
      <c r="C1922" s="3481" t="s">
        <v>3395</v>
      </c>
      <c r="D1922" s="3482">
        <v>85.99</v>
      </c>
      <c r="E1922" s="3519">
        <f t="shared" si="29"/>
        <v>28259.099895336669</v>
      </c>
      <c r="F1922" s="3481">
        <v>2430000</v>
      </c>
      <c r="G1922" s="3482" t="s">
        <v>3483</v>
      </c>
    </row>
    <row r="1923" spans="1:7">
      <c r="A1923" s="3536">
        <v>1922</v>
      </c>
      <c r="B1923" s="3481" t="s">
        <v>7030</v>
      </c>
      <c r="C1923" s="3481" t="s">
        <v>3395</v>
      </c>
      <c r="D1923" s="3482">
        <v>85.61</v>
      </c>
      <c r="E1923" s="3519">
        <f t="shared" ref="E1923:E1986" si="30">F1923/D1923</f>
        <v>28267.725732975119</v>
      </c>
      <c r="F1923" s="3481">
        <v>2420000</v>
      </c>
      <c r="G1923" s="3482" t="s">
        <v>7031</v>
      </c>
    </row>
    <row r="1924" spans="1:7">
      <c r="A1924" s="3536">
        <v>1923</v>
      </c>
      <c r="B1924" s="3481" t="s">
        <v>7126</v>
      </c>
      <c r="C1924" s="3481" t="s">
        <v>3395</v>
      </c>
      <c r="D1924" s="3482">
        <v>85.99</v>
      </c>
      <c r="E1924" s="3519">
        <f t="shared" si="30"/>
        <v>28544.540062798002</v>
      </c>
      <c r="F1924" s="3481">
        <v>2454545</v>
      </c>
      <c r="G1924" s="3482" t="s">
        <v>7122</v>
      </c>
    </row>
    <row r="1925" spans="1:7">
      <c r="A1925" s="3536">
        <v>1924</v>
      </c>
      <c r="B1925" s="3481" t="s">
        <v>7127</v>
      </c>
      <c r="C1925" s="3481" t="s">
        <v>3395</v>
      </c>
      <c r="D1925" s="3482">
        <v>85.61</v>
      </c>
      <c r="E1925" s="3519">
        <f t="shared" si="30"/>
        <v>28442.938909005956</v>
      </c>
      <c r="F1925" s="3481">
        <v>2435000</v>
      </c>
      <c r="G1925" s="3482" t="s">
        <v>7122</v>
      </c>
    </row>
    <row r="1926" spans="1:7">
      <c r="A1926" s="3536">
        <v>1925</v>
      </c>
      <c r="B1926" s="3481" t="s">
        <v>7129</v>
      </c>
      <c r="C1926" s="3481" t="s">
        <v>3395</v>
      </c>
      <c r="D1926" s="3482">
        <v>85.99</v>
      </c>
      <c r="E1926" s="3519">
        <f t="shared" si="30"/>
        <v>28433.538783579486</v>
      </c>
      <c r="F1926" s="3481">
        <v>2445000</v>
      </c>
      <c r="G1926" s="3482" t="s">
        <v>7130</v>
      </c>
    </row>
    <row r="1927" spans="1:7">
      <c r="A1927" s="3536">
        <v>1926</v>
      </c>
      <c r="B1927" s="3481" t="s">
        <v>7058</v>
      </c>
      <c r="C1927" s="3481" t="s">
        <v>3395</v>
      </c>
      <c r="D1927" s="3482">
        <v>85.61</v>
      </c>
      <c r="E1927" s="3519">
        <f t="shared" si="30"/>
        <v>28150.91694895456</v>
      </c>
      <c r="F1927" s="3481">
        <v>2410000</v>
      </c>
      <c r="G1927" s="3482" t="s">
        <v>3474</v>
      </c>
    </row>
    <row r="1928" spans="1:7">
      <c r="A1928" s="3536">
        <v>1927</v>
      </c>
      <c r="B1928" s="3481" t="s">
        <v>7048</v>
      </c>
      <c r="C1928" s="3481" t="s">
        <v>3395</v>
      </c>
      <c r="D1928" s="3482">
        <v>85.99</v>
      </c>
      <c r="E1928" s="3519">
        <f t="shared" si="30"/>
        <v>28119.548784742412</v>
      </c>
      <c r="F1928" s="3481">
        <v>2418000</v>
      </c>
      <c r="G1928" s="3482" t="s">
        <v>7047</v>
      </c>
    </row>
    <row r="1929" spans="1:7">
      <c r="A1929" s="3536">
        <v>1928</v>
      </c>
      <c r="B1929" s="3481" t="s">
        <v>7312</v>
      </c>
      <c r="C1929" s="3481" t="s">
        <v>3395</v>
      </c>
      <c r="D1929" s="3482">
        <v>85.94</v>
      </c>
      <c r="E1929" s="3519">
        <f t="shared" si="30"/>
        <v>28508.261577845009</v>
      </c>
      <c r="F1929" s="3481">
        <v>2450000</v>
      </c>
      <c r="G1929" s="3482" t="s">
        <v>7313</v>
      </c>
    </row>
    <row r="1930" spans="1:7">
      <c r="A1930" s="3536">
        <v>1929</v>
      </c>
      <c r="B1930" s="3481" t="s">
        <v>7316</v>
      </c>
      <c r="C1930" s="3481" t="s">
        <v>5305</v>
      </c>
      <c r="D1930" s="3482">
        <v>85.56</v>
      </c>
      <c r="E1930" s="3519">
        <f t="shared" si="30"/>
        <v>28634.87611033193</v>
      </c>
      <c r="F1930" s="3481">
        <v>2450000</v>
      </c>
      <c r="G1930" s="3482" t="s">
        <v>7313</v>
      </c>
    </row>
    <row r="1931" spans="1:7">
      <c r="A1931" s="3536">
        <v>1930</v>
      </c>
      <c r="B1931" s="3481" t="s">
        <v>7317</v>
      </c>
      <c r="C1931" s="3481" t="s">
        <v>3395</v>
      </c>
      <c r="D1931" s="3482">
        <v>85.94</v>
      </c>
      <c r="E1931" s="3519">
        <f t="shared" si="30"/>
        <v>28508.261577845009</v>
      </c>
      <c r="F1931" s="3481">
        <v>2450000</v>
      </c>
      <c r="G1931" s="3482" t="s">
        <v>7313</v>
      </c>
    </row>
    <row r="1932" spans="1:7">
      <c r="A1932" s="3536">
        <v>1931</v>
      </c>
      <c r="B1932" s="3481" t="s">
        <v>7318</v>
      </c>
      <c r="C1932" s="3481" t="s">
        <v>3395</v>
      </c>
      <c r="D1932" s="3482">
        <v>85.56</v>
      </c>
      <c r="E1932" s="3519">
        <f t="shared" si="30"/>
        <v>28634.87611033193</v>
      </c>
      <c r="F1932" s="3481">
        <v>2450000</v>
      </c>
      <c r="G1932" s="3482" t="s">
        <v>7313</v>
      </c>
    </row>
    <row r="1933" spans="1:7">
      <c r="A1933" s="3536">
        <v>1932</v>
      </c>
      <c r="B1933" s="3481" t="s">
        <v>7319</v>
      </c>
      <c r="C1933" s="3481" t="s">
        <v>3395</v>
      </c>
      <c r="D1933" s="3482">
        <v>85.94</v>
      </c>
      <c r="E1933" s="3519">
        <f t="shared" si="30"/>
        <v>28508.261577845009</v>
      </c>
      <c r="F1933" s="3481">
        <v>2450000</v>
      </c>
      <c r="G1933" s="3482" t="s">
        <v>7313</v>
      </c>
    </row>
    <row r="1934" spans="1:7">
      <c r="A1934" s="3536">
        <v>1933</v>
      </c>
      <c r="B1934" s="3481" t="s">
        <v>7320</v>
      </c>
      <c r="C1934" s="3481" t="s">
        <v>3395</v>
      </c>
      <c r="D1934" s="3482">
        <v>85.56</v>
      </c>
      <c r="E1934" s="3519">
        <f t="shared" si="30"/>
        <v>28634.87611033193</v>
      </c>
      <c r="F1934" s="3481">
        <v>2450000</v>
      </c>
      <c r="G1934" s="3482" t="s">
        <v>7313</v>
      </c>
    </row>
    <row r="1935" spans="1:7">
      <c r="A1935" s="3536">
        <v>1934</v>
      </c>
      <c r="B1935" s="3481" t="s">
        <v>7321</v>
      </c>
      <c r="C1935" s="3481" t="s">
        <v>3395</v>
      </c>
      <c r="D1935" s="3482">
        <v>85.94</v>
      </c>
      <c r="E1935" s="3519">
        <f t="shared" si="30"/>
        <v>28508.261577845009</v>
      </c>
      <c r="F1935" s="3481">
        <v>2450000</v>
      </c>
      <c r="G1935" s="3482" t="s">
        <v>7313</v>
      </c>
    </row>
    <row r="1936" spans="1:7">
      <c r="A1936" s="3536">
        <v>1935</v>
      </c>
      <c r="B1936" s="3481" t="s">
        <v>7322</v>
      </c>
      <c r="C1936" s="3481" t="s">
        <v>3395</v>
      </c>
      <c r="D1936" s="3482">
        <v>85.56</v>
      </c>
      <c r="E1936" s="3519">
        <f t="shared" si="30"/>
        <v>28634.87611033193</v>
      </c>
      <c r="F1936" s="3481">
        <v>2450000</v>
      </c>
      <c r="G1936" s="3482" t="s">
        <v>7313</v>
      </c>
    </row>
    <row r="1937" spans="1:7">
      <c r="A1937" s="3536">
        <v>1936</v>
      </c>
      <c r="B1937" s="3481" t="s">
        <v>7323</v>
      </c>
      <c r="C1937" s="3481" t="s">
        <v>3395</v>
      </c>
      <c r="D1937" s="3482">
        <v>85.94</v>
      </c>
      <c r="E1937" s="3519">
        <f t="shared" si="30"/>
        <v>28508.261577845009</v>
      </c>
      <c r="F1937" s="3481">
        <v>2450000</v>
      </c>
      <c r="G1937" s="3482" t="s">
        <v>7313</v>
      </c>
    </row>
    <row r="1938" spans="1:7">
      <c r="A1938" s="3536">
        <v>1937</v>
      </c>
      <c r="B1938" s="3481" t="s">
        <v>7324</v>
      </c>
      <c r="C1938" s="3481" t="s">
        <v>3395</v>
      </c>
      <c r="D1938" s="3482">
        <v>85.56</v>
      </c>
      <c r="E1938" s="3519">
        <f t="shared" si="30"/>
        <v>28634.87611033193</v>
      </c>
      <c r="F1938" s="3481">
        <v>2450000</v>
      </c>
      <c r="G1938" s="3482" t="s">
        <v>7313</v>
      </c>
    </row>
    <row r="1939" spans="1:7">
      <c r="A1939" s="3536">
        <v>1938</v>
      </c>
      <c r="B1939" s="3481" t="s">
        <v>7314</v>
      </c>
      <c r="C1939" s="3481" t="s">
        <v>3395</v>
      </c>
      <c r="D1939" s="3482">
        <v>85.56</v>
      </c>
      <c r="E1939" s="3519">
        <f t="shared" si="30"/>
        <v>28634.87611033193</v>
      </c>
      <c r="F1939" s="3481">
        <v>2450000</v>
      </c>
      <c r="G1939" s="3482" t="s">
        <v>7313</v>
      </c>
    </row>
    <row r="1940" spans="1:7">
      <c r="A1940" s="3536">
        <v>1939</v>
      </c>
      <c r="B1940" s="3481" t="s">
        <v>7325</v>
      </c>
      <c r="C1940" s="3481" t="s">
        <v>5305</v>
      </c>
      <c r="D1940" s="3482">
        <v>85.56</v>
      </c>
      <c r="E1940" s="3519">
        <f t="shared" si="30"/>
        <v>28634.87611033193</v>
      </c>
      <c r="F1940" s="3481">
        <v>2450000</v>
      </c>
      <c r="G1940" s="3482" t="s">
        <v>7313</v>
      </c>
    </row>
    <row r="1941" spans="1:7">
      <c r="A1941" s="3536">
        <v>1940</v>
      </c>
      <c r="B1941" s="3481" t="s">
        <v>7326</v>
      </c>
      <c r="C1941" s="3481" t="s">
        <v>3395</v>
      </c>
      <c r="D1941" s="3482">
        <v>85.56</v>
      </c>
      <c r="E1941" s="3519">
        <f t="shared" si="30"/>
        <v>28634.87611033193</v>
      </c>
      <c r="F1941" s="3481">
        <v>2450000</v>
      </c>
      <c r="G1941" s="3482" t="s">
        <v>7313</v>
      </c>
    </row>
    <row r="1942" spans="1:7">
      <c r="A1942" s="3536">
        <v>1941</v>
      </c>
      <c r="B1942" s="3481" t="s">
        <v>7327</v>
      </c>
      <c r="C1942" s="3481" t="s">
        <v>3395</v>
      </c>
      <c r="D1942" s="3482">
        <v>85.56</v>
      </c>
      <c r="E1942" s="3519">
        <f t="shared" si="30"/>
        <v>28634.87611033193</v>
      </c>
      <c r="F1942" s="3481">
        <v>2450000</v>
      </c>
      <c r="G1942" s="3482" t="s">
        <v>7313</v>
      </c>
    </row>
    <row r="1943" spans="1:7">
      <c r="A1943" s="3536">
        <v>1942</v>
      </c>
      <c r="B1943" s="3481" t="s">
        <v>7328</v>
      </c>
      <c r="C1943" s="3481" t="s">
        <v>3395</v>
      </c>
      <c r="D1943" s="3482">
        <v>85.56</v>
      </c>
      <c r="E1943" s="3519">
        <f t="shared" si="30"/>
        <v>28634.87611033193</v>
      </c>
      <c r="F1943" s="3481">
        <v>2450000</v>
      </c>
      <c r="G1943" s="3482" t="s">
        <v>7313</v>
      </c>
    </row>
    <row r="1944" spans="1:7">
      <c r="A1944" s="3536">
        <v>1943</v>
      </c>
      <c r="B1944" s="3481" t="s">
        <v>7329</v>
      </c>
      <c r="C1944" s="3481" t="s">
        <v>3395</v>
      </c>
      <c r="D1944" s="3482">
        <v>85.56</v>
      </c>
      <c r="E1944" s="3519">
        <f t="shared" si="30"/>
        <v>28634.87611033193</v>
      </c>
      <c r="F1944" s="3481">
        <v>2450000</v>
      </c>
      <c r="G1944" s="3482" t="s">
        <v>7313</v>
      </c>
    </row>
    <row r="1945" spans="1:7">
      <c r="A1945" s="3536">
        <v>1944</v>
      </c>
      <c r="B1945" s="3481" t="s">
        <v>7330</v>
      </c>
      <c r="C1945" s="3481" t="s">
        <v>3395</v>
      </c>
      <c r="D1945" s="3482">
        <v>85.56</v>
      </c>
      <c r="E1945" s="3519">
        <f t="shared" si="30"/>
        <v>28634.87611033193</v>
      </c>
      <c r="F1945" s="3481">
        <v>2450000</v>
      </c>
      <c r="G1945" s="3482" t="s">
        <v>7313</v>
      </c>
    </row>
    <row r="1946" spans="1:7">
      <c r="A1946" s="3536">
        <v>1945</v>
      </c>
      <c r="B1946" s="3481" t="s">
        <v>7331</v>
      </c>
      <c r="C1946" s="3481" t="s">
        <v>3395</v>
      </c>
      <c r="D1946" s="3482">
        <v>85.56</v>
      </c>
      <c r="E1946" s="3519">
        <f t="shared" si="30"/>
        <v>28634.87611033193</v>
      </c>
      <c r="F1946" s="3481">
        <v>2450000</v>
      </c>
      <c r="G1946" s="3482" t="s">
        <v>7313</v>
      </c>
    </row>
    <row r="1947" spans="1:7">
      <c r="A1947" s="3536">
        <v>1946</v>
      </c>
      <c r="B1947" s="3481" t="s">
        <v>7332</v>
      </c>
      <c r="C1947" s="3481" t="s">
        <v>3395</v>
      </c>
      <c r="D1947" s="3482">
        <v>85.56</v>
      </c>
      <c r="E1947" s="3519">
        <f t="shared" si="30"/>
        <v>28634.87611033193</v>
      </c>
      <c r="F1947" s="3481">
        <v>2450000</v>
      </c>
      <c r="G1947" s="3482" t="s">
        <v>7313</v>
      </c>
    </row>
    <row r="1948" spans="1:7">
      <c r="A1948" s="3536">
        <v>1947</v>
      </c>
      <c r="B1948" s="3481" t="s">
        <v>7333</v>
      </c>
      <c r="C1948" s="3481" t="s">
        <v>3395</v>
      </c>
      <c r="D1948" s="3482">
        <v>85.56</v>
      </c>
      <c r="E1948" s="3519">
        <f t="shared" si="30"/>
        <v>28634.87611033193</v>
      </c>
      <c r="F1948" s="3481">
        <v>2450000</v>
      </c>
      <c r="G1948" s="3482" t="s">
        <v>7313</v>
      </c>
    </row>
    <row r="1949" spans="1:7">
      <c r="A1949" s="3536">
        <v>1948</v>
      </c>
      <c r="B1949" s="3481" t="s">
        <v>7315</v>
      </c>
      <c r="C1949" s="3481" t="s">
        <v>3395</v>
      </c>
      <c r="D1949" s="3482">
        <v>85.56</v>
      </c>
      <c r="E1949" s="3519">
        <f t="shared" si="30"/>
        <v>28634.87611033193</v>
      </c>
      <c r="F1949" s="3481">
        <v>2450000</v>
      </c>
      <c r="G1949" s="3482" t="s">
        <v>7313</v>
      </c>
    </row>
    <row r="1950" spans="1:7">
      <c r="A1950" s="3536">
        <v>1949</v>
      </c>
      <c r="B1950" s="3481" t="s">
        <v>7334</v>
      </c>
      <c r="C1950" s="3481" t="s">
        <v>5305</v>
      </c>
      <c r="D1950" s="3482">
        <v>85.56</v>
      </c>
      <c r="E1950" s="3519">
        <f t="shared" si="30"/>
        <v>28634.87611033193</v>
      </c>
      <c r="F1950" s="3481">
        <v>2450000</v>
      </c>
      <c r="G1950" s="3482" t="s">
        <v>7313</v>
      </c>
    </row>
    <row r="1951" spans="1:7">
      <c r="A1951" s="3536">
        <v>1950</v>
      </c>
      <c r="B1951" s="3481" t="s">
        <v>7335</v>
      </c>
      <c r="C1951" s="3481" t="s">
        <v>3395</v>
      </c>
      <c r="D1951" s="3482">
        <v>85.56</v>
      </c>
      <c r="E1951" s="3519">
        <f t="shared" si="30"/>
        <v>28634.87611033193</v>
      </c>
      <c r="F1951" s="3481">
        <v>2450000</v>
      </c>
      <c r="G1951" s="3482" t="s">
        <v>7313</v>
      </c>
    </row>
    <row r="1952" spans="1:7">
      <c r="A1952" s="3536">
        <v>1951</v>
      </c>
      <c r="B1952" s="3481" t="s">
        <v>7336</v>
      </c>
      <c r="C1952" s="3481" t="s">
        <v>3395</v>
      </c>
      <c r="D1952" s="3482">
        <v>85.56</v>
      </c>
      <c r="E1952" s="3519">
        <f t="shared" si="30"/>
        <v>28634.87611033193</v>
      </c>
      <c r="F1952" s="3481">
        <v>2450000</v>
      </c>
      <c r="G1952" s="3482" t="s">
        <v>7313</v>
      </c>
    </row>
    <row r="1953" spans="1:7">
      <c r="A1953" s="3536">
        <v>1952</v>
      </c>
      <c r="B1953" s="3481" t="s">
        <v>7337</v>
      </c>
      <c r="C1953" s="3481" t="s">
        <v>3395</v>
      </c>
      <c r="D1953" s="3482">
        <v>85.56</v>
      </c>
      <c r="E1953" s="3519">
        <f t="shared" si="30"/>
        <v>28634.87611033193</v>
      </c>
      <c r="F1953" s="3481">
        <v>2450000</v>
      </c>
      <c r="G1953" s="3482" t="s">
        <v>7313</v>
      </c>
    </row>
    <row r="1954" spans="1:7">
      <c r="A1954" s="3536">
        <v>1953</v>
      </c>
      <c r="B1954" s="3481" t="s">
        <v>7338</v>
      </c>
      <c r="C1954" s="3481" t="s">
        <v>3395</v>
      </c>
      <c r="D1954" s="3482">
        <v>85.56</v>
      </c>
      <c r="E1954" s="3519">
        <f t="shared" si="30"/>
        <v>28634.87611033193</v>
      </c>
      <c r="F1954" s="3481">
        <v>2450000</v>
      </c>
      <c r="G1954" s="3482" t="s">
        <v>7313</v>
      </c>
    </row>
    <row r="1955" spans="1:7">
      <c r="A1955" s="3536">
        <v>1954</v>
      </c>
      <c r="B1955" s="3481" t="s">
        <v>7339</v>
      </c>
      <c r="C1955" s="3481" t="s">
        <v>3395</v>
      </c>
      <c r="D1955" s="3482">
        <v>85.56</v>
      </c>
      <c r="E1955" s="3519">
        <f t="shared" si="30"/>
        <v>28634.87611033193</v>
      </c>
      <c r="F1955" s="3481">
        <v>2450000</v>
      </c>
      <c r="G1955" s="3482" t="s">
        <v>7313</v>
      </c>
    </row>
    <row r="1956" spans="1:7">
      <c r="A1956" s="3536">
        <v>1955</v>
      </c>
      <c r="B1956" s="3481" t="s">
        <v>7340</v>
      </c>
      <c r="C1956" s="3481" t="s">
        <v>3395</v>
      </c>
      <c r="D1956" s="3482">
        <v>85.56</v>
      </c>
      <c r="E1956" s="3519">
        <f t="shared" si="30"/>
        <v>28634.87611033193</v>
      </c>
      <c r="F1956" s="3481">
        <v>2450000</v>
      </c>
      <c r="G1956" s="3482" t="s">
        <v>7313</v>
      </c>
    </row>
    <row r="1957" spans="1:7">
      <c r="A1957" s="3536">
        <v>1956</v>
      </c>
      <c r="B1957" s="3481" t="s">
        <v>7341</v>
      </c>
      <c r="C1957" s="3481" t="s">
        <v>3395</v>
      </c>
      <c r="D1957" s="3482">
        <v>85.56</v>
      </c>
      <c r="E1957" s="3519">
        <f t="shared" si="30"/>
        <v>28634.87611033193</v>
      </c>
      <c r="F1957" s="3481">
        <v>2450000</v>
      </c>
      <c r="G1957" s="3482" t="s">
        <v>7313</v>
      </c>
    </row>
    <row r="1958" spans="1:7">
      <c r="A1958" s="3536">
        <v>1957</v>
      </c>
      <c r="B1958" s="3481" t="s">
        <v>7342</v>
      </c>
      <c r="C1958" s="3481" t="s">
        <v>3395</v>
      </c>
      <c r="D1958" s="3482">
        <v>85.56</v>
      </c>
      <c r="E1958" s="3519">
        <f t="shared" si="30"/>
        <v>28634.87611033193</v>
      </c>
      <c r="F1958" s="3481">
        <v>2450000</v>
      </c>
      <c r="G1958" s="3482" t="s">
        <v>7313</v>
      </c>
    </row>
    <row r="1959" spans="1:7">
      <c r="A1959" s="3536">
        <v>1958</v>
      </c>
      <c r="B1959" s="3481" t="s">
        <v>7035</v>
      </c>
      <c r="C1959" s="3481" t="s">
        <v>3395</v>
      </c>
      <c r="D1959" s="3482">
        <v>85.56</v>
      </c>
      <c r="E1959" s="3519">
        <f t="shared" si="30"/>
        <v>28924.123422159886</v>
      </c>
      <c r="F1959" s="3481">
        <v>2474748</v>
      </c>
      <c r="G1959" s="3482" t="s">
        <v>3469</v>
      </c>
    </row>
    <row r="1960" spans="1:7">
      <c r="A1960" s="3536">
        <v>1959</v>
      </c>
      <c r="B1960" s="3481" t="s">
        <v>7343</v>
      </c>
      <c r="C1960" s="3481" t="s">
        <v>3395</v>
      </c>
      <c r="D1960" s="3482">
        <v>85.56</v>
      </c>
      <c r="E1960" s="3519">
        <f t="shared" si="30"/>
        <v>28634.87611033193</v>
      </c>
      <c r="F1960" s="3481">
        <v>2450000</v>
      </c>
      <c r="G1960" s="3482" t="s">
        <v>7313</v>
      </c>
    </row>
    <row r="1961" spans="1:7">
      <c r="A1961" s="3536">
        <v>1960</v>
      </c>
      <c r="B1961" s="3481" t="s">
        <v>7344</v>
      </c>
      <c r="C1961" s="3481" t="s">
        <v>3395</v>
      </c>
      <c r="D1961" s="3482">
        <v>85.56</v>
      </c>
      <c r="E1961" s="3519">
        <f t="shared" si="30"/>
        <v>28634.87611033193</v>
      </c>
      <c r="F1961" s="3481">
        <v>2450000</v>
      </c>
      <c r="G1961" s="3482" t="s">
        <v>7313</v>
      </c>
    </row>
    <row r="1962" spans="1:7">
      <c r="A1962" s="3536">
        <v>1961</v>
      </c>
      <c r="B1962" s="3481" t="s">
        <v>7345</v>
      </c>
      <c r="C1962" s="3481" t="s">
        <v>3395</v>
      </c>
      <c r="D1962" s="3482">
        <v>85.56</v>
      </c>
      <c r="E1962" s="3519">
        <f t="shared" si="30"/>
        <v>28634.87611033193</v>
      </c>
      <c r="F1962" s="3481">
        <v>2450000</v>
      </c>
      <c r="G1962" s="3482" t="s">
        <v>7313</v>
      </c>
    </row>
    <row r="1963" spans="1:7">
      <c r="A1963" s="3536">
        <v>1962</v>
      </c>
      <c r="B1963" s="3481" t="s">
        <v>7069</v>
      </c>
      <c r="C1963" s="3481" t="s">
        <v>3395</v>
      </c>
      <c r="D1963" s="3482">
        <v>85.56</v>
      </c>
      <c r="E1963" s="3519">
        <f t="shared" si="30"/>
        <v>28284.244974287049</v>
      </c>
      <c r="F1963" s="3481">
        <v>2420000</v>
      </c>
      <c r="G1963" s="3482" t="s">
        <v>7066</v>
      </c>
    </row>
    <row r="1964" spans="1:7">
      <c r="A1964" s="3536">
        <v>1963</v>
      </c>
      <c r="B1964" s="3481" t="s">
        <v>7148</v>
      </c>
      <c r="C1964" s="3481" t="s">
        <v>3395</v>
      </c>
      <c r="D1964" s="3482">
        <v>85.56</v>
      </c>
      <c r="E1964" s="3519">
        <f t="shared" si="30"/>
        <v>28392.847124824682</v>
      </c>
      <c r="F1964" s="3481">
        <v>2429292</v>
      </c>
      <c r="G1964" s="3482" t="s">
        <v>7147</v>
      </c>
    </row>
    <row r="1965" spans="1:7">
      <c r="A1965" s="3536">
        <v>1964</v>
      </c>
      <c r="B1965" s="3481" t="s">
        <v>7149</v>
      </c>
      <c r="C1965" s="3481" t="s">
        <v>3395</v>
      </c>
      <c r="D1965" s="3482">
        <v>85.56</v>
      </c>
      <c r="E1965" s="3519">
        <f t="shared" si="30"/>
        <v>28392.847124824682</v>
      </c>
      <c r="F1965" s="3481">
        <v>2429292</v>
      </c>
      <c r="G1965" s="3482" t="s">
        <v>7147</v>
      </c>
    </row>
    <row r="1966" spans="1:7">
      <c r="A1966" s="3536">
        <v>1965</v>
      </c>
      <c r="B1966" s="3481" t="s">
        <v>7036</v>
      </c>
      <c r="C1966" s="3481" t="s">
        <v>3395</v>
      </c>
      <c r="D1966" s="3482">
        <v>85.56</v>
      </c>
      <c r="E1966" s="3519">
        <f t="shared" si="30"/>
        <v>28924.123422159886</v>
      </c>
      <c r="F1966" s="3481">
        <v>2474748</v>
      </c>
      <c r="G1966" s="3482" t="s">
        <v>3469</v>
      </c>
    </row>
    <row r="1967" spans="1:7">
      <c r="A1967" s="3536">
        <v>1966</v>
      </c>
      <c r="B1967" s="3481" t="s">
        <v>7042</v>
      </c>
      <c r="C1967" s="3481" t="s">
        <v>5305</v>
      </c>
      <c r="D1967" s="3482">
        <v>85.56</v>
      </c>
      <c r="E1967" s="3519">
        <f t="shared" si="30"/>
        <v>28924.123422159886</v>
      </c>
      <c r="F1967" s="3481">
        <v>2474748</v>
      </c>
      <c r="G1967" s="3482" t="s">
        <v>3469</v>
      </c>
    </row>
    <row r="1968" spans="1:7">
      <c r="A1968" s="3536">
        <v>1967</v>
      </c>
      <c r="B1968" s="3481" t="s">
        <v>7054</v>
      </c>
      <c r="C1968" s="3481" t="s">
        <v>3395</v>
      </c>
      <c r="D1968" s="3482">
        <v>85.56</v>
      </c>
      <c r="E1968" s="3519">
        <f t="shared" si="30"/>
        <v>28284.244974287049</v>
      </c>
      <c r="F1968" s="3481">
        <v>2420000</v>
      </c>
      <c r="G1968" s="3482" t="s">
        <v>7055</v>
      </c>
    </row>
    <row r="1969" spans="1:7">
      <c r="A1969" s="3536">
        <v>1968</v>
      </c>
      <c r="B1969" s="3481" t="s">
        <v>7007</v>
      </c>
      <c r="C1969" s="3481" t="s">
        <v>3395</v>
      </c>
      <c r="D1969" s="3482">
        <v>85.56</v>
      </c>
      <c r="E1969" s="3519">
        <f t="shared" si="30"/>
        <v>28050.490883590461</v>
      </c>
      <c r="F1969" s="3481">
        <v>2400000</v>
      </c>
      <c r="G1969" s="3482" t="s">
        <v>6993</v>
      </c>
    </row>
    <row r="1970" spans="1:7">
      <c r="A1970" s="3536">
        <v>1969</v>
      </c>
      <c r="B1970" s="3481" t="s">
        <v>7113</v>
      </c>
      <c r="C1970" s="3481" t="s">
        <v>3395</v>
      </c>
      <c r="D1970" s="3482">
        <v>85.56</v>
      </c>
      <c r="E1970" s="3519">
        <f t="shared" si="30"/>
        <v>28284.244974287049</v>
      </c>
      <c r="F1970" s="3481">
        <v>2420000</v>
      </c>
      <c r="G1970" s="3482" t="s">
        <v>3483</v>
      </c>
    </row>
    <row r="1971" spans="1:7">
      <c r="A1971" s="3536">
        <v>1970</v>
      </c>
      <c r="B1971" s="3481" t="s">
        <v>7144</v>
      </c>
      <c r="C1971" s="3481" t="s">
        <v>3395</v>
      </c>
      <c r="D1971" s="3482">
        <v>85.56</v>
      </c>
      <c r="E1971" s="3519">
        <f t="shared" si="30"/>
        <v>28284.244974287049</v>
      </c>
      <c r="F1971" s="3481">
        <v>2420000</v>
      </c>
      <c r="G1971" s="3482" t="s">
        <v>7143</v>
      </c>
    </row>
    <row r="1972" spans="1:7">
      <c r="A1972" s="3536">
        <v>1971</v>
      </c>
      <c r="B1972" s="3481" t="s">
        <v>7155</v>
      </c>
      <c r="C1972" s="3481" t="s">
        <v>3395</v>
      </c>
      <c r="D1972" s="3482">
        <v>85.56</v>
      </c>
      <c r="E1972" s="3519">
        <f t="shared" si="30"/>
        <v>28392.847124824682</v>
      </c>
      <c r="F1972" s="3481">
        <v>2429292</v>
      </c>
      <c r="G1972" s="3482" t="s">
        <v>7156</v>
      </c>
    </row>
    <row r="1973" spans="1:7">
      <c r="A1973" s="3536">
        <v>1972</v>
      </c>
      <c r="B1973" s="3481" t="s">
        <v>7150</v>
      </c>
      <c r="C1973" s="3481" t="s">
        <v>3395</v>
      </c>
      <c r="D1973" s="3482">
        <v>85.56</v>
      </c>
      <c r="E1973" s="3519">
        <f t="shared" si="30"/>
        <v>28392.847124824682</v>
      </c>
      <c r="F1973" s="3481">
        <v>2429292</v>
      </c>
      <c r="G1973" s="3482" t="s">
        <v>7147</v>
      </c>
    </row>
    <row r="1974" spans="1:7">
      <c r="A1974" s="3536">
        <v>1973</v>
      </c>
      <c r="B1974" s="3481" t="s">
        <v>7037</v>
      </c>
      <c r="C1974" s="3481" t="s">
        <v>3395</v>
      </c>
      <c r="D1974" s="3482">
        <v>85.56</v>
      </c>
      <c r="E1974" s="3519">
        <f t="shared" si="30"/>
        <v>28924.123422159886</v>
      </c>
      <c r="F1974" s="3481">
        <v>2474748</v>
      </c>
      <c r="G1974" s="3482" t="s">
        <v>3469</v>
      </c>
    </row>
    <row r="1975" spans="1:7">
      <c r="A1975" s="3536">
        <v>1974</v>
      </c>
      <c r="B1975" s="3481" t="s">
        <v>7043</v>
      </c>
      <c r="C1975" s="3481" t="s">
        <v>5305</v>
      </c>
      <c r="D1975" s="3482">
        <v>85.94</v>
      </c>
      <c r="E1975" s="3519">
        <f t="shared" si="30"/>
        <v>28796.229927856646</v>
      </c>
      <c r="F1975" s="3481">
        <v>2474748</v>
      </c>
      <c r="G1975" s="3482" t="s">
        <v>3469</v>
      </c>
    </row>
    <row r="1976" spans="1:7">
      <c r="A1976" s="3536">
        <v>1975</v>
      </c>
      <c r="B1976" s="3481" t="s">
        <v>7049</v>
      </c>
      <c r="C1976" s="3481" t="s">
        <v>3395</v>
      </c>
      <c r="D1976" s="3482">
        <v>85.56</v>
      </c>
      <c r="E1976" s="3519">
        <f t="shared" si="30"/>
        <v>28284.244974287049</v>
      </c>
      <c r="F1976" s="3481">
        <v>2420000</v>
      </c>
      <c r="G1976" s="3482" t="s">
        <v>7047</v>
      </c>
    </row>
    <row r="1977" spans="1:7">
      <c r="A1977" s="3536">
        <v>1976</v>
      </c>
      <c r="B1977" s="3481" t="s">
        <v>7008</v>
      </c>
      <c r="C1977" s="3481" t="s">
        <v>3395</v>
      </c>
      <c r="D1977" s="3482">
        <v>85.94</v>
      </c>
      <c r="E1977" s="3519">
        <f t="shared" si="30"/>
        <v>27926.460321154293</v>
      </c>
      <c r="F1977" s="3481">
        <v>2400000</v>
      </c>
      <c r="G1977" s="3482" t="s">
        <v>6993</v>
      </c>
    </row>
    <row r="1978" spans="1:7">
      <c r="A1978" s="3536">
        <v>1977</v>
      </c>
      <c r="B1978" s="3481" t="s">
        <v>7063</v>
      </c>
      <c r="C1978" s="3481" t="s">
        <v>3395</v>
      </c>
      <c r="D1978" s="3482">
        <v>85.56</v>
      </c>
      <c r="E1978" s="3519">
        <f t="shared" si="30"/>
        <v>28284.244974287049</v>
      </c>
      <c r="F1978" s="3481">
        <v>2420000</v>
      </c>
      <c r="G1978" s="3482" t="s">
        <v>7061</v>
      </c>
    </row>
    <row r="1979" spans="1:7">
      <c r="A1979" s="3536">
        <v>1978</v>
      </c>
      <c r="B1979" s="3481" t="s">
        <v>7151</v>
      </c>
      <c r="C1979" s="3481" t="s">
        <v>3395</v>
      </c>
      <c r="D1979" s="3482">
        <v>85.94</v>
      </c>
      <c r="E1979" s="3519">
        <f t="shared" si="30"/>
        <v>27984.640446823367</v>
      </c>
      <c r="F1979" s="3481">
        <v>2405000</v>
      </c>
      <c r="G1979" s="3482" t="s">
        <v>7147</v>
      </c>
    </row>
    <row r="1980" spans="1:7">
      <c r="A1980" s="3536">
        <v>1979</v>
      </c>
      <c r="B1980" s="3481" t="s">
        <v>7293</v>
      </c>
      <c r="C1980" s="3481" t="s">
        <v>3395</v>
      </c>
      <c r="D1980" s="3482">
        <v>85.56</v>
      </c>
      <c r="E1980" s="3519">
        <f t="shared" si="30"/>
        <v>28634.87611033193</v>
      </c>
      <c r="F1980" s="3481">
        <v>2450000</v>
      </c>
      <c r="G1980" s="3482" t="s">
        <v>3514</v>
      </c>
    </row>
    <row r="1981" spans="1:7">
      <c r="A1981" s="3536">
        <v>1980</v>
      </c>
      <c r="B1981" s="3481" t="s">
        <v>7294</v>
      </c>
      <c r="C1981" s="3481" t="s">
        <v>3395</v>
      </c>
      <c r="D1981" s="3482">
        <v>85.94</v>
      </c>
      <c r="E1981" s="3519">
        <f t="shared" si="30"/>
        <v>28508.261577845009</v>
      </c>
      <c r="F1981" s="3481">
        <v>2450000</v>
      </c>
      <c r="G1981" s="3482" t="s">
        <v>3514</v>
      </c>
    </row>
    <row r="1982" spans="1:7">
      <c r="A1982" s="3536">
        <v>1981</v>
      </c>
      <c r="B1982" s="3481" t="s">
        <v>7044</v>
      </c>
      <c r="C1982" s="3481" t="s">
        <v>3395</v>
      </c>
      <c r="D1982" s="3482">
        <v>85.56</v>
      </c>
      <c r="E1982" s="3519">
        <f t="shared" si="30"/>
        <v>28924.123422159886</v>
      </c>
      <c r="F1982" s="3481">
        <v>2474748</v>
      </c>
      <c r="G1982" s="3482" t="s">
        <v>3469</v>
      </c>
    </row>
    <row r="1983" spans="1:7">
      <c r="A1983" s="3536">
        <v>1982</v>
      </c>
      <c r="B1983" s="3481" t="s">
        <v>7045</v>
      </c>
      <c r="C1983" s="3481" t="s">
        <v>3395</v>
      </c>
      <c r="D1983" s="3482">
        <v>85.94</v>
      </c>
      <c r="E1983" s="3519">
        <f t="shared" si="30"/>
        <v>28796.229927856646</v>
      </c>
      <c r="F1983" s="3481">
        <v>2474748</v>
      </c>
      <c r="G1983" s="3482" t="s">
        <v>3469</v>
      </c>
    </row>
    <row r="1984" spans="1:7">
      <c r="A1984" s="3536">
        <v>1983</v>
      </c>
      <c r="B1984" s="3481" t="s">
        <v>6899</v>
      </c>
      <c r="C1984" s="3481" t="s">
        <v>3395</v>
      </c>
      <c r="D1984" s="3482">
        <v>83.88</v>
      </c>
      <c r="E1984" s="3519">
        <f t="shared" si="30"/>
        <v>29208.392942298524</v>
      </c>
      <c r="F1984" s="3481">
        <v>2450000</v>
      </c>
      <c r="G1984" s="3482" t="s">
        <v>3437</v>
      </c>
    </row>
    <row r="1985" spans="1:7">
      <c r="A1985" s="3536">
        <v>1984</v>
      </c>
      <c r="B1985" s="3481" t="s">
        <v>6944</v>
      </c>
      <c r="C1985" s="3481" t="s">
        <v>3395</v>
      </c>
      <c r="D1985" s="3482">
        <v>83.5</v>
      </c>
      <c r="E1985" s="3519">
        <f t="shared" si="30"/>
        <v>29879.628742514971</v>
      </c>
      <c r="F1985" s="3481">
        <v>2494949</v>
      </c>
      <c r="G1985" s="3482" t="s">
        <v>6945</v>
      </c>
    </row>
    <row r="1986" spans="1:7">
      <c r="A1986" s="3536">
        <v>1985</v>
      </c>
      <c r="B1986" s="3481" t="s">
        <v>6926</v>
      </c>
      <c r="C1986" s="3481" t="s">
        <v>3395</v>
      </c>
      <c r="D1986" s="3482">
        <v>83.88</v>
      </c>
      <c r="E1986" s="3519">
        <f t="shared" si="30"/>
        <v>29864.091559370532</v>
      </c>
      <c r="F1986" s="3481">
        <v>2505000</v>
      </c>
      <c r="G1986" s="3482" t="s">
        <v>3446</v>
      </c>
    </row>
    <row r="1987" spans="1:7">
      <c r="A1987" s="3536">
        <v>1986</v>
      </c>
      <c r="B1987" s="3481" t="s">
        <v>6931</v>
      </c>
      <c r="C1987" s="3481" t="s">
        <v>3395</v>
      </c>
      <c r="D1987" s="3482">
        <v>83.5</v>
      </c>
      <c r="E1987" s="3519">
        <f t="shared" ref="E1987:E2050" si="31">F1987/D1987</f>
        <v>29760.479041916169</v>
      </c>
      <c r="F1987" s="3481">
        <v>2485000</v>
      </c>
      <c r="G1987" s="3482" t="s">
        <v>6930</v>
      </c>
    </row>
    <row r="1988" spans="1:7">
      <c r="A1988" s="3536">
        <v>1987</v>
      </c>
      <c r="B1988" s="3481" t="s">
        <v>6938</v>
      </c>
      <c r="C1988" s="3481" t="s">
        <v>3395</v>
      </c>
      <c r="D1988" s="3482">
        <v>83.88</v>
      </c>
      <c r="E1988" s="3519">
        <f t="shared" si="31"/>
        <v>28540.045302813545</v>
      </c>
      <c r="F1988" s="3481">
        <v>2393939</v>
      </c>
      <c r="G1988" s="3482" t="s">
        <v>6939</v>
      </c>
    </row>
    <row r="1989" spans="1:7">
      <c r="A1989" s="3536">
        <v>1988</v>
      </c>
      <c r="B1989" s="3481" t="s">
        <v>6927</v>
      </c>
      <c r="C1989" s="3481" t="s">
        <v>3395</v>
      </c>
      <c r="D1989" s="3482">
        <v>74.180000000000007</v>
      </c>
      <c r="E1989" s="3519">
        <f t="shared" si="31"/>
        <v>30357.023456457264</v>
      </c>
      <c r="F1989" s="3481">
        <v>2251884</v>
      </c>
      <c r="G1989" s="3482" t="s">
        <v>3446</v>
      </c>
    </row>
    <row r="1990" spans="1:7">
      <c r="A1990" s="3536">
        <v>1989</v>
      </c>
      <c r="B1990" s="3481" t="s">
        <v>6961</v>
      </c>
      <c r="C1990" s="3481" t="s">
        <v>3395</v>
      </c>
      <c r="D1990" s="3482">
        <v>73.72</v>
      </c>
      <c r="E1990" s="3519">
        <f t="shared" si="31"/>
        <v>29664.527943570265</v>
      </c>
      <c r="F1990" s="3481">
        <v>2186869</v>
      </c>
      <c r="G1990" s="3482" t="s">
        <v>6955</v>
      </c>
    </row>
    <row r="1991" spans="1:7">
      <c r="A1991" s="3536">
        <v>1990</v>
      </c>
      <c r="B1991" s="3481" t="s">
        <v>6852</v>
      </c>
      <c r="C1991" s="3481" t="s">
        <v>3395</v>
      </c>
      <c r="D1991" s="3482">
        <v>83.5</v>
      </c>
      <c r="E1991" s="3519">
        <f t="shared" si="31"/>
        <v>28983.245508982036</v>
      </c>
      <c r="F1991" s="3481">
        <v>2420101</v>
      </c>
      <c r="G1991" s="3482" t="s">
        <v>6850</v>
      </c>
    </row>
    <row r="1992" spans="1:7">
      <c r="A1992" s="3536">
        <v>1991</v>
      </c>
      <c r="B1992" s="3481" t="s">
        <v>6981</v>
      </c>
      <c r="C1992" s="3481" t="s">
        <v>3395</v>
      </c>
      <c r="D1992" s="3482">
        <v>83.5</v>
      </c>
      <c r="E1992" s="3519">
        <f t="shared" si="31"/>
        <v>29879.628742514971</v>
      </c>
      <c r="F1992" s="3481">
        <v>2494949</v>
      </c>
      <c r="G1992" s="3482" t="s">
        <v>3452</v>
      </c>
    </row>
    <row r="1993" spans="1:7">
      <c r="A1993" s="3536">
        <v>1992</v>
      </c>
      <c r="B1993" s="3481" t="s">
        <v>6912</v>
      </c>
      <c r="C1993" s="3481" t="s">
        <v>3395</v>
      </c>
      <c r="D1993" s="3482">
        <v>83.5</v>
      </c>
      <c r="E1993" s="3519">
        <f t="shared" si="31"/>
        <v>30061.089820359281</v>
      </c>
      <c r="F1993" s="3481">
        <v>2510101</v>
      </c>
      <c r="G1993" s="3482" t="s">
        <v>6910</v>
      </c>
    </row>
    <row r="1994" spans="1:7">
      <c r="A1994" s="3536">
        <v>1993</v>
      </c>
      <c r="B1994" s="3481" t="s">
        <v>6936</v>
      </c>
      <c r="C1994" s="3481" t="s">
        <v>3395</v>
      </c>
      <c r="D1994" s="3482">
        <v>83.5</v>
      </c>
      <c r="E1994" s="3519">
        <f t="shared" si="31"/>
        <v>31705.976047904191</v>
      </c>
      <c r="F1994" s="3481">
        <v>2647449</v>
      </c>
      <c r="G1994" s="3482" t="s">
        <v>6934</v>
      </c>
    </row>
    <row r="1995" spans="1:7">
      <c r="A1995" s="3536">
        <v>1994</v>
      </c>
      <c r="B1995" s="3481" t="s">
        <v>6913</v>
      </c>
      <c r="C1995" s="3481" t="s">
        <v>3395</v>
      </c>
      <c r="D1995" s="3482">
        <v>83.5</v>
      </c>
      <c r="E1995" s="3519">
        <f t="shared" si="31"/>
        <v>28548.958083832335</v>
      </c>
      <c r="F1995" s="3481">
        <v>2383838</v>
      </c>
      <c r="G1995" s="3482" t="s">
        <v>6910</v>
      </c>
    </row>
    <row r="1996" spans="1:7">
      <c r="A1996" s="3536">
        <v>1995</v>
      </c>
      <c r="B1996" s="3481" t="s">
        <v>6900</v>
      </c>
      <c r="C1996" s="3481" t="s">
        <v>3395</v>
      </c>
      <c r="D1996" s="3482">
        <v>83.5</v>
      </c>
      <c r="E1996" s="3519">
        <f t="shared" si="31"/>
        <v>28548.958083832335</v>
      </c>
      <c r="F1996" s="3481">
        <v>2383838</v>
      </c>
      <c r="G1996" s="3482" t="s">
        <v>3437</v>
      </c>
    </row>
    <row r="1997" spans="1:7">
      <c r="A1997" s="3536">
        <v>1996</v>
      </c>
      <c r="B1997" s="3481" t="s">
        <v>6901</v>
      </c>
      <c r="C1997" s="3481" t="s">
        <v>3395</v>
      </c>
      <c r="D1997" s="3482">
        <v>73.72</v>
      </c>
      <c r="E1997" s="3519">
        <f t="shared" si="31"/>
        <v>29664.527943570265</v>
      </c>
      <c r="F1997" s="3481">
        <v>2186869</v>
      </c>
      <c r="G1997" s="3482" t="s">
        <v>3437</v>
      </c>
    </row>
    <row r="1998" spans="1:7">
      <c r="A1998" s="3536">
        <v>1997</v>
      </c>
      <c r="B1998" s="3481" t="s">
        <v>6937</v>
      </c>
      <c r="C1998" s="3481" t="s">
        <v>3395</v>
      </c>
      <c r="D1998" s="3482">
        <v>73.72</v>
      </c>
      <c r="E1998" s="3519">
        <f t="shared" si="31"/>
        <v>29938.56483993489</v>
      </c>
      <c r="F1998" s="3481">
        <v>2207071</v>
      </c>
      <c r="G1998" s="3482" t="s">
        <v>6934</v>
      </c>
    </row>
    <row r="1999" spans="1:7">
      <c r="A1999" s="3536">
        <v>1998</v>
      </c>
      <c r="B1999" s="3481" t="s">
        <v>6988</v>
      </c>
      <c r="C1999" s="3481" t="s">
        <v>3395</v>
      </c>
      <c r="D1999" s="3482">
        <v>83.5</v>
      </c>
      <c r="E1999" s="3519">
        <f t="shared" si="31"/>
        <v>29879.628742514971</v>
      </c>
      <c r="F1999" s="3481">
        <v>2494949</v>
      </c>
      <c r="G1999" s="3482" t="s">
        <v>3457</v>
      </c>
    </row>
    <row r="2000" spans="1:7">
      <c r="A2000" s="3536">
        <v>1999</v>
      </c>
      <c r="B2000" s="3481" t="s">
        <v>6962</v>
      </c>
      <c r="C2000" s="3481" t="s">
        <v>3395</v>
      </c>
      <c r="D2000" s="3482">
        <v>83.5</v>
      </c>
      <c r="E2000" s="3519">
        <f t="shared" si="31"/>
        <v>29879.628742514971</v>
      </c>
      <c r="F2000" s="3481">
        <v>2494949</v>
      </c>
      <c r="G2000" s="3482" t="s">
        <v>6955</v>
      </c>
    </row>
    <row r="2001" spans="1:7">
      <c r="A2001" s="3536">
        <v>2000</v>
      </c>
      <c r="B2001" s="3481" t="s">
        <v>6946</v>
      </c>
      <c r="C2001" s="3481" t="s">
        <v>3395</v>
      </c>
      <c r="D2001" s="3482">
        <v>83.5</v>
      </c>
      <c r="E2001" s="3519">
        <f t="shared" si="31"/>
        <v>29760.479041916169</v>
      </c>
      <c r="F2001" s="3481">
        <v>2485000</v>
      </c>
      <c r="G2001" s="3482" t="s">
        <v>6945</v>
      </c>
    </row>
    <row r="2002" spans="1:7">
      <c r="A2002" s="3536">
        <v>2001</v>
      </c>
      <c r="B2002" s="3481" t="s">
        <v>6963</v>
      </c>
      <c r="C2002" s="3481" t="s">
        <v>3395</v>
      </c>
      <c r="D2002" s="3482">
        <v>83.5</v>
      </c>
      <c r="E2002" s="3519">
        <f t="shared" si="31"/>
        <v>29760.479041916169</v>
      </c>
      <c r="F2002" s="3481">
        <v>2485000</v>
      </c>
      <c r="G2002" s="3482" t="s">
        <v>6955</v>
      </c>
    </row>
    <row r="2003" spans="1:7">
      <c r="A2003" s="3536">
        <v>2002</v>
      </c>
      <c r="B2003" s="3481" t="s">
        <v>6922</v>
      </c>
      <c r="C2003" s="3481" t="s">
        <v>3395</v>
      </c>
      <c r="D2003" s="3482">
        <v>83.5</v>
      </c>
      <c r="E2003" s="3519">
        <f t="shared" si="31"/>
        <v>28502.994011976047</v>
      </c>
      <c r="F2003" s="3481">
        <v>2380000</v>
      </c>
      <c r="G2003" s="3482" t="s">
        <v>6923</v>
      </c>
    </row>
    <row r="2004" spans="1:7">
      <c r="A2004" s="3536">
        <v>2003</v>
      </c>
      <c r="B2004" s="3481" t="s">
        <v>6940</v>
      </c>
      <c r="C2004" s="3481" t="s">
        <v>3395</v>
      </c>
      <c r="D2004" s="3482">
        <v>83.5</v>
      </c>
      <c r="E2004" s="3519">
        <f t="shared" si="31"/>
        <v>28263.473053892216</v>
      </c>
      <c r="F2004" s="3481">
        <v>2360000</v>
      </c>
      <c r="G2004" s="3482" t="s">
        <v>6939</v>
      </c>
    </row>
    <row r="2005" spans="1:7">
      <c r="A2005" s="3536">
        <v>2004</v>
      </c>
      <c r="B2005" s="3481" t="s">
        <v>6947</v>
      </c>
      <c r="C2005" s="3481" t="s">
        <v>3395</v>
      </c>
      <c r="D2005" s="3482">
        <v>73.72</v>
      </c>
      <c r="E2005" s="3519">
        <f t="shared" si="31"/>
        <v>29842.647856755291</v>
      </c>
      <c r="F2005" s="3481">
        <v>2200000</v>
      </c>
      <c r="G2005" s="3482" t="s">
        <v>6945</v>
      </c>
    </row>
    <row r="2006" spans="1:7">
      <c r="A2006" s="3536">
        <v>2005</v>
      </c>
      <c r="B2006" s="3481" t="s">
        <v>6964</v>
      </c>
      <c r="C2006" s="3481" t="s">
        <v>3395</v>
      </c>
      <c r="D2006" s="3482">
        <v>73.72</v>
      </c>
      <c r="E2006" s="3519">
        <f t="shared" si="31"/>
        <v>29964.161692892023</v>
      </c>
      <c r="F2006" s="3481">
        <v>2208958</v>
      </c>
      <c r="G2006" s="3482" t="s">
        <v>6955</v>
      </c>
    </row>
    <row r="2007" spans="1:7">
      <c r="A2007" s="3536">
        <v>2006</v>
      </c>
      <c r="B2007" s="3481" t="s">
        <v>6914</v>
      </c>
      <c r="C2007" s="3481" t="s">
        <v>3395</v>
      </c>
      <c r="D2007" s="3482">
        <v>83.5</v>
      </c>
      <c r="E2007" s="3519">
        <f t="shared" si="31"/>
        <v>30121.580838323353</v>
      </c>
      <c r="F2007" s="3481">
        <v>2515152</v>
      </c>
      <c r="G2007" s="3482" t="s">
        <v>6910</v>
      </c>
    </row>
    <row r="2008" spans="1:7">
      <c r="A2008" s="3536">
        <v>2007</v>
      </c>
      <c r="B2008" s="3481" t="s">
        <v>6867</v>
      </c>
      <c r="C2008" s="3481" t="s">
        <v>3395</v>
      </c>
      <c r="D2008" s="3482">
        <v>83.45</v>
      </c>
      <c r="E2008" s="3519">
        <f t="shared" si="31"/>
        <v>29478.729778310364</v>
      </c>
      <c r="F2008" s="3481">
        <v>2460000</v>
      </c>
      <c r="G2008" s="3482" t="s">
        <v>3431</v>
      </c>
    </row>
    <row r="2009" spans="1:7">
      <c r="A2009" s="3536">
        <v>2008</v>
      </c>
      <c r="B2009" s="3481" t="s">
        <v>6906</v>
      </c>
      <c r="C2009" s="3481" t="s">
        <v>3395</v>
      </c>
      <c r="D2009" s="3482">
        <v>83.5</v>
      </c>
      <c r="E2009" s="3519">
        <f t="shared" si="31"/>
        <v>30303.029940119759</v>
      </c>
      <c r="F2009" s="3481">
        <v>2530303</v>
      </c>
      <c r="G2009" s="3482" t="s">
        <v>3444</v>
      </c>
    </row>
    <row r="2010" spans="1:7">
      <c r="A2010" s="3536">
        <v>2009</v>
      </c>
      <c r="B2010" s="3481" t="s">
        <v>6907</v>
      </c>
      <c r="C2010" s="3481" t="s">
        <v>3395</v>
      </c>
      <c r="D2010" s="3482">
        <v>83.5</v>
      </c>
      <c r="E2010" s="3519">
        <f t="shared" si="31"/>
        <v>30000</v>
      </c>
      <c r="F2010" s="3481">
        <v>2505000</v>
      </c>
      <c r="G2010" s="3482" t="s">
        <v>3444</v>
      </c>
    </row>
    <row r="2011" spans="1:7">
      <c r="A2011" s="3536">
        <v>2010</v>
      </c>
      <c r="B2011" s="3481" t="s">
        <v>6915</v>
      </c>
      <c r="C2011" s="3481" t="s">
        <v>3395</v>
      </c>
      <c r="D2011" s="3482">
        <v>83.5</v>
      </c>
      <c r="E2011" s="3519">
        <f t="shared" si="31"/>
        <v>28790.898203592813</v>
      </c>
      <c r="F2011" s="3481">
        <v>2404040</v>
      </c>
      <c r="G2011" s="3482" t="s">
        <v>6910</v>
      </c>
    </row>
    <row r="2012" spans="1:7">
      <c r="A2012" s="3536">
        <v>2011</v>
      </c>
      <c r="B2012" s="3481" t="s">
        <v>6948</v>
      </c>
      <c r="C2012" s="3481" t="s">
        <v>3395</v>
      </c>
      <c r="D2012" s="3482">
        <v>83.5</v>
      </c>
      <c r="E2012" s="3519">
        <f t="shared" si="31"/>
        <v>28790.898203592813</v>
      </c>
      <c r="F2012" s="3481">
        <v>2404040</v>
      </c>
      <c r="G2012" s="3482" t="s">
        <v>6945</v>
      </c>
    </row>
    <row r="2013" spans="1:7">
      <c r="A2013" s="3536">
        <v>2012</v>
      </c>
      <c r="B2013" s="3481" t="s">
        <v>6965</v>
      </c>
      <c r="C2013" s="3481" t="s">
        <v>3395</v>
      </c>
      <c r="D2013" s="3482">
        <v>73.72</v>
      </c>
      <c r="E2013" s="3519">
        <f t="shared" si="31"/>
        <v>29938.56483993489</v>
      </c>
      <c r="F2013" s="3481">
        <v>2207071</v>
      </c>
      <c r="G2013" s="3482" t="s">
        <v>6955</v>
      </c>
    </row>
    <row r="2014" spans="1:7">
      <c r="A2014" s="3536">
        <v>2013</v>
      </c>
      <c r="B2014" s="3481" t="s">
        <v>7021</v>
      </c>
      <c r="C2014" s="3481" t="s">
        <v>3395</v>
      </c>
      <c r="D2014" s="3482">
        <v>73.72</v>
      </c>
      <c r="E2014" s="3519">
        <f t="shared" si="31"/>
        <v>30546.432447097126</v>
      </c>
      <c r="F2014" s="3481">
        <v>2251883</v>
      </c>
      <c r="G2014" s="3482" t="s">
        <v>7019</v>
      </c>
    </row>
    <row r="2015" spans="1:7">
      <c r="A2015" s="3536">
        <v>2014</v>
      </c>
      <c r="B2015" s="3481" t="s">
        <v>6884</v>
      </c>
      <c r="C2015" s="3481" t="s">
        <v>3395</v>
      </c>
      <c r="D2015" s="3482">
        <v>83.5</v>
      </c>
      <c r="E2015" s="3519">
        <f t="shared" si="31"/>
        <v>30059.880239520957</v>
      </c>
      <c r="F2015" s="3481">
        <v>2510000</v>
      </c>
      <c r="G2015" s="3482" t="s">
        <v>6882</v>
      </c>
    </row>
    <row r="2016" spans="1:7">
      <c r="A2016" s="3536">
        <v>2015</v>
      </c>
      <c r="B2016" s="3481" t="s">
        <v>6989</v>
      </c>
      <c r="C2016" s="3481" t="s">
        <v>3395</v>
      </c>
      <c r="D2016" s="3482">
        <v>83.88</v>
      </c>
      <c r="E2016" s="3519">
        <f t="shared" si="31"/>
        <v>30225.965665236054</v>
      </c>
      <c r="F2016" s="3481">
        <v>2535354</v>
      </c>
      <c r="G2016" s="3482" t="s">
        <v>3457</v>
      </c>
    </row>
    <row r="2017" spans="1:7">
      <c r="A2017" s="3536">
        <v>2016</v>
      </c>
      <c r="B2017" s="3481" t="s">
        <v>6932</v>
      </c>
      <c r="C2017" s="3481" t="s">
        <v>3395</v>
      </c>
      <c r="D2017" s="3482">
        <v>83.5</v>
      </c>
      <c r="E2017" s="3519">
        <f t="shared" si="31"/>
        <v>30239.520958083831</v>
      </c>
      <c r="F2017" s="3481">
        <v>2525000</v>
      </c>
      <c r="G2017" s="3482" t="s">
        <v>6930</v>
      </c>
    </row>
    <row r="2018" spans="1:7">
      <c r="A2018" s="3536">
        <v>2017</v>
      </c>
      <c r="B2018" s="3481" t="s">
        <v>6857</v>
      </c>
      <c r="C2018" s="3481" t="s">
        <v>3395</v>
      </c>
      <c r="D2018" s="3482">
        <v>83.88</v>
      </c>
      <c r="E2018" s="3519">
        <f t="shared" si="31"/>
        <v>30102.527420123988</v>
      </c>
      <c r="F2018" s="3481">
        <v>2525000</v>
      </c>
      <c r="G2018" s="3482" t="s">
        <v>6856</v>
      </c>
    </row>
    <row r="2019" spans="1:7">
      <c r="A2019" s="3536">
        <v>2018</v>
      </c>
      <c r="B2019" s="3481" t="s">
        <v>6949</v>
      </c>
      <c r="C2019" s="3481" t="s">
        <v>3395</v>
      </c>
      <c r="D2019" s="3482">
        <v>83.5</v>
      </c>
      <c r="E2019" s="3519">
        <f t="shared" si="31"/>
        <v>29326.095808383234</v>
      </c>
      <c r="F2019" s="3481">
        <v>2448729</v>
      </c>
      <c r="G2019" s="3482" t="s">
        <v>6945</v>
      </c>
    </row>
    <row r="2020" spans="1:7">
      <c r="A2020" s="3536">
        <v>2019</v>
      </c>
      <c r="B2020" s="3481" t="s">
        <v>6950</v>
      </c>
      <c r="C2020" s="3481" t="s">
        <v>3395</v>
      </c>
      <c r="D2020" s="3482">
        <v>83.88</v>
      </c>
      <c r="E2020" s="3519">
        <f t="shared" si="31"/>
        <v>28034.275154983312</v>
      </c>
      <c r="F2020" s="3481">
        <v>2351515</v>
      </c>
      <c r="G2020" s="3482" t="s">
        <v>6945</v>
      </c>
    </row>
    <row r="2021" spans="1:7">
      <c r="A2021" s="3536">
        <v>2020</v>
      </c>
      <c r="B2021" s="3481" t="s">
        <v>6951</v>
      </c>
      <c r="C2021" s="3481" t="s">
        <v>3395</v>
      </c>
      <c r="D2021" s="3482">
        <v>73.72</v>
      </c>
      <c r="E2021" s="3519">
        <f t="shared" si="31"/>
        <v>30829.191535539881</v>
      </c>
      <c r="F2021" s="3481">
        <v>2272728</v>
      </c>
      <c r="G2021" s="3482" t="s">
        <v>6945</v>
      </c>
    </row>
    <row r="2022" spans="1:7">
      <c r="A2022" s="3536">
        <v>2021</v>
      </c>
      <c r="B2022" s="3481" t="s">
        <v>6878</v>
      </c>
      <c r="C2022" s="3481" t="s">
        <v>3395</v>
      </c>
      <c r="D2022" s="3482">
        <v>74.069999999999993</v>
      </c>
      <c r="E2022" s="3519">
        <f t="shared" si="31"/>
        <v>31051.707843931417</v>
      </c>
      <c r="F2022" s="3481">
        <v>2300000</v>
      </c>
      <c r="G2022" s="3482" t="s">
        <v>6870</v>
      </c>
    </row>
    <row r="2023" spans="1:7">
      <c r="A2023" s="3536">
        <v>2022</v>
      </c>
      <c r="B2023" s="3481" t="s">
        <v>7302</v>
      </c>
      <c r="C2023" s="3481" t="s">
        <v>5318</v>
      </c>
      <c r="D2023" s="3482">
        <v>193.62</v>
      </c>
      <c r="E2023" s="3519">
        <f t="shared" si="31"/>
        <v>22432.775539716971</v>
      </c>
      <c r="F2023" s="3481">
        <v>4343434</v>
      </c>
      <c r="G2023" s="3482" t="s">
        <v>3517</v>
      </c>
    </row>
    <row r="2024" spans="1:7">
      <c r="A2024" s="3536">
        <v>2023</v>
      </c>
      <c r="B2024" s="3481" t="s">
        <v>3516</v>
      </c>
      <c r="C2024" s="3481" t="s">
        <v>3338</v>
      </c>
      <c r="D2024" s="3482">
        <v>12.54</v>
      </c>
      <c r="E2024" s="3519">
        <f t="shared" si="31"/>
        <v>8471.0526315789484</v>
      </c>
      <c r="F2024" s="3481">
        <v>106227</v>
      </c>
      <c r="G2024" s="3482" t="s">
        <v>3517</v>
      </c>
    </row>
    <row r="2025" spans="1:7">
      <c r="A2025" s="3536">
        <v>2024</v>
      </c>
      <c r="B2025" s="3481" t="s">
        <v>7241</v>
      </c>
      <c r="C2025" s="3481" t="s">
        <v>5305</v>
      </c>
      <c r="D2025" s="3482">
        <v>73.37</v>
      </c>
      <c r="E2025" s="3519">
        <f t="shared" si="31"/>
        <v>34619.054109308978</v>
      </c>
      <c r="F2025" s="3481">
        <v>2540000</v>
      </c>
      <c r="G2025" s="3482" t="s">
        <v>3500</v>
      </c>
    </row>
    <row r="2026" spans="1:7">
      <c r="A2026" s="3536">
        <v>2025</v>
      </c>
      <c r="B2026" s="3481" t="s">
        <v>3499</v>
      </c>
      <c r="C2026" s="3481" t="s">
        <v>3338</v>
      </c>
      <c r="D2026" s="3482">
        <v>98.55</v>
      </c>
      <c r="E2026" s="3519">
        <f t="shared" si="31"/>
        <v>10147.133434804668</v>
      </c>
      <c r="F2026" s="3481">
        <v>1000000</v>
      </c>
      <c r="G2026" s="3482" t="s">
        <v>3500</v>
      </c>
    </row>
    <row r="2027" spans="1:7">
      <c r="A2027" s="3536">
        <v>2026</v>
      </c>
      <c r="B2027" s="3481" t="s">
        <v>7114</v>
      </c>
      <c r="C2027" s="3481" t="s">
        <v>5305</v>
      </c>
      <c r="D2027" s="3482">
        <v>72.989999999999995</v>
      </c>
      <c r="E2027" s="3519">
        <f t="shared" si="31"/>
        <v>36383.956706398138</v>
      </c>
      <c r="F2027" s="3481">
        <v>2655665</v>
      </c>
      <c r="G2027" s="3482" t="s">
        <v>3483</v>
      </c>
    </row>
    <row r="2028" spans="1:7">
      <c r="A2028" s="3536">
        <v>2027</v>
      </c>
      <c r="B2028" s="3481" t="s">
        <v>3482</v>
      </c>
      <c r="C2028" s="3481" t="s">
        <v>3338</v>
      </c>
      <c r="D2028" s="3482">
        <v>97.15</v>
      </c>
      <c r="E2028" s="3519">
        <f t="shared" si="31"/>
        <v>10934.287184765826</v>
      </c>
      <c r="F2028" s="3481">
        <v>1062266</v>
      </c>
      <c r="G2028" s="3482" t="s">
        <v>3483</v>
      </c>
    </row>
    <row r="2029" spans="1:7">
      <c r="A2029" s="3536">
        <v>2028</v>
      </c>
      <c r="B2029" s="3481" t="s">
        <v>7360</v>
      </c>
      <c r="C2029" s="3481" t="s">
        <v>5318</v>
      </c>
      <c r="D2029" s="3482">
        <v>192.68</v>
      </c>
      <c r="E2029" s="3519">
        <f t="shared" si="31"/>
        <v>22769.91384679261</v>
      </c>
      <c r="F2029" s="3481">
        <v>4387307</v>
      </c>
      <c r="G2029" s="3482" t="s">
        <v>7361</v>
      </c>
    </row>
    <row r="2030" spans="1:7">
      <c r="A2030" s="3536">
        <v>2029</v>
      </c>
      <c r="B2030" s="3481" t="s">
        <v>3522</v>
      </c>
      <c r="C2030" s="3481" t="s">
        <v>3338</v>
      </c>
      <c r="D2030" s="3482">
        <v>12.54</v>
      </c>
      <c r="E2030" s="3519">
        <f t="shared" si="31"/>
        <v>7974.4816586921852</v>
      </c>
      <c r="F2030" s="3481">
        <v>100000</v>
      </c>
      <c r="G2030" s="3482" t="s">
        <v>3523</v>
      </c>
    </row>
    <row r="2031" spans="1:7">
      <c r="A2031" s="3536">
        <v>2030</v>
      </c>
      <c r="B2031" s="3481" t="s">
        <v>3518</v>
      </c>
      <c r="C2031" s="3481" t="s">
        <v>3338</v>
      </c>
      <c r="D2031" s="3482">
        <v>53.7</v>
      </c>
      <c r="E2031" s="3519">
        <f t="shared" si="31"/>
        <v>1978.1564245810055</v>
      </c>
      <c r="F2031" s="3481">
        <v>106227</v>
      </c>
      <c r="G2031" s="3482" t="s">
        <v>3517</v>
      </c>
    </row>
    <row r="2032" spans="1:7">
      <c r="A2032" s="3536">
        <v>2031</v>
      </c>
      <c r="B2032" s="3481" t="s">
        <v>3501</v>
      </c>
      <c r="C2032" s="3481" t="s">
        <v>3338</v>
      </c>
      <c r="D2032" s="3482">
        <v>188.41</v>
      </c>
      <c r="E2032" s="3519">
        <f t="shared" si="31"/>
        <v>10615.147815933336</v>
      </c>
      <c r="F2032" s="3481">
        <v>2000000</v>
      </c>
      <c r="G2032" s="3482" t="s">
        <v>3500</v>
      </c>
    </row>
    <row r="2033" spans="1:7">
      <c r="A2033" s="3536">
        <v>2032</v>
      </c>
      <c r="B2033" s="3481" t="s">
        <v>3478</v>
      </c>
      <c r="C2033" s="3481" t="s">
        <v>3338</v>
      </c>
      <c r="D2033" s="3482">
        <v>187.02</v>
      </c>
      <c r="E2033" s="3519">
        <f t="shared" si="31"/>
        <v>11359.913378248315</v>
      </c>
      <c r="F2033" s="3481">
        <v>2124531</v>
      </c>
      <c r="G2033" s="3482" t="s">
        <v>3479</v>
      </c>
    </row>
    <row r="2034" spans="1:7">
      <c r="A2034" s="3536">
        <v>2033</v>
      </c>
      <c r="B2034" s="3481" t="s">
        <v>3524</v>
      </c>
      <c r="C2034" s="3481" t="s">
        <v>3338</v>
      </c>
      <c r="D2034" s="3482">
        <v>53.15</v>
      </c>
      <c r="E2034" s="3519">
        <f t="shared" si="31"/>
        <v>1881.4675446848541</v>
      </c>
      <c r="F2034" s="3481">
        <v>100000</v>
      </c>
      <c r="G2034" s="3482" t="s">
        <v>3523</v>
      </c>
    </row>
    <row r="2035" spans="1:7">
      <c r="A2035" s="3536">
        <v>2034</v>
      </c>
      <c r="B2035" s="3481" t="s">
        <v>7370</v>
      </c>
      <c r="C2035" s="3481" t="s">
        <v>3395</v>
      </c>
      <c r="D2035" s="3482">
        <v>83.85</v>
      </c>
      <c r="E2035" s="3519">
        <f t="shared" si="31"/>
        <v>28595.277280858678</v>
      </c>
      <c r="F2035" s="3481">
        <v>2397714</v>
      </c>
      <c r="G2035" s="3482" t="s">
        <v>7371</v>
      </c>
    </row>
    <row r="2036" spans="1:7">
      <c r="A2036" s="3536">
        <v>2035</v>
      </c>
      <c r="B2036" s="3481" t="s">
        <v>7380</v>
      </c>
      <c r="C2036" s="3481" t="s">
        <v>3395</v>
      </c>
      <c r="D2036" s="3482">
        <v>83.46</v>
      </c>
      <c r="E2036" s="3519">
        <f t="shared" si="31"/>
        <v>28728.90007189073</v>
      </c>
      <c r="F2036" s="3481">
        <v>2397714</v>
      </c>
      <c r="G2036" s="3482" t="s">
        <v>7381</v>
      </c>
    </row>
    <row r="2037" spans="1:7">
      <c r="A2037" s="3536">
        <v>2036</v>
      </c>
      <c r="B2037" s="3481" t="s">
        <v>7376</v>
      </c>
      <c r="C2037" s="3481" t="s">
        <v>3395</v>
      </c>
      <c r="D2037" s="3482">
        <v>83.85</v>
      </c>
      <c r="E2037" s="3519">
        <f t="shared" si="31"/>
        <v>28595.277280858678</v>
      </c>
      <c r="F2037" s="3481">
        <v>2397714</v>
      </c>
      <c r="G2037" s="3482" t="s">
        <v>7377</v>
      </c>
    </row>
    <row r="2038" spans="1:7">
      <c r="A2038" s="3536">
        <v>2037</v>
      </c>
      <c r="B2038" s="3481" t="s">
        <v>7362</v>
      </c>
      <c r="C2038" s="3481" t="s">
        <v>3395</v>
      </c>
      <c r="D2038" s="3482">
        <v>83.46</v>
      </c>
      <c r="E2038" s="3519">
        <f t="shared" si="31"/>
        <v>28728.90007189073</v>
      </c>
      <c r="F2038" s="3481">
        <v>2397714</v>
      </c>
      <c r="G2038" s="3482" t="s">
        <v>7361</v>
      </c>
    </row>
    <row r="2039" spans="1:7">
      <c r="A2039" s="3536">
        <v>2038</v>
      </c>
      <c r="B2039" s="3481" t="s">
        <v>7238</v>
      </c>
      <c r="C2039" s="3481" t="s">
        <v>3395</v>
      </c>
      <c r="D2039" s="3482">
        <v>83.85</v>
      </c>
      <c r="E2039" s="3519">
        <f t="shared" si="31"/>
        <v>28026.237328562911</v>
      </c>
      <c r="F2039" s="3481">
        <v>2350000</v>
      </c>
      <c r="G2039" s="3482" t="s">
        <v>7237</v>
      </c>
    </row>
    <row r="2040" spans="1:7">
      <c r="A2040" s="3536">
        <v>2039</v>
      </c>
      <c r="B2040" s="3481" t="s">
        <v>7009</v>
      </c>
      <c r="C2040" s="3481" t="s">
        <v>3395</v>
      </c>
      <c r="D2040" s="3482">
        <v>83.46</v>
      </c>
      <c r="E2040" s="3519">
        <f t="shared" si="31"/>
        <v>28078.528636472565</v>
      </c>
      <c r="F2040" s="3481">
        <v>2343434</v>
      </c>
      <c r="G2040" s="3482" t="s">
        <v>6993</v>
      </c>
    </row>
    <row r="2041" spans="1:7">
      <c r="A2041" s="3536">
        <v>2040</v>
      </c>
      <c r="B2041" s="3481" t="s">
        <v>7351</v>
      </c>
      <c r="C2041" s="3481" t="s">
        <v>3395</v>
      </c>
      <c r="D2041" s="3482">
        <v>74.150000000000006</v>
      </c>
      <c r="E2041" s="3519">
        <f t="shared" si="31"/>
        <v>28208.010788941334</v>
      </c>
      <c r="F2041" s="3481">
        <v>2091624</v>
      </c>
      <c r="G2041" s="3482" t="s">
        <v>7350</v>
      </c>
    </row>
    <row r="2042" spans="1:7">
      <c r="A2042" s="3536">
        <v>2041</v>
      </c>
      <c r="B2042" s="3481" t="s">
        <v>7387</v>
      </c>
      <c r="C2042" s="3481" t="s">
        <v>3395</v>
      </c>
      <c r="D2042" s="3482">
        <v>73.69</v>
      </c>
      <c r="E2042" s="3519">
        <f t="shared" si="31"/>
        <v>31785.805401004207</v>
      </c>
      <c r="F2042" s="3481">
        <v>2342296</v>
      </c>
      <c r="G2042" s="3482" t="s">
        <v>7388</v>
      </c>
    </row>
    <row r="2043" spans="1:7">
      <c r="A2043" s="3536">
        <v>2042</v>
      </c>
      <c r="B2043" s="3481" t="s">
        <v>7286</v>
      </c>
      <c r="C2043" s="3481" t="s">
        <v>5318</v>
      </c>
      <c r="D2043" s="3482">
        <v>178.14</v>
      </c>
      <c r="E2043" s="3519">
        <f t="shared" si="31"/>
        <v>24628.421466262491</v>
      </c>
      <c r="F2043" s="3481">
        <v>4387307</v>
      </c>
      <c r="G2043" s="3482" t="s">
        <v>3506</v>
      </c>
    </row>
    <row r="2044" spans="1:7">
      <c r="A2044" s="3536">
        <v>2043</v>
      </c>
      <c r="B2044" s="3481" t="s">
        <v>3505</v>
      </c>
      <c r="C2044" s="3481" t="s">
        <v>3338</v>
      </c>
      <c r="D2044" s="3482">
        <v>25.8</v>
      </c>
      <c r="E2044" s="3519">
        <f t="shared" si="31"/>
        <v>3954.6899224806202</v>
      </c>
      <c r="F2044" s="3481">
        <v>102031</v>
      </c>
      <c r="G2044" s="3482" t="s">
        <v>3506</v>
      </c>
    </row>
    <row r="2045" spans="1:7">
      <c r="A2045" s="3536">
        <v>2044</v>
      </c>
      <c r="B2045" s="3481" t="s">
        <v>6990</v>
      </c>
      <c r="C2045" s="3481" t="s">
        <v>5305</v>
      </c>
      <c r="D2045" s="3482">
        <v>72.989999999999995</v>
      </c>
      <c r="E2045" s="3519">
        <f t="shared" si="31"/>
        <v>37402.383888203869</v>
      </c>
      <c r="F2045" s="3481">
        <v>2730000</v>
      </c>
      <c r="G2045" s="3482" t="s">
        <v>3457</v>
      </c>
    </row>
    <row r="2046" spans="1:7">
      <c r="A2046" s="3536">
        <v>2045</v>
      </c>
      <c r="B2046" s="3481" t="s">
        <v>3459</v>
      </c>
      <c r="C2046" s="3481" t="s">
        <v>3338</v>
      </c>
      <c r="D2046" s="3482">
        <v>97.15</v>
      </c>
      <c r="E2046" s="3519">
        <f t="shared" si="31"/>
        <v>11837.364899639731</v>
      </c>
      <c r="F2046" s="3481">
        <v>1150000</v>
      </c>
      <c r="G2046" s="3482" t="s">
        <v>3457</v>
      </c>
    </row>
    <row r="2047" spans="1:7">
      <c r="A2047" s="3536">
        <v>2046</v>
      </c>
      <c r="B2047" s="3481" t="s">
        <v>7291</v>
      </c>
      <c r="C2047" s="3481" t="s">
        <v>5318</v>
      </c>
      <c r="D2047" s="3482">
        <v>178.14</v>
      </c>
      <c r="E2047" s="3519">
        <f t="shared" si="31"/>
        <v>24628.421466262491</v>
      </c>
      <c r="F2047" s="3481">
        <v>4387307</v>
      </c>
      <c r="G2047" s="3482" t="s">
        <v>3511</v>
      </c>
    </row>
    <row r="2048" spans="1:7">
      <c r="A2048" s="3536">
        <v>2047</v>
      </c>
      <c r="B2048" s="3481" t="s">
        <v>3510</v>
      </c>
      <c r="C2048" s="3481" t="s">
        <v>3338</v>
      </c>
      <c r="D2048" s="3482">
        <v>25.8</v>
      </c>
      <c r="E2048" s="3519">
        <f t="shared" si="31"/>
        <v>3954.2635658914728</v>
      </c>
      <c r="F2048" s="3481">
        <v>102020</v>
      </c>
      <c r="G2048" s="3482" t="s">
        <v>3511</v>
      </c>
    </row>
    <row r="2049" spans="1:7">
      <c r="A2049" s="3536">
        <v>2048</v>
      </c>
      <c r="B2049" s="3481" t="s">
        <v>3507</v>
      </c>
      <c r="C2049" s="3481" t="s">
        <v>3338</v>
      </c>
      <c r="D2049" s="3482">
        <v>28.36</v>
      </c>
      <c r="E2049" s="3519">
        <f t="shared" si="31"/>
        <v>3597.7080394922427</v>
      </c>
      <c r="F2049" s="3481">
        <v>102031</v>
      </c>
      <c r="G2049" s="3482" t="s">
        <v>3506</v>
      </c>
    </row>
    <row r="2050" spans="1:7">
      <c r="A2050" s="3536">
        <v>2049</v>
      </c>
      <c r="B2050" s="3481" t="s">
        <v>3460</v>
      </c>
      <c r="C2050" s="3481" t="s">
        <v>3338</v>
      </c>
      <c r="D2050" s="3482">
        <v>187.02</v>
      </c>
      <c r="E2050" s="3519">
        <f t="shared" si="31"/>
        <v>11763.447759597904</v>
      </c>
      <c r="F2050" s="3481">
        <v>2200000</v>
      </c>
      <c r="G2050" s="3482" t="s">
        <v>3457</v>
      </c>
    </row>
    <row r="2051" spans="1:7">
      <c r="A2051" s="3536">
        <v>2050</v>
      </c>
      <c r="B2051" s="3481" t="s">
        <v>3512</v>
      </c>
      <c r="C2051" s="3481" t="s">
        <v>3338</v>
      </c>
      <c r="D2051" s="3482">
        <v>28.36</v>
      </c>
      <c r="E2051" s="3519">
        <f t="shared" ref="E2051:E2114" si="32">F2051/D2051</f>
        <v>3597.3201692524685</v>
      </c>
      <c r="F2051" s="3481">
        <v>102020</v>
      </c>
      <c r="G2051" s="3482" t="s">
        <v>3511</v>
      </c>
    </row>
    <row r="2052" spans="1:7">
      <c r="A2052" s="3536">
        <v>2051</v>
      </c>
      <c r="B2052" s="3481" t="s">
        <v>7352</v>
      </c>
      <c r="C2052" s="3481" t="s">
        <v>3395</v>
      </c>
      <c r="D2052" s="3482">
        <v>83.46</v>
      </c>
      <c r="E2052" s="3519">
        <f t="shared" si="32"/>
        <v>28728.90007189073</v>
      </c>
      <c r="F2052" s="3481">
        <v>2397714</v>
      </c>
      <c r="G2052" s="3482" t="s">
        <v>7350</v>
      </c>
    </row>
    <row r="2053" spans="1:7">
      <c r="A2053" s="3536">
        <v>2052</v>
      </c>
      <c r="B2053" s="3481" t="s">
        <v>7353</v>
      </c>
      <c r="C2053" s="3481" t="s">
        <v>3395</v>
      </c>
      <c r="D2053" s="3482">
        <v>83.46</v>
      </c>
      <c r="E2053" s="3519">
        <f t="shared" si="32"/>
        <v>28756.29043853343</v>
      </c>
      <c r="F2053" s="3481">
        <v>2400000</v>
      </c>
      <c r="G2053" s="3482" t="s">
        <v>7350</v>
      </c>
    </row>
    <row r="2054" spans="1:7">
      <c r="A2054" s="3536">
        <v>2053</v>
      </c>
      <c r="B2054" s="3481" t="s">
        <v>7369</v>
      </c>
      <c r="C2054" s="3481" t="s">
        <v>3395</v>
      </c>
      <c r="D2054" s="3482">
        <v>83.46</v>
      </c>
      <c r="E2054" s="3519">
        <f t="shared" si="32"/>
        <v>29019.098969566261</v>
      </c>
      <c r="F2054" s="3481">
        <v>2421934</v>
      </c>
      <c r="G2054" s="3482" t="s">
        <v>3526</v>
      </c>
    </row>
    <row r="2055" spans="1:7">
      <c r="A2055" s="3536">
        <v>2054</v>
      </c>
      <c r="B2055" s="3481" t="s">
        <v>7372</v>
      </c>
      <c r="C2055" s="3481" t="s">
        <v>3395</v>
      </c>
      <c r="D2055" s="3482">
        <v>83.46</v>
      </c>
      <c r="E2055" s="3519">
        <f t="shared" si="32"/>
        <v>28441.612748622098</v>
      </c>
      <c r="F2055" s="3481">
        <v>2373737</v>
      </c>
      <c r="G2055" s="3482" t="s">
        <v>7371</v>
      </c>
    </row>
    <row r="2056" spans="1:7">
      <c r="A2056" s="3536">
        <v>2055</v>
      </c>
      <c r="B2056" s="3481" t="s">
        <v>6977</v>
      </c>
      <c r="C2056" s="3481" t="s">
        <v>3395</v>
      </c>
      <c r="D2056" s="3482">
        <v>83.46</v>
      </c>
      <c r="E2056" s="3519">
        <f t="shared" si="32"/>
        <v>28078.528636472565</v>
      </c>
      <c r="F2056" s="3481">
        <v>2343434</v>
      </c>
      <c r="G2056" s="3482" t="s">
        <v>6971</v>
      </c>
    </row>
    <row r="2057" spans="1:7">
      <c r="A2057" s="3536">
        <v>2056</v>
      </c>
      <c r="B2057" s="3481" t="s">
        <v>7010</v>
      </c>
      <c r="C2057" s="3481" t="s">
        <v>3395</v>
      </c>
      <c r="D2057" s="3482">
        <v>83.46</v>
      </c>
      <c r="E2057" s="3519">
        <f t="shared" si="32"/>
        <v>27797.747423915651</v>
      </c>
      <c r="F2057" s="3481">
        <v>2320000</v>
      </c>
      <c r="G2057" s="3482" t="s">
        <v>6993</v>
      </c>
    </row>
    <row r="2058" spans="1:7">
      <c r="A2058" s="3536">
        <v>2057</v>
      </c>
      <c r="B2058" s="3481" t="s">
        <v>7382</v>
      </c>
      <c r="C2058" s="3481" t="s">
        <v>3395</v>
      </c>
      <c r="D2058" s="3482">
        <v>73.69</v>
      </c>
      <c r="E2058" s="3519">
        <f t="shared" si="32"/>
        <v>31785.805401004207</v>
      </c>
      <c r="F2058" s="3481">
        <v>2342296</v>
      </c>
      <c r="G2058" s="3482" t="s">
        <v>7383</v>
      </c>
    </row>
    <row r="2059" spans="1:7">
      <c r="A2059" s="3536">
        <v>2058</v>
      </c>
      <c r="B2059" s="3481" t="s">
        <v>7354</v>
      </c>
      <c r="C2059" s="3481" t="s">
        <v>3395</v>
      </c>
      <c r="D2059" s="3482">
        <v>73.69</v>
      </c>
      <c r="E2059" s="3519">
        <f t="shared" si="32"/>
        <v>28960.401682724929</v>
      </c>
      <c r="F2059" s="3481">
        <v>2134092</v>
      </c>
      <c r="G2059" s="3482" t="s">
        <v>7350</v>
      </c>
    </row>
    <row r="2060" spans="1:7">
      <c r="A2060" s="3536">
        <v>2059</v>
      </c>
      <c r="B2060" s="3481" t="s">
        <v>7395</v>
      </c>
      <c r="C2060" s="3481" t="s">
        <v>5318</v>
      </c>
      <c r="D2060" s="3482">
        <v>192.68</v>
      </c>
      <c r="E2060" s="3519">
        <f t="shared" si="32"/>
        <v>25378.866514428068</v>
      </c>
      <c r="F2060" s="3481">
        <v>4890000</v>
      </c>
      <c r="G2060" s="3482" t="s">
        <v>3529</v>
      </c>
    </row>
    <row r="2061" spans="1:7">
      <c r="A2061" s="3536">
        <v>2060</v>
      </c>
      <c r="B2061" s="3481" t="s">
        <v>3528</v>
      </c>
      <c r="C2061" s="3481" t="s">
        <v>3338</v>
      </c>
      <c r="D2061" s="3482">
        <v>12.54</v>
      </c>
      <c r="E2061" s="3519">
        <f t="shared" si="32"/>
        <v>7974.4816586921852</v>
      </c>
      <c r="F2061" s="3481">
        <v>100000</v>
      </c>
      <c r="G2061" s="3482" t="s">
        <v>3529</v>
      </c>
    </row>
    <row r="2062" spans="1:7">
      <c r="A2062" s="3536">
        <v>2061</v>
      </c>
      <c r="B2062" s="3481" t="s">
        <v>6991</v>
      </c>
      <c r="C2062" s="3481" t="s">
        <v>5305</v>
      </c>
      <c r="D2062" s="3482">
        <v>72.989999999999995</v>
      </c>
      <c r="E2062" s="3519">
        <f t="shared" si="32"/>
        <v>37402.383888203869</v>
      </c>
      <c r="F2062" s="3481">
        <v>2730000</v>
      </c>
      <c r="G2062" s="3482" t="s">
        <v>3457</v>
      </c>
    </row>
    <row r="2063" spans="1:7">
      <c r="A2063" s="3536">
        <v>2062</v>
      </c>
      <c r="B2063" s="3481" t="s">
        <v>3461</v>
      </c>
      <c r="C2063" s="3481" t="s">
        <v>3338</v>
      </c>
      <c r="D2063" s="3482">
        <v>97.15</v>
      </c>
      <c r="E2063" s="3519">
        <f t="shared" si="32"/>
        <v>11837.364899639731</v>
      </c>
      <c r="F2063" s="3481">
        <v>1150000</v>
      </c>
      <c r="G2063" s="3482" t="s">
        <v>3457</v>
      </c>
    </row>
    <row r="2064" spans="1:7">
      <c r="A2064" s="3536">
        <v>2063</v>
      </c>
      <c r="B2064" s="3481" t="s">
        <v>7396</v>
      </c>
      <c r="C2064" s="3481" t="s">
        <v>5318</v>
      </c>
      <c r="D2064" s="3482">
        <v>193.15</v>
      </c>
      <c r="E2064" s="3519">
        <f t="shared" si="32"/>
        <v>25317.111053585297</v>
      </c>
      <c r="F2064" s="3481">
        <v>4890000</v>
      </c>
      <c r="G2064" s="3482" t="s">
        <v>3529</v>
      </c>
    </row>
    <row r="2065" spans="1:7">
      <c r="A2065" s="3536">
        <v>2064</v>
      </c>
      <c r="B2065" s="3481" t="s">
        <v>3530</v>
      </c>
      <c r="C2065" s="3481" t="s">
        <v>3338</v>
      </c>
      <c r="D2065" s="3482">
        <v>12.54</v>
      </c>
      <c r="E2065" s="3519">
        <f t="shared" si="32"/>
        <v>7974.4816586921852</v>
      </c>
      <c r="F2065" s="3481">
        <v>100000</v>
      </c>
      <c r="G2065" s="3482" t="s">
        <v>3529</v>
      </c>
    </row>
    <row r="2066" spans="1:7">
      <c r="A2066" s="3536">
        <v>2065</v>
      </c>
      <c r="B2066" s="3481" t="s">
        <v>3531</v>
      </c>
      <c r="C2066" s="3481" t="s">
        <v>3338</v>
      </c>
      <c r="D2066" s="3482">
        <v>53.15</v>
      </c>
      <c r="E2066" s="3519">
        <f t="shared" si="32"/>
        <v>1881.4675446848541</v>
      </c>
      <c r="F2066" s="3481">
        <v>100000</v>
      </c>
      <c r="G2066" s="3482" t="s">
        <v>3529</v>
      </c>
    </row>
    <row r="2067" spans="1:7">
      <c r="A2067" s="3536">
        <v>2066</v>
      </c>
      <c r="B2067" s="3481" t="s">
        <v>3462</v>
      </c>
      <c r="C2067" s="3481" t="s">
        <v>3338</v>
      </c>
      <c r="D2067" s="3482">
        <v>187.02</v>
      </c>
      <c r="E2067" s="3519">
        <f t="shared" si="32"/>
        <v>11763.447759597904</v>
      </c>
      <c r="F2067" s="3481">
        <v>2200000</v>
      </c>
      <c r="G2067" s="3482" t="s">
        <v>3457</v>
      </c>
    </row>
    <row r="2068" spans="1:7">
      <c r="A2068" s="3536">
        <v>2067</v>
      </c>
      <c r="B2068" s="3481" t="s">
        <v>3532</v>
      </c>
      <c r="C2068" s="3481" t="s">
        <v>3338</v>
      </c>
      <c r="D2068" s="3482">
        <v>54.8</v>
      </c>
      <c r="E2068" s="3519">
        <f t="shared" si="32"/>
        <v>1824.8175182481752</v>
      </c>
      <c r="F2068" s="3481">
        <v>100000</v>
      </c>
      <c r="G2068" s="3482" t="s">
        <v>3529</v>
      </c>
    </row>
    <row r="2069" spans="1:7">
      <c r="A2069" s="3536">
        <v>2068</v>
      </c>
      <c r="B2069" s="3481" t="s">
        <v>7305</v>
      </c>
      <c r="C2069" s="3481" t="s">
        <v>3395</v>
      </c>
      <c r="D2069" s="3482">
        <v>83.46</v>
      </c>
      <c r="E2069" s="3519">
        <f t="shared" si="32"/>
        <v>29340.162952312487</v>
      </c>
      <c r="F2069" s="3481">
        <v>2448730</v>
      </c>
      <c r="G2069" s="3482" t="s">
        <v>7306</v>
      </c>
    </row>
    <row r="2070" spans="1:7">
      <c r="A2070" s="3536">
        <v>2069</v>
      </c>
      <c r="B2070" s="3481" t="s">
        <v>7288</v>
      </c>
      <c r="C2070" s="3481" t="s">
        <v>3395</v>
      </c>
      <c r="D2070" s="3482">
        <v>83.46</v>
      </c>
      <c r="E2070" s="3519">
        <f t="shared" si="32"/>
        <v>29340.162952312487</v>
      </c>
      <c r="F2070" s="3481">
        <v>2448730</v>
      </c>
      <c r="G2070" s="3482" t="s">
        <v>3506</v>
      </c>
    </row>
    <row r="2071" spans="1:7">
      <c r="A2071" s="3536">
        <v>2070</v>
      </c>
      <c r="B2071" s="3481" t="s">
        <v>7355</v>
      </c>
      <c r="C2071" s="3481" t="s">
        <v>3395</v>
      </c>
      <c r="D2071" s="3482">
        <v>83.46</v>
      </c>
      <c r="E2071" s="3519">
        <f t="shared" si="32"/>
        <v>28728.90007189073</v>
      </c>
      <c r="F2071" s="3481">
        <v>2397714</v>
      </c>
      <c r="G2071" s="3482" t="s">
        <v>7350</v>
      </c>
    </row>
    <row r="2072" spans="1:7">
      <c r="A2072" s="3536">
        <v>2071</v>
      </c>
      <c r="B2072" s="3481" t="s">
        <v>7303</v>
      </c>
      <c r="C2072" s="3481" t="s">
        <v>3395</v>
      </c>
      <c r="D2072" s="3482">
        <v>83.46</v>
      </c>
      <c r="E2072" s="3519">
        <f t="shared" si="32"/>
        <v>27594.057033309371</v>
      </c>
      <c r="F2072" s="3481">
        <v>2303000</v>
      </c>
      <c r="G2072" s="3482" t="s">
        <v>7304</v>
      </c>
    </row>
    <row r="2073" spans="1:7">
      <c r="A2073" s="3536">
        <v>2072</v>
      </c>
      <c r="B2073" s="3481" t="s">
        <v>7011</v>
      </c>
      <c r="C2073" s="3481" t="s">
        <v>3395</v>
      </c>
      <c r="D2073" s="3482">
        <v>83.46</v>
      </c>
      <c r="E2073" s="3519">
        <f t="shared" si="32"/>
        <v>27797.747423915651</v>
      </c>
      <c r="F2073" s="3481">
        <v>2320000</v>
      </c>
      <c r="G2073" s="3482" t="s">
        <v>6993</v>
      </c>
    </row>
    <row r="2074" spans="1:7">
      <c r="A2074" s="3536">
        <v>2073</v>
      </c>
      <c r="B2074" s="3481" t="s">
        <v>6941</v>
      </c>
      <c r="C2074" s="3481" t="s">
        <v>3395</v>
      </c>
      <c r="D2074" s="3482">
        <v>83.46</v>
      </c>
      <c r="E2074" s="3519">
        <f t="shared" si="32"/>
        <v>31470.41696621136</v>
      </c>
      <c r="F2074" s="3481">
        <v>2626521</v>
      </c>
      <c r="G2074" s="3482" t="s">
        <v>6939</v>
      </c>
    </row>
    <row r="2075" spans="1:7">
      <c r="A2075" s="3536">
        <v>2074</v>
      </c>
      <c r="B2075" s="3481" t="s">
        <v>7363</v>
      </c>
      <c r="C2075" s="3481" t="s">
        <v>3395</v>
      </c>
      <c r="D2075" s="3482">
        <v>73.69</v>
      </c>
      <c r="E2075" s="3519">
        <f t="shared" si="32"/>
        <v>28384.095535350796</v>
      </c>
      <c r="F2075" s="3481">
        <v>2091624</v>
      </c>
      <c r="G2075" s="3482" t="s">
        <v>7361</v>
      </c>
    </row>
    <row r="2076" spans="1:7">
      <c r="A2076" s="3536">
        <v>2075</v>
      </c>
      <c r="B2076" s="3481" t="s">
        <v>7378</v>
      </c>
      <c r="C2076" s="3481" t="s">
        <v>3395</v>
      </c>
      <c r="D2076" s="3482">
        <v>73.69</v>
      </c>
      <c r="E2076" s="3519">
        <f t="shared" si="32"/>
        <v>28384.095535350796</v>
      </c>
      <c r="F2076" s="3481">
        <v>2091624</v>
      </c>
      <c r="G2076" s="3482" t="s">
        <v>7377</v>
      </c>
    </row>
    <row r="2077" spans="1:7">
      <c r="A2077" s="3536">
        <v>2076</v>
      </c>
      <c r="B2077" s="3481" t="s">
        <v>7356</v>
      </c>
      <c r="C2077" s="3481" t="s">
        <v>3395</v>
      </c>
      <c r="D2077" s="3482">
        <v>83.46</v>
      </c>
      <c r="E2077" s="3519">
        <f t="shared" si="32"/>
        <v>29312.221423436378</v>
      </c>
      <c r="F2077" s="3481">
        <v>2446398</v>
      </c>
      <c r="G2077" s="3482" t="s">
        <v>7350</v>
      </c>
    </row>
    <row r="2078" spans="1:7">
      <c r="A2078" s="3536">
        <v>2077</v>
      </c>
      <c r="B2078" s="3481" t="s">
        <v>7261</v>
      </c>
      <c r="C2078" s="3481" t="s">
        <v>3395</v>
      </c>
      <c r="D2078" s="3482">
        <v>83.46</v>
      </c>
      <c r="E2078" s="3519">
        <f t="shared" si="32"/>
        <v>29340.162952312487</v>
      </c>
      <c r="F2078" s="3481">
        <v>2448730</v>
      </c>
      <c r="G2078" s="3482" t="s">
        <v>3503</v>
      </c>
    </row>
    <row r="2079" spans="1:7">
      <c r="A2079" s="3536">
        <v>2078</v>
      </c>
      <c r="B2079" s="3481" t="s">
        <v>7308</v>
      </c>
      <c r="C2079" s="3481" t="s">
        <v>3395</v>
      </c>
      <c r="D2079" s="3482">
        <v>83.46</v>
      </c>
      <c r="E2079" s="3519">
        <f t="shared" si="32"/>
        <v>28728.90007189073</v>
      </c>
      <c r="F2079" s="3481">
        <v>2397714</v>
      </c>
      <c r="G2079" s="3482" t="s">
        <v>7309</v>
      </c>
    </row>
    <row r="2080" spans="1:7">
      <c r="A2080" s="3536">
        <v>2079</v>
      </c>
      <c r="B2080" s="3481" t="s">
        <v>7012</v>
      </c>
      <c r="C2080" s="3481" t="s">
        <v>3395</v>
      </c>
      <c r="D2080" s="3482">
        <v>83.46</v>
      </c>
      <c r="E2080" s="3519">
        <f t="shared" si="32"/>
        <v>27797.747423915651</v>
      </c>
      <c r="F2080" s="3481">
        <v>2320000</v>
      </c>
      <c r="G2080" s="3482" t="s">
        <v>6993</v>
      </c>
    </row>
    <row r="2081" spans="1:7">
      <c r="A2081" s="3536">
        <v>2080</v>
      </c>
      <c r="B2081" s="3481" t="s">
        <v>6979</v>
      </c>
      <c r="C2081" s="3481" t="s">
        <v>3395</v>
      </c>
      <c r="D2081" s="3482">
        <v>83.46</v>
      </c>
      <c r="E2081" s="3519">
        <f t="shared" si="32"/>
        <v>27797.747423915651</v>
      </c>
      <c r="F2081" s="3481">
        <v>2320000</v>
      </c>
      <c r="G2081" s="3482" t="s">
        <v>3449</v>
      </c>
    </row>
    <row r="2082" spans="1:7">
      <c r="A2082" s="3536">
        <v>2081</v>
      </c>
      <c r="B2082" s="3481" t="s">
        <v>7364</v>
      </c>
      <c r="C2082" s="3481" t="s">
        <v>3395</v>
      </c>
      <c r="D2082" s="3482">
        <v>73.69</v>
      </c>
      <c r="E2082" s="3519">
        <f t="shared" si="32"/>
        <v>28670.796580268696</v>
      </c>
      <c r="F2082" s="3481">
        <v>2112751</v>
      </c>
      <c r="G2082" s="3482" t="s">
        <v>7361</v>
      </c>
    </row>
    <row r="2083" spans="1:7">
      <c r="A2083" s="3536">
        <v>2082</v>
      </c>
      <c r="B2083" s="3481" t="s">
        <v>7365</v>
      </c>
      <c r="C2083" s="3481" t="s">
        <v>3395</v>
      </c>
      <c r="D2083" s="3482">
        <v>73.69</v>
      </c>
      <c r="E2083" s="3519">
        <f t="shared" si="32"/>
        <v>28670.796580268696</v>
      </c>
      <c r="F2083" s="3481">
        <v>2112751</v>
      </c>
      <c r="G2083" s="3482" t="s">
        <v>7361</v>
      </c>
    </row>
    <row r="2084" spans="1:7">
      <c r="A2084" s="3536">
        <v>2083</v>
      </c>
      <c r="B2084" s="3481" t="s">
        <v>7262</v>
      </c>
      <c r="C2084" s="3481" t="s">
        <v>3395</v>
      </c>
      <c r="D2084" s="3482">
        <v>83.46</v>
      </c>
      <c r="E2084" s="3519">
        <f t="shared" si="32"/>
        <v>28181.164629762763</v>
      </c>
      <c r="F2084" s="3481">
        <v>2352000</v>
      </c>
      <c r="G2084" s="3482" t="s">
        <v>3503</v>
      </c>
    </row>
    <row r="2085" spans="1:7">
      <c r="A2085" s="3536">
        <v>2084</v>
      </c>
      <c r="B2085" s="3481" t="s">
        <v>7263</v>
      </c>
      <c r="C2085" s="3481" t="s">
        <v>3395</v>
      </c>
      <c r="D2085" s="3482">
        <v>83.46</v>
      </c>
      <c r="E2085" s="3519">
        <f t="shared" si="32"/>
        <v>28756.29043853343</v>
      </c>
      <c r="F2085" s="3481">
        <v>2400000</v>
      </c>
      <c r="G2085" s="3482" t="s">
        <v>3503</v>
      </c>
    </row>
    <row r="2086" spans="1:7">
      <c r="A2086" s="3536">
        <v>2085</v>
      </c>
      <c r="B2086" s="3481" t="s">
        <v>7118</v>
      </c>
      <c r="C2086" s="3481" t="s">
        <v>3395</v>
      </c>
      <c r="D2086" s="3482">
        <v>83.46</v>
      </c>
      <c r="E2086" s="3519">
        <f t="shared" si="32"/>
        <v>28441.612748622098</v>
      </c>
      <c r="F2086" s="3481">
        <v>2373737</v>
      </c>
      <c r="G2086" s="3482" t="s">
        <v>7117</v>
      </c>
    </row>
    <row r="2087" spans="1:7">
      <c r="A2087" s="3536">
        <v>2086</v>
      </c>
      <c r="B2087" s="3481" t="s">
        <v>7289</v>
      </c>
      <c r="C2087" s="3481" t="s">
        <v>3395</v>
      </c>
      <c r="D2087" s="3482">
        <v>83.46</v>
      </c>
      <c r="E2087" s="3519">
        <f t="shared" si="32"/>
        <v>28728.90007189073</v>
      </c>
      <c r="F2087" s="3481">
        <v>2397714</v>
      </c>
      <c r="G2087" s="3482" t="s">
        <v>3506</v>
      </c>
    </row>
    <row r="2088" spans="1:7">
      <c r="A2088" s="3536">
        <v>2087</v>
      </c>
      <c r="B2088" s="3481" t="s">
        <v>6966</v>
      </c>
      <c r="C2088" s="3481" t="s">
        <v>3395</v>
      </c>
      <c r="D2088" s="3482">
        <v>83.46</v>
      </c>
      <c r="E2088" s="3519">
        <f t="shared" si="32"/>
        <v>27797.747423915651</v>
      </c>
      <c r="F2088" s="3481">
        <v>2320000</v>
      </c>
      <c r="G2088" s="3482" t="s">
        <v>6955</v>
      </c>
    </row>
    <row r="2089" spans="1:7">
      <c r="A2089" s="3536">
        <v>2088</v>
      </c>
      <c r="B2089" s="3481" t="s">
        <v>6967</v>
      </c>
      <c r="C2089" s="3481" t="s">
        <v>3395</v>
      </c>
      <c r="D2089" s="3482">
        <v>83.46</v>
      </c>
      <c r="E2089" s="3519">
        <f t="shared" si="32"/>
        <v>27574.239156482148</v>
      </c>
      <c r="F2089" s="3481">
        <v>2301346</v>
      </c>
      <c r="G2089" s="3482" t="s">
        <v>6955</v>
      </c>
    </row>
    <row r="2090" spans="1:7">
      <c r="A2090" s="3536">
        <v>2089</v>
      </c>
      <c r="B2090" s="3481" t="s">
        <v>7390</v>
      </c>
      <c r="C2090" s="3481" t="s">
        <v>3395</v>
      </c>
      <c r="D2090" s="3482">
        <v>73.69</v>
      </c>
      <c r="E2090" s="3519">
        <f t="shared" si="32"/>
        <v>31785.805401004207</v>
      </c>
      <c r="F2090" s="3481">
        <v>2342296</v>
      </c>
      <c r="G2090" s="3482" t="s">
        <v>7391</v>
      </c>
    </row>
    <row r="2091" spans="1:7">
      <c r="A2091" s="3536">
        <v>2090</v>
      </c>
      <c r="B2091" s="3481" t="s">
        <v>7157</v>
      </c>
      <c r="C2091" s="3481" t="s">
        <v>3395</v>
      </c>
      <c r="D2091" s="3482">
        <v>73.69</v>
      </c>
      <c r="E2091" s="3519">
        <f t="shared" si="32"/>
        <v>32568.869588818023</v>
      </c>
      <c r="F2091" s="3481">
        <v>2400000</v>
      </c>
      <c r="G2091" s="3482" t="s">
        <v>7158</v>
      </c>
    </row>
    <row r="2092" spans="1:7">
      <c r="A2092" s="3536">
        <v>2091</v>
      </c>
      <c r="B2092" s="3481" t="s">
        <v>7032</v>
      </c>
      <c r="C2092" s="3481" t="s">
        <v>5305</v>
      </c>
      <c r="D2092" s="3482">
        <v>73.37</v>
      </c>
      <c r="E2092" s="3519">
        <f t="shared" si="32"/>
        <v>35829.903230203076</v>
      </c>
      <c r="F2092" s="3481">
        <v>2628840</v>
      </c>
      <c r="G2092" s="3482" t="s">
        <v>3464</v>
      </c>
    </row>
    <row r="2093" spans="1:7">
      <c r="A2093" s="3536">
        <v>2092</v>
      </c>
      <c r="B2093" s="3481" t="s">
        <v>3463</v>
      </c>
      <c r="C2093" s="3481" t="s">
        <v>3338</v>
      </c>
      <c r="D2093" s="3482">
        <v>98.55</v>
      </c>
      <c r="E2093" s="3519">
        <f t="shared" si="32"/>
        <v>10670.076103500762</v>
      </c>
      <c r="F2093" s="3481">
        <v>1051536</v>
      </c>
      <c r="G2093" s="3482" t="s">
        <v>3464</v>
      </c>
    </row>
    <row r="2094" spans="1:7">
      <c r="A2094" s="3536">
        <v>2093</v>
      </c>
      <c r="B2094" s="3481" t="s">
        <v>3465</v>
      </c>
      <c r="C2094" s="3481" t="s">
        <v>3338</v>
      </c>
      <c r="D2094" s="3482">
        <v>188.41</v>
      </c>
      <c r="E2094" s="3519">
        <f t="shared" si="32"/>
        <v>11162.20476620137</v>
      </c>
      <c r="F2094" s="3481">
        <v>2103071</v>
      </c>
      <c r="G2094" s="3482" t="s">
        <v>3464</v>
      </c>
    </row>
    <row r="2095" spans="1:7">
      <c r="A2095" s="3536">
        <v>2094</v>
      </c>
      <c r="B2095" s="3481" t="s">
        <v>7184</v>
      </c>
      <c r="C2095" s="3481" t="s">
        <v>3395</v>
      </c>
      <c r="D2095" s="3482">
        <v>83.46</v>
      </c>
      <c r="E2095" s="3519">
        <f t="shared" si="32"/>
        <v>28157.201054397319</v>
      </c>
      <c r="F2095" s="3481">
        <v>2350000</v>
      </c>
      <c r="G2095" s="3482" t="s">
        <v>7176</v>
      </c>
    </row>
    <row r="2096" spans="1:7">
      <c r="A2096" s="3536">
        <v>2095</v>
      </c>
      <c r="B2096" s="3481" t="s">
        <v>7242</v>
      </c>
      <c r="C2096" s="3481" t="s">
        <v>3395</v>
      </c>
      <c r="D2096" s="3482">
        <v>83.85</v>
      </c>
      <c r="E2096" s="3519">
        <f t="shared" si="32"/>
        <v>28264.758497316638</v>
      </c>
      <c r="F2096" s="3481">
        <v>2370000</v>
      </c>
      <c r="G2096" s="3482" t="s">
        <v>7243</v>
      </c>
    </row>
    <row r="2097" spans="1:7">
      <c r="A2097" s="3536">
        <v>2096</v>
      </c>
      <c r="B2097" s="3481" t="s">
        <v>7264</v>
      </c>
      <c r="C2097" s="3481" t="s">
        <v>3395</v>
      </c>
      <c r="D2097" s="3482">
        <v>83.46</v>
      </c>
      <c r="E2097" s="3519">
        <f t="shared" si="32"/>
        <v>28728.90007189073</v>
      </c>
      <c r="F2097" s="3481">
        <v>2397714</v>
      </c>
      <c r="G2097" s="3482" t="s">
        <v>3503</v>
      </c>
    </row>
    <row r="2098" spans="1:7">
      <c r="A2098" s="3536">
        <v>2097</v>
      </c>
      <c r="B2098" s="3481" t="s">
        <v>7265</v>
      </c>
      <c r="C2098" s="3481" t="s">
        <v>3395</v>
      </c>
      <c r="D2098" s="3482">
        <v>83.85</v>
      </c>
      <c r="E2098" s="3519">
        <f t="shared" si="32"/>
        <v>27743.136553369113</v>
      </c>
      <c r="F2098" s="3481">
        <v>2326262</v>
      </c>
      <c r="G2098" s="3482" t="s">
        <v>3503</v>
      </c>
    </row>
    <row r="2099" spans="1:7">
      <c r="A2099" s="3536">
        <v>2098</v>
      </c>
      <c r="B2099" s="3481" t="s">
        <v>6928</v>
      </c>
      <c r="C2099" s="3481" t="s">
        <v>3395</v>
      </c>
      <c r="D2099" s="3482">
        <v>83.46</v>
      </c>
      <c r="E2099" s="3519">
        <f t="shared" si="32"/>
        <v>27797.747423915651</v>
      </c>
      <c r="F2099" s="3481">
        <v>2320000</v>
      </c>
      <c r="G2099" s="3482" t="s">
        <v>3446</v>
      </c>
    </row>
    <row r="2100" spans="1:7">
      <c r="A2100" s="3536">
        <v>2099</v>
      </c>
      <c r="B2100" s="3481" t="s">
        <v>6968</v>
      </c>
      <c r="C2100" s="3481" t="s">
        <v>3395</v>
      </c>
      <c r="D2100" s="3482">
        <v>83.85</v>
      </c>
      <c r="E2100" s="3519">
        <f t="shared" si="32"/>
        <v>27668.455575432323</v>
      </c>
      <c r="F2100" s="3481">
        <v>2320000</v>
      </c>
      <c r="G2100" s="3482" t="s">
        <v>6955</v>
      </c>
    </row>
    <row r="2101" spans="1:7">
      <c r="A2101" s="3536">
        <v>2100</v>
      </c>
      <c r="B2101" s="3481" t="s">
        <v>7366</v>
      </c>
      <c r="C2101" s="3481" t="s">
        <v>3395</v>
      </c>
      <c r="D2101" s="3482">
        <v>73.69</v>
      </c>
      <c r="E2101" s="3519">
        <f t="shared" si="32"/>
        <v>28960.401682724929</v>
      </c>
      <c r="F2101" s="3481">
        <v>2134092</v>
      </c>
      <c r="G2101" s="3482" t="s">
        <v>7361</v>
      </c>
    </row>
    <row r="2102" spans="1:7">
      <c r="A2102" s="3536">
        <v>2101</v>
      </c>
      <c r="B2102" s="3481" t="s">
        <v>7357</v>
      </c>
      <c r="C2102" s="3481" t="s">
        <v>3395</v>
      </c>
      <c r="D2102" s="3482">
        <v>74.150000000000006</v>
      </c>
      <c r="E2102" s="3519">
        <f t="shared" si="32"/>
        <v>28208.010788941334</v>
      </c>
      <c r="F2102" s="3481">
        <v>2091624</v>
      </c>
      <c r="G2102" s="3482" t="s">
        <v>7350</v>
      </c>
    </row>
    <row r="2103" spans="1:7">
      <c r="A2103" s="3536">
        <v>2102</v>
      </c>
      <c r="B2103" s="3481" t="s">
        <v>6886</v>
      </c>
      <c r="C2103" s="3481" t="s">
        <v>5318</v>
      </c>
      <c r="D2103" s="3482">
        <v>169.07</v>
      </c>
      <c r="E2103" s="3519">
        <f t="shared" si="32"/>
        <v>25728.987993138937</v>
      </c>
      <c r="F2103" s="3481">
        <v>4350000</v>
      </c>
      <c r="G2103" s="3482" t="s">
        <v>3437</v>
      </c>
    </row>
    <row r="2104" spans="1:7">
      <c r="A2104" s="3536">
        <v>2103</v>
      </c>
      <c r="B2104" s="3481" t="s">
        <v>3441</v>
      </c>
      <c r="C2104" s="3481" t="s">
        <v>3338</v>
      </c>
      <c r="D2104" s="3482">
        <v>12.67</v>
      </c>
      <c r="E2104" s="3519">
        <f t="shared" si="32"/>
        <v>7892.6598263614842</v>
      </c>
      <c r="F2104" s="3481">
        <v>100000</v>
      </c>
      <c r="G2104" s="3482" t="s">
        <v>3437</v>
      </c>
    </row>
    <row r="2105" spans="1:7">
      <c r="A2105" s="3536">
        <v>2104</v>
      </c>
      <c r="B2105" s="3481" t="s">
        <v>3442</v>
      </c>
      <c r="C2105" s="3481" t="s">
        <v>3338</v>
      </c>
      <c r="D2105" s="3482">
        <v>45.49</v>
      </c>
      <c r="E2105" s="3519">
        <f t="shared" si="32"/>
        <v>2198.2853374367992</v>
      </c>
      <c r="F2105" s="3481">
        <v>100000</v>
      </c>
      <c r="G2105" s="3482" t="s">
        <v>3437</v>
      </c>
    </row>
    <row r="2106" spans="1:7">
      <c r="A2106" s="3536">
        <v>2105</v>
      </c>
      <c r="B2106" s="3481" t="s">
        <v>7248</v>
      </c>
      <c r="C2106" s="3481" t="s">
        <v>3395</v>
      </c>
      <c r="D2106" s="3482">
        <v>83.91</v>
      </c>
      <c r="E2106" s="3519">
        <f t="shared" si="32"/>
        <v>28244.547729710404</v>
      </c>
      <c r="F2106" s="3481">
        <v>2370000</v>
      </c>
      <c r="G2106" s="3482" t="s">
        <v>7249</v>
      </c>
    </row>
    <row r="2107" spans="1:7">
      <c r="A2107" s="3536">
        <v>2106</v>
      </c>
      <c r="B2107" s="3481" t="s">
        <v>7245</v>
      </c>
      <c r="C2107" s="3481" t="s">
        <v>3395</v>
      </c>
      <c r="D2107" s="3482">
        <v>83.53</v>
      </c>
      <c r="E2107" s="3519">
        <f t="shared" si="32"/>
        <v>28133.604692924699</v>
      </c>
      <c r="F2107" s="3481">
        <v>2350000</v>
      </c>
      <c r="G2107" s="3482" t="s">
        <v>7246</v>
      </c>
    </row>
    <row r="2108" spans="1:7">
      <c r="A2108" s="3536">
        <v>2107</v>
      </c>
      <c r="B2108" s="3481" t="s">
        <v>7250</v>
      </c>
      <c r="C2108" s="3481" t="s">
        <v>3395</v>
      </c>
      <c r="D2108" s="3482">
        <v>83.91</v>
      </c>
      <c r="E2108" s="3519">
        <f t="shared" si="32"/>
        <v>28244.547729710404</v>
      </c>
      <c r="F2108" s="3481">
        <v>2370000</v>
      </c>
      <c r="G2108" s="3482" t="s">
        <v>7249</v>
      </c>
    </row>
    <row r="2109" spans="1:7">
      <c r="A2109" s="3536">
        <v>2108</v>
      </c>
      <c r="B2109" s="3481" t="s">
        <v>7266</v>
      </c>
      <c r="C2109" s="3481" t="s">
        <v>3395</v>
      </c>
      <c r="D2109" s="3482">
        <v>83.53</v>
      </c>
      <c r="E2109" s="3519">
        <f t="shared" si="32"/>
        <v>28133.604692924699</v>
      </c>
      <c r="F2109" s="3481">
        <v>2350000</v>
      </c>
      <c r="G2109" s="3482" t="s">
        <v>3503</v>
      </c>
    </row>
    <row r="2110" spans="1:7">
      <c r="A2110" s="3536">
        <v>2109</v>
      </c>
      <c r="B2110" s="3481" t="s">
        <v>6908</v>
      </c>
      <c r="C2110" s="3481" t="s">
        <v>3395</v>
      </c>
      <c r="D2110" s="3482">
        <v>83.91</v>
      </c>
      <c r="E2110" s="3519">
        <f t="shared" si="32"/>
        <v>28244.547729710404</v>
      </c>
      <c r="F2110" s="3481">
        <v>2370000</v>
      </c>
      <c r="G2110" s="3482" t="s">
        <v>3444</v>
      </c>
    </row>
    <row r="2111" spans="1:7">
      <c r="A2111" s="3536">
        <v>2110</v>
      </c>
      <c r="B2111" s="3481" t="s">
        <v>7128</v>
      </c>
      <c r="C2111" s="3481" t="s">
        <v>3395</v>
      </c>
      <c r="D2111" s="3482">
        <v>83.53</v>
      </c>
      <c r="E2111" s="3519">
        <f t="shared" si="32"/>
        <v>28133.604692924699</v>
      </c>
      <c r="F2111" s="3481">
        <v>2350000</v>
      </c>
      <c r="G2111" s="3482" t="s">
        <v>7122</v>
      </c>
    </row>
    <row r="2112" spans="1:7">
      <c r="A2112" s="3536">
        <v>2111</v>
      </c>
      <c r="B2112" s="3481" t="s">
        <v>7163</v>
      </c>
      <c r="C2112" s="3481" t="s">
        <v>3395</v>
      </c>
      <c r="D2112" s="3482">
        <v>74.209999999999994</v>
      </c>
      <c r="E2112" s="3519">
        <f t="shared" si="32"/>
        <v>27893.81484975071</v>
      </c>
      <c r="F2112" s="3481">
        <v>2070000</v>
      </c>
      <c r="G2112" s="3482" t="s">
        <v>3485</v>
      </c>
    </row>
    <row r="2113" spans="1:7">
      <c r="A2113" s="3536">
        <v>2112</v>
      </c>
      <c r="B2113" s="3481" t="s">
        <v>7267</v>
      </c>
      <c r="C2113" s="3481" t="s">
        <v>3395</v>
      </c>
      <c r="D2113" s="3482">
        <v>73.75</v>
      </c>
      <c r="E2113" s="3519">
        <f t="shared" si="32"/>
        <v>27796.610169491527</v>
      </c>
      <c r="F2113" s="3481">
        <v>2050000</v>
      </c>
      <c r="G2113" s="3482" t="s">
        <v>3503</v>
      </c>
    </row>
    <row r="2114" spans="1:7">
      <c r="A2114" s="3536">
        <v>2113</v>
      </c>
      <c r="B2114" s="3481" t="s">
        <v>7038</v>
      </c>
      <c r="C2114" s="3481" t="s">
        <v>5318</v>
      </c>
      <c r="D2114" s="3482">
        <v>178.25</v>
      </c>
      <c r="E2114" s="3519">
        <f t="shared" si="32"/>
        <v>26186.490883590464</v>
      </c>
      <c r="F2114" s="3481">
        <v>4667742</v>
      </c>
      <c r="G2114" s="3482" t="s">
        <v>3469</v>
      </c>
    </row>
    <row r="2115" spans="1:7">
      <c r="A2115" s="3536">
        <v>2114</v>
      </c>
      <c r="B2115" s="3481" t="s">
        <v>3471</v>
      </c>
      <c r="C2115" s="3481" t="s">
        <v>3338</v>
      </c>
      <c r="D2115" s="3482">
        <v>25.99</v>
      </c>
      <c r="E2115" s="3519">
        <f t="shared" ref="E2115:E2178" si="33">F2115/D2115</f>
        <v>4087.2258560984997</v>
      </c>
      <c r="F2115" s="3481">
        <v>106227</v>
      </c>
      <c r="G2115" s="3482" t="s">
        <v>3469</v>
      </c>
    </row>
    <row r="2116" spans="1:7">
      <c r="A2116" s="3536">
        <v>2115</v>
      </c>
      <c r="B2116" s="3481" t="s">
        <v>6982</v>
      </c>
      <c r="C2116" s="3481" t="s">
        <v>5305</v>
      </c>
      <c r="D2116" s="3482">
        <v>73.040000000000006</v>
      </c>
      <c r="E2116" s="3519">
        <f t="shared" si="33"/>
        <v>28066.81270536692</v>
      </c>
      <c r="F2116" s="3481">
        <v>2050000</v>
      </c>
      <c r="G2116" s="3482" t="s">
        <v>3452</v>
      </c>
    </row>
    <row r="2117" spans="1:7">
      <c r="A2117" s="3536">
        <v>2116</v>
      </c>
      <c r="B2117" s="3481" t="s">
        <v>3451</v>
      </c>
      <c r="C2117" s="3481" t="s">
        <v>3338</v>
      </c>
      <c r="D2117" s="3482">
        <v>98.09</v>
      </c>
      <c r="E2117" s="3519">
        <f t="shared" si="33"/>
        <v>14782.342746457334</v>
      </c>
      <c r="F2117" s="3481">
        <v>1450000</v>
      </c>
      <c r="G2117" s="3482" t="s">
        <v>3452</v>
      </c>
    </row>
    <row r="2118" spans="1:7">
      <c r="A2118" s="3536">
        <v>2117</v>
      </c>
      <c r="B2118" s="3481" t="s">
        <v>7102</v>
      </c>
      <c r="C2118" s="3481" t="s">
        <v>5305</v>
      </c>
      <c r="D2118" s="3482">
        <v>73.040000000000006</v>
      </c>
      <c r="E2118" s="3519">
        <f t="shared" si="33"/>
        <v>28636.692223439208</v>
      </c>
      <c r="F2118" s="3481">
        <v>2091624</v>
      </c>
      <c r="G2118" s="3482" t="s">
        <v>7100</v>
      </c>
    </row>
    <row r="2119" spans="1:7">
      <c r="A2119" s="3536">
        <v>2118</v>
      </c>
      <c r="B2119" s="3481" t="s">
        <v>3480</v>
      </c>
      <c r="C2119" s="3481" t="s">
        <v>3338</v>
      </c>
      <c r="D2119" s="3482">
        <v>100.04</v>
      </c>
      <c r="E2119" s="3519">
        <f t="shared" si="33"/>
        <v>14788.494602159135</v>
      </c>
      <c r="F2119" s="3481">
        <v>1479441</v>
      </c>
      <c r="G2119" s="3482" t="s">
        <v>3479</v>
      </c>
    </row>
    <row r="2120" spans="1:7">
      <c r="A2120" s="3536">
        <v>2119</v>
      </c>
      <c r="B2120" s="3481" t="s">
        <v>3472</v>
      </c>
      <c r="C2120" s="3481" t="s">
        <v>3338</v>
      </c>
      <c r="D2120" s="3482">
        <v>28.58</v>
      </c>
      <c r="E2120" s="3519">
        <f t="shared" si="33"/>
        <v>3716.8299510146958</v>
      </c>
      <c r="F2120" s="3481">
        <v>106227</v>
      </c>
      <c r="G2120" s="3482" t="s">
        <v>3469</v>
      </c>
    </row>
    <row r="2121" spans="1:7">
      <c r="A2121" s="3536">
        <v>2120</v>
      </c>
      <c r="B2121" s="3481" t="s">
        <v>3453</v>
      </c>
      <c r="C2121" s="3481" t="s">
        <v>3338</v>
      </c>
      <c r="D2121" s="3482">
        <v>183.7</v>
      </c>
      <c r="E2121" s="3519">
        <f t="shared" si="33"/>
        <v>10887.316276537835</v>
      </c>
      <c r="F2121" s="3481">
        <v>2000000</v>
      </c>
      <c r="G2121" s="3482" t="s">
        <v>3452</v>
      </c>
    </row>
    <row r="2122" spans="1:7">
      <c r="A2122" s="3536">
        <v>2121</v>
      </c>
      <c r="B2122" s="3481" t="s">
        <v>3481</v>
      </c>
      <c r="C2122" s="3481" t="s">
        <v>3338</v>
      </c>
      <c r="D2122" s="3482">
        <v>192.57</v>
      </c>
      <c r="E2122" s="3519">
        <f t="shared" si="33"/>
        <v>10596.707690709873</v>
      </c>
      <c r="F2122" s="3481">
        <v>2040608</v>
      </c>
      <c r="G2122" s="3482" t="s">
        <v>3479</v>
      </c>
    </row>
    <row r="2123" spans="1:7">
      <c r="A2123" s="3536">
        <v>2122</v>
      </c>
      <c r="B2123" s="3481" t="s">
        <v>7244</v>
      </c>
      <c r="C2123" s="3481" t="s">
        <v>3395</v>
      </c>
      <c r="D2123" s="3482">
        <v>83.53</v>
      </c>
      <c r="E2123" s="3519">
        <f t="shared" si="33"/>
        <v>28133.604692924699</v>
      </c>
      <c r="F2123" s="3481">
        <v>2350000</v>
      </c>
      <c r="G2123" s="3482" t="s">
        <v>7243</v>
      </c>
    </row>
    <row r="2124" spans="1:7">
      <c r="A2124" s="3536">
        <v>2123</v>
      </c>
      <c r="B2124" s="3481" t="s">
        <v>7251</v>
      </c>
      <c r="C2124" s="3481" t="s">
        <v>3395</v>
      </c>
      <c r="D2124" s="3482">
        <v>83.53</v>
      </c>
      <c r="E2124" s="3519">
        <f t="shared" si="33"/>
        <v>28133.604692924699</v>
      </c>
      <c r="F2124" s="3481">
        <v>2350000</v>
      </c>
      <c r="G2124" s="3482" t="s">
        <v>7249</v>
      </c>
    </row>
    <row r="2125" spans="1:7">
      <c r="A2125" s="3536">
        <v>2124</v>
      </c>
      <c r="B2125" s="3481" t="s">
        <v>7247</v>
      </c>
      <c r="C2125" s="3481" t="s">
        <v>3395</v>
      </c>
      <c r="D2125" s="3482">
        <v>83.53</v>
      </c>
      <c r="E2125" s="3519">
        <f t="shared" si="33"/>
        <v>28133.604692924699</v>
      </c>
      <c r="F2125" s="3481">
        <v>2350000</v>
      </c>
      <c r="G2125" s="3482" t="s">
        <v>7246</v>
      </c>
    </row>
    <row r="2126" spans="1:7">
      <c r="A2126" s="3536">
        <v>2125</v>
      </c>
      <c r="B2126" s="3481" t="s">
        <v>7232</v>
      </c>
      <c r="C2126" s="3481" t="s">
        <v>3395</v>
      </c>
      <c r="D2126" s="3482">
        <v>83.53</v>
      </c>
      <c r="E2126" s="3519">
        <f t="shared" si="33"/>
        <v>28133.604692924699</v>
      </c>
      <c r="F2126" s="3481">
        <v>2350000</v>
      </c>
      <c r="G2126" s="3482" t="s">
        <v>3497</v>
      </c>
    </row>
    <row r="2127" spans="1:7">
      <c r="A2127" s="3536">
        <v>2126</v>
      </c>
      <c r="B2127" s="3481" t="s">
        <v>7145</v>
      </c>
      <c r="C2127" s="3481" t="s">
        <v>3395</v>
      </c>
      <c r="D2127" s="3482">
        <v>83.53</v>
      </c>
      <c r="E2127" s="3519">
        <f t="shared" si="33"/>
        <v>28133.604692924699</v>
      </c>
      <c r="F2127" s="3481">
        <v>2350000</v>
      </c>
      <c r="G2127" s="3482" t="s">
        <v>7143</v>
      </c>
    </row>
    <row r="2128" spans="1:7">
      <c r="A2128" s="3536">
        <v>2127</v>
      </c>
      <c r="B2128" s="3481" t="s">
        <v>7087</v>
      </c>
      <c r="C2128" s="3481" t="s">
        <v>3395</v>
      </c>
      <c r="D2128" s="3482">
        <v>83.53</v>
      </c>
      <c r="E2128" s="3519">
        <f t="shared" si="33"/>
        <v>28133.604692924699</v>
      </c>
      <c r="F2128" s="3481">
        <v>2350000</v>
      </c>
      <c r="G2128" s="3482" t="s">
        <v>7083</v>
      </c>
    </row>
    <row r="2129" spans="1:7">
      <c r="A2129" s="3536">
        <v>2128</v>
      </c>
      <c r="B2129" s="3481" t="s">
        <v>7268</v>
      </c>
      <c r="C2129" s="3481" t="s">
        <v>3395</v>
      </c>
      <c r="D2129" s="3482">
        <v>73.75</v>
      </c>
      <c r="E2129" s="3519">
        <f t="shared" si="33"/>
        <v>27796.610169491527</v>
      </c>
      <c r="F2129" s="3481">
        <v>2050000</v>
      </c>
      <c r="G2129" s="3482" t="s">
        <v>3503</v>
      </c>
    </row>
    <row r="2130" spans="1:7">
      <c r="A2130" s="3536">
        <v>2129</v>
      </c>
      <c r="B2130" s="3481" t="s">
        <v>7234</v>
      </c>
      <c r="C2130" s="3481" t="s">
        <v>3395</v>
      </c>
      <c r="D2130" s="3482">
        <v>73.75</v>
      </c>
      <c r="E2130" s="3519">
        <f t="shared" si="33"/>
        <v>28077.383050847457</v>
      </c>
      <c r="F2130" s="3481">
        <v>2070707</v>
      </c>
      <c r="G2130" s="3482" t="s">
        <v>7235</v>
      </c>
    </row>
    <row r="2131" spans="1:7">
      <c r="A2131" s="3536">
        <v>2130</v>
      </c>
      <c r="B2131" s="3481" t="s">
        <v>7231</v>
      </c>
      <c r="C2131" s="3481" t="s">
        <v>5318</v>
      </c>
      <c r="D2131" s="3482">
        <v>193.26</v>
      </c>
      <c r="E2131" s="3519">
        <f t="shared" si="33"/>
        <v>22249.818896822933</v>
      </c>
      <c r="F2131" s="3481">
        <v>4300000</v>
      </c>
      <c r="G2131" s="3482" t="s">
        <v>3494</v>
      </c>
    </row>
    <row r="2132" spans="1:7">
      <c r="A2132" s="3536">
        <v>2131</v>
      </c>
      <c r="B2132" s="3481" t="s">
        <v>3493</v>
      </c>
      <c r="C2132" s="3481" t="s">
        <v>3338</v>
      </c>
      <c r="D2132" s="3482">
        <v>12.67</v>
      </c>
      <c r="E2132" s="3519">
        <f t="shared" si="33"/>
        <v>7892.6598263614842</v>
      </c>
      <c r="F2132" s="3481">
        <v>100000</v>
      </c>
      <c r="G2132" s="3482" t="s">
        <v>3494</v>
      </c>
    </row>
    <row r="2133" spans="1:7">
      <c r="A2133" s="3536">
        <v>2132</v>
      </c>
      <c r="B2133" s="3481" t="s">
        <v>3495</v>
      </c>
      <c r="C2133" s="3481" t="s">
        <v>3338</v>
      </c>
      <c r="D2133" s="3482">
        <v>55.28</v>
      </c>
      <c r="E2133" s="3519">
        <f t="shared" si="33"/>
        <v>1808.972503617945</v>
      </c>
      <c r="F2133" s="3481">
        <v>100000</v>
      </c>
      <c r="G2133" s="3482" t="s">
        <v>3494</v>
      </c>
    </row>
    <row r="2134" spans="1:7">
      <c r="A2134" s="3536">
        <v>2133</v>
      </c>
      <c r="B2134" s="3481" t="s">
        <v>7269</v>
      </c>
      <c r="C2134" s="3481" t="s">
        <v>3395</v>
      </c>
      <c r="D2134" s="3482">
        <v>83.53</v>
      </c>
      <c r="E2134" s="3519">
        <f t="shared" si="33"/>
        <v>28133.604692924699</v>
      </c>
      <c r="F2134" s="3481">
        <v>2350000</v>
      </c>
      <c r="G2134" s="3482" t="s">
        <v>3503</v>
      </c>
    </row>
    <row r="2135" spans="1:7">
      <c r="A2135" s="3536">
        <v>2134</v>
      </c>
      <c r="B2135" s="3481" t="s">
        <v>7270</v>
      </c>
      <c r="C2135" s="3481" t="s">
        <v>3395</v>
      </c>
      <c r="D2135" s="3482">
        <v>83.53</v>
      </c>
      <c r="E2135" s="3519">
        <f t="shared" si="33"/>
        <v>28704.824613911169</v>
      </c>
      <c r="F2135" s="3481">
        <v>2397714</v>
      </c>
      <c r="G2135" s="3482" t="s">
        <v>3503</v>
      </c>
    </row>
    <row r="2136" spans="1:7">
      <c r="A2136" s="3536">
        <v>2135</v>
      </c>
      <c r="B2136" s="3481" t="s">
        <v>7271</v>
      </c>
      <c r="C2136" s="3481" t="s">
        <v>3395</v>
      </c>
      <c r="D2136" s="3482">
        <v>83.53</v>
      </c>
      <c r="E2136" s="3519">
        <f t="shared" si="33"/>
        <v>28133.604692924699</v>
      </c>
      <c r="F2136" s="3481">
        <v>2350000</v>
      </c>
      <c r="G2136" s="3482" t="s">
        <v>3503</v>
      </c>
    </row>
    <row r="2137" spans="1:7">
      <c r="A2137" s="3536">
        <v>2136</v>
      </c>
      <c r="B2137" s="3481" t="s">
        <v>7272</v>
      </c>
      <c r="C2137" s="3481" t="s">
        <v>3395</v>
      </c>
      <c r="D2137" s="3482">
        <v>83.53</v>
      </c>
      <c r="E2137" s="3519">
        <f t="shared" si="33"/>
        <v>28704.824613911169</v>
      </c>
      <c r="F2137" s="3481">
        <v>2397714</v>
      </c>
      <c r="G2137" s="3482" t="s">
        <v>3503</v>
      </c>
    </row>
    <row r="2138" spans="1:7">
      <c r="A2138" s="3536">
        <v>2137</v>
      </c>
      <c r="B2138" s="3481" t="s">
        <v>7153</v>
      </c>
      <c r="C2138" s="3481" t="s">
        <v>3395</v>
      </c>
      <c r="D2138" s="3482">
        <v>83.53</v>
      </c>
      <c r="E2138" s="3519">
        <f t="shared" si="33"/>
        <v>28133.604692924699</v>
      </c>
      <c r="F2138" s="3481">
        <v>2350000</v>
      </c>
      <c r="G2138" s="3482" t="s">
        <v>7154</v>
      </c>
    </row>
    <row r="2139" spans="1:7">
      <c r="A2139" s="3536">
        <v>2138</v>
      </c>
      <c r="B2139" s="3481" t="s">
        <v>7159</v>
      </c>
      <c r="C2139" s="3481" t="s">
        <v>3395</v>
      </c>
      <c r="D2139" s="3482">
        <v>83.53</v>
      </c>
      <c r="E2139" s="3519">
        <f t="shared" si="33"/>
        <v>28133.604692924699</v>
      </c>
      <c r="F2139" s="3481">
        <v>2350000</v>
      </c>
      <c r="G2139" s="3482" t="s">
        <v>7158</v>
      </c>
    </row>
    <row r="2140" spans="1:7">
      <c r="A2140" s="3536">
        <v>2139</v>
      </c>
      <c r="B2140" s="3481" t="s">
        <v>7091</v>
      </c>
      <c r="C2140" s="3481" t="s">
        <v>3395</v>
      </c>
      <c r="D2140" s="3482">
        <v>73.75</v>
      </c>
      <c r="E2140" s="3519">
        <f t="shared" si="33"/>
        <v>28077.383050847457</v>
      </c>
      <c r="F2140" s="3481">
        <v>2070707</v>
      </c>
      <c r="G2140" s="3482" t="s">
        <v>7092</v>
      </c>
    </row>
    <row r="2141" spans="1:7">
      <c r="A2141" s="3536">
        <v>2140</v>
      </c>
      <c r="B2141" s="3481" t="s">
        <v>7239</v>
      </c>
      <c r="C2141" s="3481" t="s">
        <v>3395</v>
      </c>
      <c r="D2141" s="3482">
        <v>73.75</v>
      </c>
      <c r="E2141" s="3519">
        <f t="shared" si="33"/>
        <v>27796.610169491527</v>
      </c>
      <c r="F2141" s="3481">
        <v>2050000</v>
      </c>
      <c r="G2141" s="3482" t="s">
        <v>7240</v>
      </c>
    </row>
    <row r="2142" spans="1:7">
      <c r="A2142" s="3536">
        <v>2141</v>
      </c>
      <c r="B2142" s="3481" t="s">
        <v>6980</v>
      </c>
      <c r="C2142" s="3481" t="s">
        <v>5318</v>
      </c>
      <c r="D2142" s="3482">
        <v>178.25</v>
      </c>
      <c r="E2142" s="3519">
        <f t="shared" si="33"/>
        <v>25625.481065918655</v>
      </c>
      <c r="F2142" s="3481">
        <v>4567742</v>
      </c>
      <c r="G2142" s="3482" t="s">
        <v>3452</v>
      </c>
    </row>
    <row r="2143" spans="1:7">
      <c r="A2143" s="3536">
        <v>2142</v>
      </c>
      <c r="B2143" s="3481" t="s">
        <v>3454</v>
      </c>
      <c r="C2143" s="3481" t="s">
        <v>3338</v>
      </c>
      <c r="D2143" s="3482">
        <v>25.99</v>
      </c>
      <c r="E2143" s="3519">
        <f t="shared" si="33"/>
        <v>4087.2258560984997</v>
      </c>
      <c r="F2143" s="3481">
        <v>106227</v>
      </c>
      <c r="G2143" s="3482" t="s">
        <v>3452</v>
      </c>
    </row>
    <row r="2144" spans="1:7">
      <c r="A2144" s="3536">
        <v>2143</v>
      </c>
      <c r="B2144" s="3481" t="s">
        <v>7059</v>
      </c>
      <c r="C2144" s="3481" t="s">
        <v>5305</v>
      </c>
      <c r="D2144" s="3482">
        <v>73.040000000000006</v>
      </c>
      <c r="E2144" s="3519">
        <f t="shared" si="33"/>
        <v>30805.038335158813</v>
      </c>
      <c r="F2144" s="3481">
        <v>2250000</v>
      </c>
      <c r="G2144" s="3482" t="s">
        <v>3474</v>
      </c>
    </row>
    <row r="2145" spans="1:7">
      <c r="A2145" s="3536">
        <v>2144</v>
      </c>
      <c r="B2145" s="3481" t="s">
        <v>3476</v>
      </c>
      <c r="C2145" s="3481" t="s">
        <v>3338</v>
      </c>
      <c r="D2145" s="3482">
        <v>98.09</v>
      </c>
      <c r="E2145" s="3519">
        <f t="shared" si="33"/>
        <v>14782.342746457334</v>
      </c>
      <c r="F2145" s="3481">
        <v>1450000</v>
      </c>
      <c r="G2145" s="3482" t="s">
        <v>3474</v>
      </c>
    </row>
    <row r="2146" spans="1:7">
      <c r="A2146" s="3536">
        <v>2145</v>
      </c>
      <c r="B2146" s="3481" t="s">
        <v>7167</v>
      </c>
      <c r="C2146" s="3481" t="s">
        <v>5305</v>
      </c>
      <c r="D2146" s="3482">
        <v>73.040000000000006</v>
      </c>
      <c r="E2146" s="3519">
        <f t="shared" si="33"/>
        <v>28066.81270536692</v>
      </c>
      <c r="F2146" s="3481">
        <v>2050000</v>
      </c>
      <c r="G2146" s="3482" t="s">
        <v>3488</v>
      </c>
    </row>
    <row r="2147" spans="1:7">
      <c r="A2147" s="3536">
        <v>2146</v>
      </c>
      <c r="B2147" s="3481" t="s">
        <v>3487</v>
      </c>
      <c r="C2147" s="3481" t="s">
        <v>3338</v>
      </c>
      <c r="D2147" s="3482">
        <v>97.98</v>
      </c>
      <c r="E2147" s="3519">
        <f t="shared" si="33"/>
        <v>14798.938558889569</v>
      </c>
      <c r="F2147" s="3481">
        <v>1450000</v>
      </c>
      <c r="G2147" s="3482" t="s">
        <v>3488</v>
      </c>
    </row>
    <row r="2148" spans="1:7">
      <c r="A2148" s="3536">
        <v>2147</v>
      </c>
      <c r="B2148" s="3481" t="s">
        <v>6869</v>
      </c>
      <c r="C2148" s="3481" t="s">
        <v>5318</v>
      </c>
      <c r="D2148" s="3482">
        <v>178.25</v>
      </c>
      <c r="E2148" s="3519">
        <f t="shared" si="33"/>
        <v>24896.190743338007</v>
      </c>
      <c r="F2148" s="3481">
        <v>4437746</v>
      </c>
      <c r="G2148" s="3482" t="s">
        <v>6870</v>
      </c>
    </row>
    <row r="2149" spans="1:7">
      <c r="A2149" s="3536">
        <v>2148</v>
      </c>
      <c r="B2149" s="3481" t="s">
        <v>3428</v>
      </c>
      <c r="C2149" s="3481" t="s">
        <v>3338</v>
      </c>
      <c r="D2149" s="3482">
        <v>25.99</v>
      </c>
      <c r="E2149" s="3519">
        <f t="shared" si="33"/>
        <v>3847.6337052712583</v>
      </c>
      <c r="F2149" s="3481">
        <v>100000</v>
      </c>
      <c r="G2149" s="3482" t="s">
        <v>3426</v>
      </c>
    </row>
    <row r="2150" spans="1:7">
      <c r="A2150" s="3536">
        <v>2149</v>
      </c>
      <c r="B2150" s="3481" t="s">
        <v>3455</v>
      </c>
      <c r="C2150" s="3481" t="s">
        <v>3338</v>
      </c>
      <c r="D2150" s="3482">
        <v>28.58</v>
      </c>
      <c r="E2150" s="3519">
        <f t="shared" si="33"/>
        <v>3716.8299510146958</v>
      </c>
      <c r="F2150" s="3481">
        <v>106227</v>
      </c>
      <c r="G2150" s="3482" t="s">
        <v>3452</v>
      </c>
    </row>
    <row r="2151" spans="1:7">
      <c r="A2151" s="3536">
        <v>2150</v>
      </c>
      <c r="B2151" s="3481" t="s">
        <v>3477</v>
      </c>
      <c r="C2151" s="3481" t="s">
        <v>3338</v>
      </c>
      <c r="D2151" s="3482">
        <v>183.7</v>
      </c>
      <c r="E2151" s="3519">
        <f t="shared" si="33"/>
        <v>10887.316276537835</v>
      </c>
      <c r="F2151" s="3481">
        <v>2000000</v>
      </c>
      <c r="G2151" s="3482" t="s">
        <v>3474</v>
      </c>
    </row>
    <row r="2152" spans="1:7">
      <c r="A2152" s="3536">
        <v>2151</v>
      </c>
      <c r="B2152" s="3481" t="s">
        <v>3489</v>
      </c>
      <c r="C2152" s="3481" t="s">
        <v>3338</v>
      </c>
      <c r="D2152" s="3482">
        <v>188.66</v>
      </c>
      <c r="E2152" s="3519">
        <f t="shared" si="33"/>
        <v>10601.08131029365</v>
      </c>
      <c r="F2152" s="3481">
        <v>2000000</v>
      </c>
      <c r="G2152" s="3482" t="s">
        <v>3488</v>
      </c>
    </row>
    <row r="2153" spans="1:7">
      <c r="A2153" s="3536">
        <v>2152</v>
      </c>
      <c r="B2153" s="3481" t="s">
        <v>3429</v>
      </c>
      <c r="C2153" s="3481" t="s">
        <v>3338</v>
      </c>
      <c r="D2153" s="3482">
        <v>28.58</v>
      </c>
      <c r="E2153" s="3519">
        <f t="shared" si="33"/>
        <v>3498.9503149055286</v>
      </c>
      <c r="F2153" s="3481">
        <v>100000</v>
      </c>
      <c r="G2153" s="3482" t="s">
        <v>3426</v>
      </c>
    </row>
    <row r="2154" spans="1:7">
      <c r="A2154" s="3536">
        <v>2153</v>
      </c>
      <c r="B2154" s="3481" t="s">
        <v>7273</v>
      </c>
      <c r="C2154" s="3481" t="s">
        <v>3395</v>
      </c>
      <c r="D2154" s="3482">
        <v>83.53</v>
      </c>
      <c r="E2154" s="3519">
        <f t="shared" si="33"/>
        <v>28133.604692924699</v>
      </c>
      <c r="F2154" s="3481">
        <v>2350000</v>
      </c>
      <c r="G2154" s="3482" t="s">
        <v>3503</v>
      </c>
    </row>
    <row r="2155" spans="1:7">
      <c r="A2155" s="3536">
        <v>2154</v>
      </c>
      <c r="B2155" s="3481" t="s">
        <v>7274</v>
      </c>
      <c r="C2155" s="3481" t="s">
        <v>3395</v>
      </c>
      <c r="D2155" s="3482">
        <v>83.53</v>
      </c>
      <c r="E2155" s="3519">
        <f t="shared" si="33"/>
        <v>28133.604692924699</v>
      </c>
      <c r="F2155" s="3481">
        <v>2350000</v>
      </c>
      <c r="G2155" s="3482" t="s">
        <v>3503</v>
      </c>
    </row>
    <row r="2156" spans="1:7">
      <c r="A2156" s="3536">
        <v>2155</v>
      </c>
      <c r="B2156" s="3481" t="s">
        <v>7275</v>
      </c>
      <c r="C2156" s="3481" t="s">
        <v>3395</v>
      </c>
      <c r="D2156" s="3482">
        <v>83.53</v>
      </c>
      <c r="E2156" s="3519">
        <f t="shared" si="33"/>
        <v>28133.604692924699</v>
      </c>
      <c r="F2156" s="3481">
        <v>2350000</v>
      </c>
      <c r="G2156" s="3482" t="s">
        <v>3503</v>
      </c>
    </row>
    <row r="2157" spans="1:7">
      <c r="A2157" s="3536">
        <v>2156</v>
      </c>
      <c r="B2157" s="3481" t="s">
        <v>7276</v>
      </c>
      <c r="C2157" s="3481" t="s">
        <v>3395</v>
      </c>
      <c r="D2157" s="3482">
        <v>83.53</v>
      </c>
      <c r="E2157" s="3519">
        <f t="shared" si="33"/>
        <v>28133.604692924699</v>
      </c>
      <c r="F2157" s="3481">
        <v>2350000</v>
      </c>
      <c r="G2157" s="3482" t="s">
        <v>3503</v>
      </c>
    </row>
    <row r="2158" spans="1:7">
      <c r="A2158" s="3536">
        <v>2157</v>
      </c>
      <c r="B2158" s="3481" t="s">
        <v>7206</v>
      </c>
      <c r="C2158" s="3481" t="s">
        <v>3395</v>
      </c>
      <c r="D2158" s="3482">
        <v>83.53</v>
      </c>
      <c r="E2158" s="3519">
        <f t="shared" si="33"/>
        <v>28133.604692924699</v>
      </c>
      <c r="F2158" s="3481">
        <v>2350000</v>
      </c>
      <c r="G2158" s="3482" t="s">
        <v>7192</v>
      </c>
    </row>
    <row r="2159" spans="1:7">
      <c r="A2159" s="3536">
        <v>2158</v>
      </c>
      <c r="B2159" s="3481" t="s">
        <v>7185</v>
      </c>
      <c r="C2159" s="3481" t="s">
        <v>3395</v>
      </c>
      <c r="D2159" s="3482">
        <v>83.53</v>
      </c>
      <c r="E2159" s="3519">
        <f t="shared" si="33"/>
        <v>28133.604692924699</v>
      </c>
      <c r="F2159" s="3481">
        <v>2350000</v>
      </c>
      <c r="G2159" s="3482" t="s">
        <v>7176</v>
      </c>
    </row>
    <row r="2160" spans="1:7">
      <c r="A2160" s="3536">
        <v>2159</v>
      </c>
      <c r="B2160" s="3481" t="s">
        <v>7277</v>
      </c>
      <c r="C2160" s="3481" t="s">
        <v>3395</v>
      </c>
      <c r="D2160" s="3482">
        <v>73.75</v>
      </c>
      <c r="E2160" s="3519">
        <f t="shared" si="33"/>
        <v>27796.610169491527</v>
      </c>
      <c r="F2160" s="3481">
        <v>2050000</v>
      </c>
      <c r="G2160" s="3482" t="s">
        <v>3503</v>
      </c>
    </row>
    <row r="2161" spans="1:7">
      <c r="A2161" s="3536">
        <v>2160</v>
      </c>
      <c r="B2161" s="3481" t="s">
        <v>7278</v>
      </c>
      <c r="C2161" s="3481" t="s">
        <v>3395</v>
      </c>
      <c r="D2161" s="3482">
        <v>73.75</v>
      </c>
      <c r="E2161" s="3519">
        <f t="shared" si="33"/>
        <v>27796.610169491527</v>
      </c>
      <c r="F2161" s="3481">
        <v>2050000</v>
      </c>
      <c r="G2161" s="3482" t="s">
        <v>3503</v>
      </c>
    </row>
    <row r="2162" spans="1:7">
      <c r="A2162" s="3536">
        <v>2161</v>
      </c>
      <c r="B2162" s="3481" t="s">
        <v>7230</v>
      </c>
      <c r="C2162" s="3481" t="s">
        <v>5318</v>
      </c>
      <c r="D2162" s="3482">
        <v>192.79</v>
      </c>
      <c r="E2162" s="3519">
        <f t="shared" si="33"/>
        <v>22529.353182218994</v>
      </c>
      <c r="F2162" s="3481">
        <v>4343434</v>
      </c>
      <c r="G2162" s="3482" t="s">
        <v>3491</v>
      </c>
    </row>
    <row r="2163" spans="1:7">
      <c r="A2163" s="3536">
        <v>2162</v>
      </c>
      <c r="B2163" s="3481" t="s">
        <v>3490</v>
      </c>
      <c r="C2163" s="3481" t="s">
        <v>3338</v>
      </c>
      <c r="D2163" s="3482">
        <v>12.67</v>
      </c>
      <c r="E2163" s="3519">
        <f t="shared" si="33"/>
        <v>7972.4546172059981</v>
      </c>
      <c r="F2163" s="3481">
        <v>101011</v>
      </c>
      <c r="G2163" s="3482" t="s">
        <v>3491</v>
      </c>
    </row>
    <row r="2164" spans="1:7">
      <c r="A2164" s="3536">
        <v>2163</v>
      </c>
      <c r="B2164" s="3481" t="s">
        <v>7233</v>
      </c>
      <c r="C2164" s="3481" t="s">
        <v>5305</v>
      </c>
      <c r="D2164" s="3482">
        <v>73.040000000000006</v>
      </c>
      <c r="E2164" s="3519">
        <f t="shared" si="33"/>
        <v>28350.314895947424</v>
      </c>
      <c r="F2164" s="3481">
        <v>2070707</v>
      </c>
      <c r="G2164" s="3482" t="s">
        <v>3497</v>
      </c>
    </row>
    <row r="2165" spans="1:7">
      <c r="A2165" s="3536">
        <v>2164</v>
      </c>
      <c r="B2165" s="3481" t="s">
        <v>3496</v>
      </c>
      <c r="C2165" s="3481" t="s">
        <v>3338</v>
      </c>
      <c r="D2165" s="3482">
        <v>97.98</v>
      </c>
      <c r="E2165" s="3519">
        <f t="shared" si="33"/>
        <v>14948.418044498876</v>
      </c>
      <c r="F2165" s="3481">
        <v>1464646</v>
      </c>
      <c r="G2165" s="3482" t="s">
        <v>3497</v>
      </c>
    </row>
    <row r="2166" spans="1:7">
      <c r="A2166" s="3536">
        <v>2165</v>
      </c>
      <c r="B2166" s="3481" t="s">
        <v>7033</v>
      </c>
      <c r="C2166" s="3481" t="s">
        <v>5305</v>
      </c>
      <c r="D2166" s="3482">
        <v>73.42</v>
      </c>
      <c r="E2166" s="3519">
        <f t="shared" si="33"/>
        <v>28330.155271043313</v>
      </c>
      <c r="F2166" s="3481">
        <v>2080000</v>
      </c>
      <c r="G2166" s="3482" t="s">
        <v>3464</v>
      </c>
    </row>
    <row r="2167" spans="1:7">
      <c r="A2167" s="3536">
        <v>2166</v>
      </c>
      <c r="B2167" s="3481" t="s">
        <v>3466</v>
      </c>
      <c r="C2167" s="3481" t="s">
        <v>3338</v>
      </c>
      <c r="D2167" s="3482">
        <v>99.39</v>
      </c>
      <c r="E2167" s="3519">
        <f t="shared" si="33"/>
        <v>14588.992856424187</v>
      </c>
      <c r="F2167" s="3481">
        <v>1450000</v>
      </c>
      <c r="G2167" s="3482" t="s">
        <v>3464</v>
      </c>
    </row>
    <row r="2168" spans="1:7">
      <c r="A2168" s="3536">
        <v>2167</v>
      </c>
      <c r="B2168" s="3481" t="s">
        <v>7252</v>
      </c>
      <c r="C2168" s="3481" t="s">
        <v>5318</v>
      </c>
      <c r="D2168" s="3482">
        <v>193.73</v>
      </c>
      <c r="E2168" s="3519">
        <f t="shared" si="33"/>
        <v>22576.456924585764</v>
      </c>
      <c r="F2168" s="3481">
        <v>4373737</v>
      </c>
      <c r="G2168" s="3482" t="s">
        <v>3503</v>
      </c>
    </row>
    <row r="2169" spans="1:7">
      <c r="A2169" s="3536">
        <v>2168</v>
      </c>
      <c r="B2169" s="3481" t="s">
        <v>3502</v>
      </c>
      <c r="C2169" s="3481" t="s">
        <v>3338</v>
      </c>
      <c r="D2169" s="3482">
        <v>12.67</v>
      </c>
      <c r="E2169" s="3519">
        <f t="shared" si="33"/>
        <v>7972.4546172059981</v>
      </c>
      <c r="F2169" s="3481">
        <v>101011</v>
      </c>
      <c r="G2169" s="3482" t="s">
        <v>3503</v>
      </c>
    </row>
    <row r="2170" spans="1:7">
      <c r="A2170" s="3536">
        <v>2169</v>
      </c>
      <c r="B2170" s="3481" t="s">
        <v>3492</v>
      </c>
      <c r="C2170" s="3481" t="s">
        <v>3338</v>
      </c>
      <c r="D2170" s="3482">
        <v>53.62</v>
      </c>
      <c r="E2170" s="3519">
        <f t="shared" si="33"/>
        <v>1883.8306602014175</v>
      </c>
      <c r="F2170" s="3481">
        <v>101011</v>
      </c>
      <c r="G2170" s="3482" t="s">
        <v>3491</v>
      </c>
    </row>
    <row r="2171" spans="1:7">
      <c r="A2171" s="3536">
        <v>2170</v>
      </c>
      <c r="B2171" s="3481" t="s">
        <v>3498</v>
      </c>
      <c r="C2171" s="3481" t="s">
        <v>3338</v>
      </c>
      <c r="D2171" s="3482">
        <v>188.66</v>
      </c>
      <c r="E2171" s="3519">
        <f t="shared" si="33"/>
        <v>10708.162832608927</v>
      </c>
      <c r="F2171" s="3481">
        <v>2020202</v>
      </c>
      <c r="G2171" s="3482" t="s">
        <v>3497</v>
      </c>
    </row>
    <row r="2172" spans="1:7">
      <c r="A2172" s="3536">
        <v>2171</v>
      </c>
      <c r="B2172" s="3481" t="s">
        <v>3467</v>
      </c>
      <c r="C2172" s="3481" t="s">
        <v>3338</v>
      </c>
      <c r="D2172" s="3482">
        <v>190.07</v>
      </c>
      <c r="E2172" s="3519">
        <f t="shared" si="33"/>
        <v>10522.439101383701</v>
      </c>
      <c r="F2172" s="3481">
        <v>2000000</v>
      </c>
      <c r="G2172" s="3482" t="s">
        <v>3464</v>
      </c>
    </row>
    <row r="2173" spans="1:7">
      <c r="A2173" s="3536">
        <v>2172</v>
      </c>
      <c r="B2173" s="3481" t="s">
        <v>3504</v>
      </c>
      <c r="C2173" s="3481" t="s">
        <v>3338</v>
      </c>
      <c r="D2173" s="3482">
        <v>54.17</v>
      </c>
      <c r="E2173" s="3519">
        <f t="shared" si="33"/>
        <v>1864.7037105408897</v>
      </c>
      <c r="F2173" s="3481">
        <v>101011</v>
      </c>
      <c r="G2173" s="3482" t="s">
        <v>3503</v>
      </c>
    </row>
    <row r="2174" spans="1:7">
      <c r="A2174" s="3536">
        <v>2173</v>
      </c>
      <c r="B2174" s="3481" t="s">
        <v>7279</v>
      </c>
      <c r="C2174" s="3481" t="s">
        <v>3395</v>
      </c>
      <c r="D2174" s="3482">
        <v>83.53</v>
      </c>
      <c r="E2174" s="3519">
        <f t="shared" si="33"/>
        <v>28133.604692924699</v>
      </c>
      <c r="F2174" s="3481">
        <v>2350000</v>
      </c>
      <c r="G2174" s="3482" t="s">
        <v>3503</v>
      </c>
    </row>
    <row r="2175" spans="1:7">
      <c r="A2175" s="3536">
        <v>2174</v>
      </c>
      <c r="B2175" s="3481" t="s">
        <v>7280</v>
      </c>
      <c r="C2175" s="3481" t="s">
        <v>3395</v>
      </c>
      <c r="D2175" s="3482">
        <v>83.91</v>
      </c>
      <c r="E2175" s="3519">
        <f t="shared" si="33"/>
        <v>28125.372422833989</v>
      </c>
      <c r="F2175" s="3481">
        <v>2360000</v>
      </c>
      <c r="G2175" s="3482" t="s">
        <v>3503</v>
      </c>
    </row>
    <row r="2176" spans="1:7">
      <c r="A2176" s="3536">
        <v>2175</v>
      </c>
      <c r="B2176" s="3481" t="s">
        <v>7281</v>
      </c>
      <c r="C2176" s="3481" t="s">
        <v>3395</v>
      </c>
      <c r="D2176" s="3482">
        <v>83.53</v>
      </c>
      <c r="E2176" s="3519">
        <f t="shared" si="33"/>
        <v>28133.604692924699</v>
      </c>
      <c r="F2176" s="3481">
        <v>2350000</v>
      </c>
      <c r="G2176" s="3482" t="s">
        <v>3503</v>
      </c>
    </row>
    <row r="2177" spans="1:7">
      <c r="A2177" s="3536">
        <v>2176</v>
      </c>
      <c r="B2177" s="3481" t="s">
        <v>7282</v>
      </c>
      <c r="C2177" s="3481" t="s">
        <v>3395</v>
      </c>
      <c r="D2177" s="3482">
        <v>83.91</v>
      </c>
      <c r="E2177" s="3519">
        <f t="shared" si="33"/>
        <v>28696.436658324397</v>
      </c>
      <c r="F2177" s="3481">
        <v>2407918</v>
      </c>
      <c r="G2177" s="3482" t="s">
        <v>3503</v>
      </c>
    </row>
    <row r="2178" spans="1:7">
      <c r="A2178" s="3536">
        <v>2177</v>
      </c>
      <c r="B2178" s="3481" t="s">
        <v>7228</v>
      </c>
      <c r="C2178" s="3481" t="s">
        <v>3395</v>
      </c>
      <c r="D2178" s="3482">
        <v>83.53</v>
      </c>
      <c r="E2178" s="3519">
        <f t="shared" si="33"/>
        <v>28133.604692924699</v>
      </c>
      <c r="F2178" s="3481">
        <v>2350000</v>
      </c>
      <c r="G2178" s="3482" t="s">
        <v>7229</v>
      </c>
    </row>
    <row r="2179" spans="1:7">
      <c r="A2179" s="3536">
        <v>2178</v>
      </c>
      <c r="B2179" s="3481" t="s">
        <v>7164</v>
      </c>
      <c r="C2179" s="3481" t="s">
        <v>3395</v>
      </c>
      <c r="D2179" s="3482">
        <v>83.91</v>
      </c>
      <c r="E2179" s="3519">
        <f t="shared" ref="E2179:E2242" si="34">F2179/D2179</f>
        <v>28125.372422833989</v>
      </c>
      <c r="F2179" s="3481">
        <v>2360000</v>
      </c>
      <c r="G2179" s="3482" t="s">
        <v>3485</v>
      </c>
    </row>
    <row r="2180" spans="1:7">
      <c r="A2180" s="3536">
        <v>2179</v>
      </c>
      <c r="B2180" s="3481" t="s">
        <v>7283</v>
      </c>
      <c r="C2180" s="3481" t="s">
        <v>3395</v>
      </c>
      <c r="D2180" s="3482">
        <v>73.75</v>
      </c>
      <c r="E2180" s="3519">
        <f t="shared" si="34"/>
        <v>28361.003389830508</v>
      </c>
      <c r="F2180" s="3481">
        <v>2091624</v>
      </c>
      <c r="G2180" s="3482" t="s">
        <v>3503</v>
      </c>
    </row>
    <row r="2181" spans="1:7">
      <c r="A2181" s="3536">
        <v>2180</v>
      </c>
      <c r="B2181" s="3481" t="s">
        <v>7284</v>
      </c>
      <c r="C2181" s="3481" t="s">
        <v>3395</v>
      </c>
      <c r="D2181" s="3482">
        <v>74.209999999999994</v>
      </c>
      <c r="E2181" s="3519">
        <f t="shared" si="34"/>
        <v>27903.341867672822</v>
      </c>
      <c r="F2181" s="3481">
        <v>2070707</v>
      </c>
      <c r="G2181" s="3482" t="s">
        <v>3503</v>
      </c>
    </row>
    <row r="2182" spans="1:7">
      <c r="A2182" s="3536">
        <v>2181</v>
      </c>
      <c r="B2182" s="3481" t="s">
        <v>7170</v>
      </c>
      <c r="C2182" s="3481" t="s">
        <v>3395</v>
      </c>
      <c r="D2182" s="3482">
        <v>83.85</v>
      </c>
      <c r="E2182" s="3519">
        <f t="shared" si="34"/>
        <v>28325.175909361958</v>
      </c>
      <c r="F2182" s="3481">
        <v>2375066</v>
      </c>
      <c r="G2182" s="3482" t="s">
        <v>7169</v>
      </c>
    </row>
    <row r="2183" spans="1:7">
      <c r="A2183" s="3536">
        <v>2182</v>
      </c>
      <c r="B2183" s="3481" t="s">
        <v>7171</v>
      </c>
      <c r="C2183" s="3481" t="s">
        <v>3395</v>
      </c>
      <c r="D2183" s="3482">
        <v>83.46</v>
      </c>
      <c r="E2183" s="3519">
        <f t="shared" si="34"/>
        <v>28441.612748622098</v>
      </c>
      <c r="F2183" s="3481">
        <v>2373737</v>
      </c>
      <c r="G2183" s="3482" t="s">
        <v>7169</v>
      </c>
    </row>
    <row r="2184" spans="1:7">
      <c r="A2184" s="3536">
        <v>2183</v>
      </c>
      <c r="B2184" s="3481" t="s">
        <v>7207</v>
      </c>
      <c r="C2184" s="3481" t="s">
        <v>3395</v>
      </c>
      <c r="D2184" s="3482">
        <v>83.85</v>
      </c>
      <c r="E2184" s="3519">
        <f t="shared" si="34"/>
        <v>28325.175909361958</v>
      </c>
      <c r="F2184" s="3481">
        <v>2375066</v>
      </c>
      <c r="G2184" s="3482" t="s">
        <v>7192</v>
      </c>
    </row>
    <row r="2185" spans="1:7">
      <c r="A2185" s="3536">
        <v>2184</v>
      </c>
      <c r="B2185" s="3481" t="s">
        <v>7186</v>
      </c>
      <c r="C2185" s="3481" t="s">
        <v>3395</v>
      </c>
      <c r="D2185" s="3482">
        <v>83.46</v>
      </c>
      <c r="E2185" s="3519">
        <f t="shared" si="34"/>
        <v>28728.91205367841</v>
      </c>
      <c r="F2185" s="3481">
        <v>2397715</v>
      </c>
      <c r="G2185" s="3482" t="s">
        <v>7176</v>
      </c>
    </row>
    <row r="2186" spans="1:7">
      <c r="A2186" s="3536">
        <v>2185</v>
      </c>
      <c r="B2186" s="3481" t="s">
        <v>7138</v>
      </c>
      <c r="C2186" s="3481" t="s">
        <v>3395</v>
      </c>
      <c r="D2186" s="3482">
        <v>83.85</v>
      </c>
      <c r="E2186" s="3519">
        <f t="shared" si="34"/>
        <v>27947.930828861063</v>
      </c>
      <c r="F2186" s="3481">
        <v>2343434</v>
      </c>
      <c r="G2186" s="3482" t="s">
        <v>7135</v>
      </c>
    </row>
    <row r="2187" spans="1:7">
      <c r="A2187" s="3536">
        <v>2186</v>
      </c>
      <c r="B2187" s="3481" t="s">
        <v>6918</v>
      </c>
      <c r="C2187" s="3481" t="s">
        <v>3395</v>
      </c>
      <c r="D2187" s="3482">
        <v>83.46</v>
      </c>
      <c r="E2187" s="3519">
        <f t="shared" si="34"/>
        <v>28199.556673855743</v>
      </c>
      <c r="F2187" s="3481">
        <v>2353535</v>
      </c>
      <c r="G2187" s="3482" t="s">
        <v>6917</v>
      </c>
    </row>
    <row r="2188" spans="1:7">
      <c r="A2188" s="3536">
        <v>2187</v>
      </c>
      <c r="B2188" s="3481" t="s">
        <v>7152</v>
      </c>
      <c r="C2188" s="3481" t="s">
        <v>3395</v>
      </c>
      <c r="D2188" s="3482">
        <v>74.150000000000006</v>
      </c>
      <c r="E2188" s="3519">
        <f t="shared" si="34"/>
        <v>27916.38570465273</v>
      </c>
      <c r="F2188" s="3481">
        <v>2070000</v>
      </c>
      <c r="G2188" s="3482" t="s">
        <v>7147</v>
      </c>
    </row>
    <row r="2189" spans="1:7">
      <c r="A2189" s="3536">
        <v>2188</v>
      </c>
      <c r="B2189" s="3481" t="s">
        <v>7208</v>
      </c>
      <c r="C2189" s="3481" t="s">
        <v>3395</v>
      </c>
      <c r="D2189" s="3482">
        <v>73.69</v>
      </c>
      <c r="E2189" s="3519">
        <f t="shared" si="34"/>
        <v>27887.094585425431</v>
      </c>
      <c r="F2189" s="3481">
        <v>2055000</v>
      </c>
      <c r="G2189" s="3482" t="s">
        <v>7192</v>
      </c>
    </row>
    <row r="2190" spans="1:7">
      <c r="A2190" s="3536">
        <v>2189</v>
      </c>
      <c r="B2190" s="3481" t="s">
        <v>7209</v>
      </c>
      <c r="C2190" s="3481" t="s">
        <v>3395</v>
      </c>
      <c r="D2190" s="3482">
        <v>83.46</v>
      </c>
      <c r="E2190" s="3519">
        <f t="shared" si="34"/>
        <v>28441.612748622098</v>
      </c>
      <c r="F2190" s="3481">
        <v>2373737</v>
      </c>
      <c r="G2190" s="3482" t="s">
        <v>7192</v>
      </c>
    </row>
    <row r="2191" spans="1:7">
      <c r="A2191" s="3536">
        <v>2190</v>
      </c>
      <c r="B2191" s="3481" t="s">
        <v>7172</v>
      </c>
      <c r="C2191" s="3481" t="s">
        <v>3395</v>
      </c>
      <c r="D2191" s="3482">
        <v>83.46</v>
      </c>
      <c r="E2191" s="3519">
        <f t="shared" si="34"/>
        <v>28441.612748622098</v>
      </c>
      <c r="F2191" s="3481">
        <v>2373737</v>
      </c>
      <c r="G2191" s="3482" t="s">
        <v>7169</v>
      </c>
    </row>
    <row r="2192" spans="1:7">
      <c r="A2192" s="3536">
        <v>2191</v>
      </c>
      <c r="B2192" s="3481" t="s">
        <v>7165</v>
      </c>
      <c r="C2192" s="3481" t="s">
        <v>3395</v>
      </c>
      <c r="D2192" s="3482">
        <v>83.46</v>
      </c>
      <c r="E2192" s="3519">
        <f t="shared" si="34"/>
        <v>28441.612748622098</v>
      </c>
      <c r="F2192" s="3481">
        <v>2373737</v>
      </c>
      <c r="G2192" s="3482" t="s">
        <v>3485</v>
      </c>
    </row>
    <row r="2193" spans="1:7">
      <c r="A2193" s="3536">
        <v>2192</v>
      </c>
      <c r="B2193" s="3481" t="s">
        <v>7210</v>
      </c>
      <c r="C2193" s="3481" t="s">
        <v>3395</v>
      </c>
      <c r="D2193" s="3482">
        <v>83.46</v>
      </c>
      <c r="E2193" s="3519">
        <f t="shared" si="34"/>
        <v>28441.612748622098</v>
      </c>
      <c r="F2193" s="3481">
        <v>2373737</v>
      </c>
      <c r="G2193" s="3482" t="s">
        <v>7192</v>
      </c>
    </row>
    <row r="2194" spans="1:7">
      <c r="A2194" s="3536">
        <v>2193</v>
      </c>
      <c r="B2194" s="3481" t="s">
        <v>7034</v>
      </c>
      <c r="C2194" s="3481" t="s">
        <v>3395</v>
      </c>
      <c r="D2194" s="3482">
        <v>83.46</v>
      </c>
      <c r="E2194" s="3519">
        <f t="shared" si="34"/>
        <v>27917.565300742874</v>
      </c>
      <c r="F2194" s="3481">
        <v>2330000</v>
      </c>
      <c r="G2194" s="3482" t="s">
        <v>3464</v>
      </c>
    </row>
    <row r="2195" spans="1:7">
      <c r="A2195" s="3536">
        <v>2194</v>
      </c>
      <c r="B2195" s="3481" t="s">
        <v>7093</v>
      </c>
      <c r="C2195" s="3481" t="s">
        <v>3395</v>
      </c>
      <c r="D2195" s="3482">
        <v>83.46</v>
      </c>
      <c r="E2195" s="3519">
        <f t="shared" si="34"/>
        <v>27917.565300742874</v>
      </c>
      <c r="F2195" s="3481">
        <v>2330000</v>
      </c>
      <c r="G2195" s="3482" t="s">
        <v>7092</v>
      </c>
    </row>
    <row r="2196" spans="1:7">
      <c r="A2196" s="3536">
        <v>2195</v>
      </c>
      <c r="B2196" s="3481" t="s">
        <v>7111</v>
      </c>
      <c r="C2196" s="3481" t="s">
        <v>3395</v>
      </c>
      <c r="D2196" s="3482">
        <v>73.69</v>
      </c>
      <c r="E2196" s="3519">
        <f t="shared" si="34"/>
        <v>28362.057266929027</v>
      </c>
      <c r="F2196" s="3481">
        <v>2090000</v>
      </c>
      <c r="G2196" s="3482" t="s">
        <v>3479</v>
      </c>
    </row>
    <row r="2197" spans="1:7">
      <c r="A2197" s="3536">
        <v>2196</v>
      </c>
      <c r="B2197" s="3481" t="s">
        <v>7115</v>
      </c>
      <c r="C2197" s="3481" t="s">
        <v>3395</v>
      </c>
      <c r="D2197" s="3482">
        <v>73.69</v>
      </c>
      <c r="E2197" s="3519">
        <f t="shared" si="34"/>
        <v>28362.057266929027</v>
      </c>
      <c r="F2197" s="3481">
        <v>2090000</v>
      </c>
      <c r="G2197" s="3482" t="s">
        <v>3483</v>
      </c>
    </row>
    <row r="2198" spans="1:7">
      <c r="A2198" s="3536">
        <v>2197</v>
      </c>
      <c r="B2198" s="3481" t="s">
        <v>7211</v>
      </c>
      <c r="C2198" s="3481" t="s">
        <v>3395</v>
      </c>
      <c r="D2198" s="3482">
        <v>83.46</v>
      </c>
      <c r="E2198" s="3519">
        <f t="shared" si="34"/>
        <v>28441.612748622098</v>
      </c>
      <c r="F2198" s="3481">
        <v>2373737</v>
      </c>
      <c r="G2198" s="3482" t="s">
        <v>7192</v>
      </c>
    </row>
    <row r="2199" spans="1:7">
      <c r="A2199" s="3536">
        <v>2198</v>
      </c>
      <c r="B2199" s="3481" t="s">
        <v>7212</v>
      </c>
      <c r="C2199" s="3481" t="s">
        <v>3395</v>
      </c>
      <c r="D2199" s="3482">
        <v>83.46</v>
      </c>
      <c r="E2199" s="3519">
        <f t="shared" si="34"/>
        <v>28441.612748622098</v>
      </c>
      <c r="F2199" s="3481">
        <v>2373737</v>
      </c>
      <c r="G2199" s="3482" t="s">
        <v>7192</v>
      </c>
    </row>
    <row r="2200" spans="1:7">
      <c r="A2200" s="3536">
        <v>2199</v>
      </c>
      <c r="B2200" s="3481" t="s">
        <v>7187</v>
      </c>
      <c r="C2200" s="3481" t="s">
        <v>3395</v>
      </c>
      <c r="D2200" s="3482">
        <v>83.46</v>
      </c>
      <c r="E2200" s="3519">
        <f t="shared" si="34"/>
        <v>28441.612748622098</v>
      </c>
      <c r="F2200" s="3481">
        <v>2373737</v>
      </c>
      <c r="G2200" s="3482" t="s">
        <v>7176</v>
      </c>
    </row>
    <row r="2201" spans="1:7">
      <c r="A2201" s="3536">
        <v>2200</v>
      </c>
      <c r="B2201" s="3481" t="s">
        <v>7213</v>
      </c>
      <c r="C2201" s="3481" t="s">
        <v>3395</v>
      </c>
      <c r="D2201" s="3482">
        <v>83.46</v>
      </c>
      <c r="E2201" s="3519">
        <f t="shared" si="34"/>
        <v>28441.612748622098</v>
      </c>
      <c r="F2201" s="3481">
        <v>2373737</v>
      </c>
      <c r="G2201" s="3482" t="s">
        <v>7192</v>
      </c>
    </row>
    <row r="2202" spans="1:7">
      <c r="A2202" s="3536">
        <v>2201</v>
      </c>
      <c r="B2202" s="3481" t="s">
        <v>7050</v>
      </c>
      <c r="C2202" s="3481" t="s">
        <v>3395</v>
      </c>
      <c r="D2202" s="3482">
        <v>83.46</v>
      </c>
      <c r="E2202" s="3519">
        <f t="shared" si="34"/>
        <v>27917.565300742874</v>
      </c>
      <c r="F2202" s="3481">
        <v>2330000</v>
      </c>
      <c r="G2202" s="3482" t="s">
        <v>7047</v>
      </c>
    </row>
    <row r="2203" spans="1:7">
      <c r="A2203" s="3536">
        <v>2202</v>
      </c>
      <c r="B2203" s="3481" t="s">
        <v>6921</v>
      </c>
      <c r="C2203" s="3481" t="s">
        <v>3395</v>
      </c>
      <c r="D2203" s="3482">
        <v>83.46</v>
      </c>
      <c r="E2203" s="3519">
        <f t="shared" si="34"/>
        <v>28199.556673855743</v>
      </c>
      <c r="F2203" s="3481">
        <v>2353535</v>
      </c>
      <c r="G2203" s="3482" t="s">
        <v>6920</v>
      </c>
    </row>
    <row r="2204" spans="1:7">
      <c r="A2204" s="3536">
        <v>2203</v>
      </c>
      <c r="B2204" s="3481" t="s">
        <v>7051</v>
      </c>
      <c r="C2204" s="3481" t="s">
        <v>3395</v>
      </c>
      <c r="D2204" s="3482">
        <v>73.69</v>
      </c>
      <c r="E2204" s="3519">
        <f t="shared" si="34"/>
        <v>28362.057266929027</v>
      </c>
      <c r="F2204" s="3481">
        <v>2090000</v>
      </c>
      <c r="G2204" s="3482" t="s">
        <v>7047</v>
      </c>
    </row>
    <row r="2205" spans="1:7">
      <c r="A2205" s="3536">
        <v>2204</v>
      </c>
      <c r="B2205" s="3481" t="s">
        <v>7077</v>
      </c>
      <c r="C2205" s="3481" t="s">
        <v>3395</v>
      </c>
      <c r="D2205" s="3482">
        <v>73.69</v>
      </c>
      <c r="E2205" s="3519">
        <f t="shared" si="34"/>
        <v>28362.057266929027</v>
      </c>
      <c r="F2205" s="3481">
        <v>2090000</v>
      </c>
      <c r="G2205" s="3482" t="s">
        <v>7074</v>
      </c>
    </row>
    <row r="2206" spans="1:7">
      <c r="A2206" s="3536">
        <v>2205</v>
      </c>
      <c r="B2206" s="3481" t="s">
        <v>7214</v>
      </c>
      <c r="C2206" s="3481" t="s">
        <v>3395</v>
      </c>
      <c r="D2206" s="3482">
        <v>83.46</v>
      </c>
      <c r="E2206" s="3519">
        <f t="shared" si="34"/>
        <v>28441.612748622098</v>
      </c>
      <c r="F2206" s="3481">
        <v>2373737</v>
      </c>
      <c r="G2206" s="3482" t="s">
        <v>7192</v>
      </c>
    </row>
    <row r="2207" spans="1:7">
      <c r="A2207" s="3536">
        <v>2206</v>
      </c>
      <c r="B2207" s="3481" t="s">
        <v>7173</v>
      </c>
      <c r="C2207" s="3481" t="s">
        <v>3395</v>
      </c>
      <c r="D2207" s="3482">
        <v>83.46</v>
      </c>
      <c r="E2207" s="3519">
        <f t="shared" si="34"/>
        <v>28441.612748622098</v>
      </c>
      <c r="F2207" s="3481">
        <v>2373737</v>
      </c>
      <c r="G2207" s="3482" t="s">
        <v>7169</v>
      </c>
    </row>
    <row r="2208" spans="1:7">
      <c r="A2208" s="3536">
        <v>2207</v>
      </c>
      <c r="B2208" s="3481" t="s">
        <v>7174</v>
      </c>
      <c r="C2208" s="3481" t="s">
        <v>3395</v>
      </c>
      <c r="D2208" s="3482">
        <v>83.46</v>
      </c>
      <c r="E2208" s="3519">
        <f t="shared" si="34"/>
        <v>28441.612748622098</v>
      </c>
      <c r="F2208" s="3481">
        <v>2373737</v>
      </c>
      <c r="G2208" s="3482" t="s">
        <v>7169</v>
      </c>
    </row>
    <row r="2209" spans="1:7">
      <c r="A2209" s="3536">
        <v>2208</v>
      </c>
      <c r="B2209" s="3481" t="s">
        <v>7215</v>
      </c>
      <c r="C2209" s="3481" t="s">
        <v>3395</v>
      </c>
      <c r="D2209" s="3482">
        <v>83.46</v>
      </c>
      <c r="E2209" s="3519">
        <f t="shared" si="34"/>
        <v>28441.612748622098</v>
      </c>
      <c r="F2209" s="3481">
        <v>2373737</v>
      </c>
      <c r="G2209" s="3482" t="s">
        <v>7192</v>
      </c>
    </row>
    <row r="2210" spans="1:7">
      <c r="A2210" s="3536">
        <v>2209</v>
      </c>
      <c r="B2210" s="3481" t="s">
        <v>7139</v>
      </c>
      <c r="C2210" s="3481" t="s">
        <v>3395</v>
      </c>
      <c r="D2210" s="3482">
        <v>83.46</v>
      </c>
      <c r="E2210" s="3519">
        <f t="shared" si="34"/>
        <v>27917.565300742874</v>
      </c>
      <c r="F2210" s="3481">
        <v>2330000</v>
      </c>
      <c r="G2210" s="3482" t="s">
        <v>7135</v>
      </c>
    </row>
    <row r="2211" spans="1:7">
      <c r="A2211" s="3536">
        <v>2210</v>
      </c>
      <c r="B2211" s="3481" t="s">
        <v>7140</v>
      </c>
      <c r="C2211" s="3481" t="s">
        <v>3395</v>
      </c>
      <c r="D2211" s="3482">
        <v>83.46</v>
      </c>
      <c r="E2211" s="3519">
        <f t="shared" si="34"/>
        <v>27917.565300742874</v>
      </c>
      <c r="F2211" s="3481">
        <v>2330000</v>
      </c>
      <c r="G2211" s="3482" t="s">
        <v>7135</v>
      </c>
    </row>
    <row r="2212" spans="1:7">
      <c r="A2212" s="3536">
        <v>2211</v>
      </c>
      <c r="B2212" s="3481" t="s">
        <v>6969</v>
      </c>
      <c r="C2212" s="3481" t="s">
        <v>3395</v>
      </c>
      <c r="D2212" s="3482">
        <v>73.69</v>
      </c>
      <c r="E2212" s="3519">
        <f t="shared" si="34"/>
        <v>28362.057266929027</v>
      </c>
      <c r="F2212" s="3481">
        <v>2090000</v>
      </c>
      <c r="G2212" s="3482" t="s">
        <v>6955</v>
      </c>
    </row>
    <row r="2213" spans="1:7">
      <c r="A2213" s="3536">
        <v>2212</v>
      </c>
      <c r="B2213" s="3481" t="s">
        <v>7013</v>
      </c>
      <c r="C2213" s="3481" t="s">
        <v>3395</v>
      </c>
      <c r="D2213" s="3482">
        <v>73.69</v>
      </c>
      <c r="E2213" s="3519">
        <f t="shared" si="34"/>
        <v>28362.057266929027</v>
      </c>
      <c r="F2213" s="3481">
        <v>2090000</v>
      </c>
      <c r="G2213" s="3482" t="s">
        <v>6993</v>
      </c>
    </row>
    <row r="2214" spans="1:7">
      <c r="A2214" s="3536">
        <v>2213</v>
      </c>
      <c r="B2214" s="3481" t="s">
        <v>7216</v>
      </c>
      <c r="C2214" s="3481" t="s">
        <v>3395</v>
      </c>
      <c r="D2214" s="3482">
        <v>83.46</v>
      </c>
      <c r="E2214" s="3519">
        <f t="shared" si="34"/>
        <v>28441.612748622098</v>
      </c>
      <c r="F2214" s="3481">
        <v>2373737</v>
      </c>
      <c r="G2214" s="3482" t="s">
        <v>7192</v>
      </c>
    </row>
    <row r="2215" spans="1:7">
      <c r="A2215" s="3536">
        <v>2214</v>
      </c>
      <c r="B2215" s="3481" t="s">
        <v>7188</v>
      </c>
      <c r="C2215" s="3481" t="s">
        <v>3395</v>
      </c>
      <c r="D2215" s="3482">
        <v>83.46</v>
      </c>
      <c r="E2215" s="3519">
        <f t="shared" si="34"/>
        <v>28441.612748622098</v>
      </c>
      <c r="F2215" s="3481">
        <v>2373737</v>
      </c>
      <c r="G2215" s="3482" t="s">
        <v>7176</v>
      </c>
    </row>
    <row r="2216" spans="1:7">
      <c r="A2216" s="3536">
        <v>2215</v>
      </c>
      <c r="B2216" s="3481" t="s">
        <v>7189</v>
      </c>
      <c r="C2216" s="3481" t="s">
        <v>3395</v>
      </c>
      <c r="D2216" s="3482">
        <v>83.46</v>
      </c>
      <c r="E2216" s="3519">
        <f t="shared" si="34"/>
        <v>28441.612748622098</v>
      </c>
      <c r="F2216" s="3481">
        <v>2373737</v>
      </c>
      <c r="G2216" s="3482" t="s">
        <v>7176</v>
      </c>
    </row>
    <row r="2217" spans="1:7">
      <c r="A2217" s="3536">
        <v>2216</v>
      </c>
      <c r="B2217" s="3481" t="s">
        <v>7217</v>
      </c>
      <c r="C2217" s="3481" t="s">
        <v>3395</v>
      </c>
      <c r="D2217" s="3482">
        <v>83.46</v>
      </c>
      <c r="E2217" s="3519">
        <f t="shared" si="34"/>
        <v>28441.612748622098</v>
      </c>
      <c r="F2217" s="3481">
        <v>2373737</v>
      </c>
      <c r="G2217" s="3482" t="s">
        <v>7192</v>
      </c>
    </row>
    <row r="2218" spans="1:7">
      <c r="A2218" s="3536">
        <v>2217</v>
      </c>
      <c r="B2218" s="3481" t="s">
        <v>7052</v>
      </c>
      <c r="C2218" s="3481" t="s">
        <v>3395</v>
      </c>
      <c r="D2218" s="3482">
        <v>83.46</v>
      </c>
      <c r="E2218" s="3519">
        <f t="shared" si="34"/>
        <v>27917.565300742874</v>
      </c>
      <c r="F2218" s="3481">
        <v>2330000</v>
      </c>
      <c r="G2218" s="3482" t="s">
        <v>7047</v>
      </c>
    </row>
    <row r="2219" spans="1:7">
      <c r="A2219" s="3536">
        <v>2218</v>
      </c>
      <c r="B2219" s="3481" t="s">
        <v>7088</v>
      </c>
      <c r="C2219" s="3481" t="s">
        <v>3395</v>
      </c>
      <c r="D2219" s="3482">
        <v>83.46</v>
      </c>
      <c r="E2219" s="3519">
        <f t="shared" si="34"/>
        <v>27917.565300742874</v>
      </c>
      <c r="F2219" s="3481">
        <v>2330000</v>
      </c>
      <c r="G2219" s="3482" t="s">
        <v>7083</v>
      </c>
    </row>
    <row r="2220" spans="1:7">
      <c r="A2220" s="3536">
        <v>2219</v>
      </c>
      <c r="B2220" s="3481" t="s">
        <v>7218</v>
      </c>
      <c r="C2220" s="3481" t="s">
        <v>3395</v>
      </c>
      <c r="D2220" s="3482">
        <v>73.69</v>
      </c>
      <c r="E2220" s="3519">
        <f t="shared" si="34"/>
        <v>27887.094585425431</v>
      </c>
      <c r="F2220" s="3481">
        <v>2055000</v>
      </c>
      <c r="G2220" s="3482" t="s">
        <v>7192</v>
      </c>
    </row>
    <row r="2221" spans="1:7">
      <c r="A2221" s="3536">
        <v>2220</v>
      </c>
      <c r="B2221" s="3481" t="s">
        <v>7219</v>
      </c>
      <c r="C2221" s="3481" t="s">
        <v>3395</v>
      </c>
      <c r="D2221" s="3482">
        <v>73.69</v>
      </c>
      <c r="E2221" s="3519">
        <f t="shared" si="34"/>
        <v>27887.094585425431</v>
      </c>
      <c r="F2221" s="3481">
        <v>2055000</v>
      </c>
      <c r="G2221" s="3482" t="s">
        <v>7192</v>
      </c>
    </row>
    <row r="2222" spans="1:7">
      <c r="A2222" s="3536">
        <v>2221</v>
      </c>
      <c r="B2222" s="3481" t="s">
        <v>7220</v>
      </c>
      <c r="C2222" s="3481" t="s">
        <v>3395</v>
      </c>
      <c r="D2222" s="3482">
        <v>83.46</v>
      </c>
      <c r="E2222" s="3519">
        <f t="shared" si="34"/>
        <v>28441.612748622098</v>
      </c>
      <c r="F2222" s="3481">
        <v>2373737</v>
      </c>
      <c r="G2222" s="3482" t="s">
        <v>7192</v>
      </c>
    </row>
    <row r="2223" spans="1:7">
      <c r="A2223" s="3536">
        <v>2222</v>
      </c>
      <c r="B2223" s="3481" t="s">
        <v>7190</v>
      </c>
      <c r="C2223" s="3481" t="s">
        <v>3395</v>
      </c>
      <c r="D2223" s="3482">
        <v>83.85</v>
      </c>
      <c r="E2223" s="3519">
        <f t="shared" si="34"/>
        <v>28309.326177698273</v>
      </c>
      <c r="F2223" s="3481">
        <v>2373737</v>
      </c>
      <c r="G2223" s="3482" t="s">
        <v>7176</v>
      </c>
    </row>
    <row r="2224" spans="1:7">
      <c r="A2224" s="3536">
        <v>2223</v>
      </c>
      <c r="B2224" s="3481" t="s">
        <v>7221</v>
      </c>
      <c r="C2224" s="3481" t="s">
        <v>3395</v>
      </c>
      <c r="D2224" s="3482">
        <v>83.46</v>
      </c>
      <c r="E2224" s="3519">
        <f t="shared" si="34"/>
        <v>28441.612748622098</v>
      </c>
      <c r="F2224" s="3481">
        <v>2373737</v>
      </c>
      <c r="G2224" s="3482" t="s">
        <v>7192</v>
      </c>
    </row>
    <row r="2225" spans="1:7">
      <c r="A2225" s="3536">
        <v>2224</v>
      </c>
      <c r="B2225" s="3481" t="s">
        <v>7222</v>
      </c>
      <c r="C2225" s="3481" t="s">
        <v>3395</v>
      </c>
      <c r="D2225" s="3482">
        <v>83.85</v>
      </c>
      <c r="E2225" s="3519">
        <f t="shared" si="34"/>
        <v>28309.326177698273</v>
      </c>
      <c r="F2225" s="3481">
        <v>2373737</v>
      </c>
      <c r="G2225" s="3482" t="s">
        <v>7192</v>
      </c>
    </row>
    <row r="2226" spans="1:7">
      <c r="A2226" s="3536">
        <v>2225</v>
      </c>
      <c r="B2226" s="3481" t="s">
        <v>7223</v>
      </c>
      <c r="C2226" s="3481" t="s">
        <v>3395</v>
      </c>
      <c r="D2226" s="3482">
        <v>83.46</v>
      </c>
      <c r="E2226" s="3519">
        <f t="shared" si="34"/>
        <v>27917.565300742874</v>
      </c>
      <c r="F2226" s="3481">
        <v>2330000</v>
      </c>
      <c r="G2226" s="3482" t="s">
        <v>7192</v>
      </c>
    </row>
    <row r="2227" spans="1:7">
      <c r="A2227" s="3536">
        <v>2226</v>
      </c>
      <c r="B2227" s="3481" t="s">
        <v>7078</v>
      </c>
      <c r="C2227" s="3481" t="s">
        <v>3395</v>
      </c>
      <c r="D2227" s="3482">
        <v>83.85</v>
      </c>
      <c r="E2227" s="3519">
        <f t="shared" si="34"/>
        <v>27787.716159809184</v>
      </c>
      <c r="F2227" s="3481">
        <v>2330000</v>
      </c>
      <c r="G2227" s="3482" t="s">
        <v>7074</v>
      </c>
    </row>
    <row r="2228" spans="1:7">
      <c r="A2228" s="3536">
        <v>2227</v>
      </c>
      <c r="B2228" s="3481" t="s">
        <v>7224</v>
      </c>
      <c r="C2228" s="3481" t="s">
        <v>3395</v>
      </c>
      <c r="D2228" s="3482">
        <v>73.69</v>
      </c>
      <c r="E2228" s="3519">
        <f t="shared" si="34"/>
        <v>27887.094585425431</v>
      </c>
      <c r="F2228" s="3481">
        <v>2055000</v>
      </c>
      <c r="G2228" s="3482" t="s">
        <v>7192</v>
      </c>
    </row>
    <row r="2229" spans="1:7">
      <c r="A2229" s="3536">
        <v>2228</v>
      </c>
      <c r="B2229" s="3481" t="s">
        <v>7141</v>
      </c>
      <c r="C2229" s="3481" t="s">
        <v>3395</v>
      </c>
      <c r="D2229" s="3482">
        <v>74.150000000000006</v>
      </c>
      <c r="E2229" s="3519">
        <f t="shared" si="34"/>
        <v>28186.109238031015</v>
      </c>
      <c r="F2229" s="3481">
        <v>2090000</v>
      </c>
      <c r="G2229" s="3482" t="s">
        <v>7135</v>
      </c>
    </row>
    <row r="2230" spans="1:7">
      <c r="A2230" s="3536">
        <v>2229</v>
      </c>
      <c r="B2230" s="3481" t="s">
        <v>7595</v>
      </c>
      <c r="C2230" s="3481" t="s">
        <v>5318</v>
      </c>
      <c r="D2230" s="3482">
        <v>189.98</v>
      </c>
      <c r="E2230" s="3519">
        <f t="shared" si="34"/>
        <v>25730.524265712182</v>
      </c>
      <c r="F2230" s="3481">
        <v>4888285</v>
      </c>
      <c r="G2230" s="3482" t="s">
        <v>3720</v>
      </c>
    </row>
    <row r="2231" spans="1:7">
      <c r="A2231" s="3536">
        <v>2230</v>
      </c>
      <c r="B2231" s="3481" t="s">
        <v>3719</v>
      </c>
      <c r="C2231" s="3481" t="s">
        <v>3338</v>
      </c>
      <c r="D2231" s="3482">
        <v>12.78</v>
      </c>
      <c r="E2231" s="3519">
        <f t="shared" si="34"/>
        <v>8104.4600938967142</v>
      </c>
      <c r="F2231" s="3481">
        <v>103575</v>
      </c>
      <c r="G2231" s="3482" t="s">
        <v>3720</v>
      </c>
    </row>
    <row r="2232" spans="1:7">
      <c r="A2232" s="3536">
        <v>2231</v>
      </c>
      <c r="B2232" s="3481" t="s">
        <v>7560</v>
      </c>
      <c r="C2232" s="3481" t="s">
        <v>5305</v>
      </c>
      <c r="D2232" s="3482">
        <v>73.430000000000007</v>
      </c>
      <c r="E2232" s="3519">
        <f t="shared" si="34"/>
        <v>38737.232738662671</v>
      </c>
      <c r="F2232" s="3481">
        <v>2844475</v>
      </c>
      <c r="G2232" s="3482" t="s">
        <v>3668</v>
      </c>
    </row>
    <row r="2233" spans="1:7">
      <c r="A2233" s="3536">
        <v>2232</v>
      </c>
      <c r="B2233" s="3481" t="s">
        <v>3670</v>
      </c>
      <c r="C2233" s="3481" t="s">
        <v>3338</v>
      </c>
      <c r="D2233" s="3482">
        <v>100.15</v>
      </c>
      <c r="E2233" s="3519">
        <f t="shared" si="34"/>
        <v>11545.361957064402</v>
      </c>
      <c r="F2233" s="3481">
        <v>1156268</v>
      </c>
      <c r="G2233" s="3482" t="s">
        <v>3668</v>
      </c>
    </row>
    <row r="2234" spans="1:7">
      <c r="A2234" s="3536">
        <v>2233</v>
      </c>
      <c r="B2234" s="3481" t="s">
        <v>7610</v>
      </c>
      <c r="C2234" s="3481" t="s">
        <v>5318</v>
      </c>
      <c r="D2234" s="3482">
        <v>189.07</v>
      </c>
      <c r="E2234" s="3519">
        <f t="shared" si="34"/>
        <v>25883.799650922938</v>
      </c>
      <c r="F2234" s="3481">
        <v>4893850</v>
      </c>
      <c r="G2234" s="3482" t="s">
        <v>3740</v>
      </c>
    </row>
    <row r="2235" spans="1:7">
      <c r="A2235" s="3536">
        <v>2234</v>
      </c>
      <c r="B2235" s="3481" t="s">
        <v>3742</v>
      </c>
      <c r="C2235" s="3481" t="s">
        <v>3338</v>
      </c>
      <c r="D2235" s="3482">
        <v>12.78</v>
      </c>
      <c r="E2235" s="3519">
        <f t="shared" si="34"/>
        <v>7824.8043818466358</v>
      </c>
      <c r="F2235" s="3481">
        <v>100001</v>
      </c>
      <c r="G2235" s="3482" t="s">
        <v>3740</v>
      </c>
    </row>
    <row r="2236" spans="1:7">
      <c r="A2236" s="3536">
        <v>2235</v>
      </c>
      <c r="B2236" s="3481" t="s">
        <v>3721</v>
      </c>
      <c r="C2236" s="3481" t="s">
        <v>3338</v>
      </c>
      <c r="D2236" s="3482">
        <v>54.59</v>
      </c>
      <c r="E2236" s="3519">
        <f t="shared" si="34"/>
        <v>1897.3255174940464</v>
      </c>
      <c r="F2236" s="3481">
        <v>103575</v>
      </c>
      <c r="G2236" s="3482" t="s">
        <v>3720</v>
      </c>
    </row>
    <row r="2237" spans="1:7">
      <c r="A2237" s="3536">
        <v>2236</v>
      </c>
      <c r="B2237" s="3481" t="s">
        <v>3671</v>
      </c>
      <c r="C2237" s="3481" t="s">
        <v>3338</v>
      </c>
      <c r="D2237" s="3482">
        <v>191.55</v>
      </c>
      <c r="E2237" s="3519">
        <f t="shared" si="34"/>
        <v>11488.890629078569</v>
      </c>
      <c r="F2237" s="3481">
        <v>2200697</v>
      </c>
      <c r="G2237" s="3482" t="s">
        <v>3668</v>
      </c>
    </row>
    <row r="2238" spans="1:7">
      <c r="A2238" s="3536">
        <v>2237</v>
      </c>
      <c r="B2238" s="3481" t="s">
        <v>3743</v>
      </c>
      <c r="C2238" s="3481" t="s">
        <v>3338</v>
      </c>
      <c r="D2238" s="3482">
        <v>54.03</v>
      </c>
      <c r="E2238" s="3519">
        <f t="shared" si="34"/>
        <v>1850.8421247455117</v>
      </c>
      <c r="F2238" s="3481">
        <v>100001</v>
      </c>
      <c r="G2238" s="3482" t="s">
        <v>3740</v>
      </c>
    </row>
    <row r="2239" spans="1:7">
      <c r="A2239" s="3536">
        <v>2238</v>
      </c>
      <c r="B2239" s="3481" t="s">
        <v>7399</v>
      </c>
      <c r="C2239" s="3481" t="s">
        <v>3395</v>
      </c>
      <c r="D2239" s="3482">
        <v>83.92</v>
      </c>
      <c r="E2239" s="3519">
        <f t="shared" si="34"/>
        <v>31816.015252621542</v>
      </c>
      <c r="F2239" s="3481">
        <v>2670000</v>
      </c>
      <c r="G2239" s="3482" t="s">
        <v>3529</v>
      </c>
    </row>
    <row r="2240" spans="1:7">
      <c r="A2240" s="3536">
        <v>2239</v>
      </c>
      <c r="B2240" s="3481" t="s">
        <v>7285</v>
      </c>
      <c r="C2240" s="3481" t="s">
        <v>3395</v>
      </c>
      <c r="D2240" s="3482">
        <v>83.54</v>
      </c>
      <c r="E2240" s="3519">
        <f t="shared" si="34"/>
        <v>28728.752693320563</v>
      </c>
      <c r="F2240" s="3481">
        <v>2400000</v>
      </c>
      <c r="G2240" s="3482" t="s">
        <v>3503</v>
      </c>
    </row>
    <row r="2241" spans="1:7">
      <c r="A2241" s="3536">
        <v>2240</v>
      </c>
      <c r="B2241" s="3481" t="s">
        <v>7389</v>
      </c>
      <c r="C2241" s="3481" t="s">
        <v>3395</v>
      </c>
      <c r="D2241" s="3482">
        <v>83.92</v>
      </c>
      <c r="E2241" s="3519">
        <f t="shared" si="34"/>
        <v>31577.69304099142</v>
      </c>
      <c r="F2241" s="3481">
        <v>2650000</v>
      </c>
      <c r="G2241" s="3482" t="s">
        <v>7388</v>
      </c>
    </row>
    <row r="2242" spans="1:7">
      <c r="A2242" s="3536">
        <v>2241</v>
      </c>
      <c r="B2242" s="3481" t="s">
        <v>7346</v>
      </c>
      <c r="C2242" s="3481" t="s">
        <v>3395</v>
      </c>
      <c r="D2242" s="3482">
        <v>83.54</v>
      </c>
      <c r="E2242" s="3519">
        <f t="shared" si="34"/>
        <v>29287.131912856115</v>
      </c>
      <c r="F2242" s="3481">
        <v>2446647</v>
      </c>
      <c r="G2242" s="3482" t="s">
        <v>7313</v>
      </c>
    </row>
    <row r="2243" spans="1:7">
      <c r="A2243" s="3536">
        <v>2242</v>
      </c>
      <c r="B2243" s="3481" t="s">
        <v>6843</v>
      </c>
      <c r="C2243" s="3481" t="s">
        <v>3395</v>
      </c>
      <c r="D2243" s="3482">
        <v>83.54</v>
      </c>
      <c r="E2243" s="3519">
        <f t="shared" ref="E2243:E2278" si="35">F2243/D2243</f>
        <v>27771.127603543209</v>
      </c>
      <c r="F2243" s="3481">
        <v>2320000</v>
      </c>
      <c r="G2243" s="3482" t="s">
        <v>6842</v>
      </c>
    </row>
    <row r="2244" spans="1:7">
      <c r="A2244" s="3536">
        <v>2243</v>
      </c>
      <c r="B2244" s="3481" t="s">
        <v>7630</v>
      </c>
      <c r="C2244" s="3481" t="s">
        <v>3395</v>
      </c>
      <c r="D2244" s="3482">
        <v>74.22</v>
      </c>
      <c r="E2244" s="3519">
        <f t="shared" si="35"/>
        <v>37237.388843977365</v>
      </c>
      <c r="F2244" s="3481">
        <v>2763759</v>
      </c>
      <c r="G2244" s="3482" t="s">
        <v>7631</v>
      </c>
    </row>
    <row r="2245" spans="1:7">
      <c r="A2245" s="3536">
        <v>2244</v>
      </c>
      <c r="B2245" s="3481" t="s">
        <v>7624</v>
      </c>
      <c r="C2245" s="3481" t="s">
        <v>3395</v>
      </c>
      <c r="D2245" s="3482">
        <v>73.760000000000005</v>
      </c>
      <c r="E2245" s="3519">
        <f t="shared" si="35"/>
        <v>37237.405097613882</v>
      </c>
      <c r="F2245" s="3481">
        <v>2746631</v>
      </c>
      <c r="G2245" s="3482" t="s">
        <v>7625</v>
      </c>
    </row>
    <row r="2246" spans="1:7">
      <c r="A2246" s="3536">
        <v>2245</v>
      </c>
      <c r="B2246" s="3481" t="s">
        <v>7598</v>
      </c>
      <c r="C2246" s="3481" t="s">
        <v>5318</v>
      </c>
      <c r="D2246" s="3482">
        <v>178.29</v>
      </c>
      <c r="E2246" s="3519">
        <f t="shared" si="35"/>
        <v>27417.606147288127</v>
      </c>
      <c r="F2246" s="3481">
        <v>4888285</v>
      </c>
      <c r="G2246" s="3482" t="s">
        <v>3726</v>
      </c>
    </row>
    <row r="2247" spans="1:7">
      <c r="A2247" s="3536">
        <v>2246</v>
      </c>
      <c r="B2247" s="3481" t="s">
        <v>3725</v>
      </c>
      <c r="C2247" s="3481" t="s">
        <v>3338</v>
      </c>
      <c r="D2247" s="3482">
        <v>23.98</v>
      </c>
      <c r="E2247" s="3519">
        <f t="shared" si="35"/>
        <v>4319.224353628023</v>
      </c>
      <c r="F2247" s="3481">
        <v>103575</v>
      </c>
      <c r="G2247" s="3482" t="s">
        <v>3726</v>
      </c>
    </row>
    <row r="2248" spans="1:7">
      <c r="A2248" s="3536">
        <v>2247</v>
      </c>
      <c r="B2248" s="3481" t="s">
        <v>7290</v>
      </c>
      <c r="C2248" s="3481" t="s">
        <v>5305</v>
      </c>
      <c r="D2248" s="3482">
        <v>73.05</v>
      </c>
      <c r="E2248" s="3519">
        <f t="shared" si="35"/>
        <v>34918.001368925397</v>
      </c>
      <c r="F2248" s="3481">
        <v>2550760</v>
      </c>
      <c r="G2248" s="3482" t="s">
        <v>3506</v>
      </c>
    </row>
    <row r="2249" spans="1:7">
      <c r="A2249" s="3536">
        <v>2248</v>
      </c>
      <c r="B2249" s="3481" t="s">
        <v>3508</v>
      </c>
      <c r="C2249" s="3481" t="s">
        <v>3338</v>
      </c>
      <c r="D2249" s="3482">
        <v>98.73</v>
      </c>
      <c r="E2249" s="3519">
        <f t="shared" si="35"/>
        <v>10334.285424896181</v>
      </c>
      <c r="F2249" s="3481">
        <v>1020304</v>
      </c>
      <c r="G2249" s="3482" t="s">
        <v>3506</v>
      </c>
    </row>
    <row r="2250" spans="1:7">
      <c r="A2250" s="3536">
        <v>2249</v>
      </c>
      <c r="B2250" s="3481" t="s">
        <v>7591</v>
      </c>
      <c r="C2250" s="3481" t="s">
        <v>5318</v>
      </c>
      <c r="D2250" s="3482">
        <v>178.29</v>
      </c>
      <c r="E2250" s="3519">
        <f t="shared" si="35"/>
        <v>27417.606147288127</v>
      </c>
      <c r="F2250" s="3481">
        <v>4888285</v>
      </c>
      <c r="G2250" s="3482" t="s">
        <v>3717</v>
      </c>
    </row>
    <row r="2251" spans="1:7">
      <c r="A2251" s="3536">
        <v>2250</v>
      </c>
      <c r="B2251" s="3481" t="s">
        <v>3716</v>
      </c>
      <c r="C2251" s="3481" t="s">
        <v>3338</v>
      </c>
      <c r="D2251" s="3482">
        <v>23.98</v>
      </c>
      <c r="E2251" s="3519">
        <f t="shared" si="35"/>
        <v>4319.224353628023</v>
      </c>
      <c r="F2251" s="3481">
        <v>103575</v>
      </c>
      <c r="G2251" s="3482" t="s">
        <v>3717</v>
      </c>
    </row>
    <row r="2252" spans="1:7">
      <c r="A2252" s="3536">
        <v>2251</v>
      </c>
      <c r="B2252" s="3481" t="s">
        <v>3727</v>
      </c>
      <c r="C2252" s="3481" t="s">
        <v>3338</v>
      </c>
      <c r="D2252" s="3482">
        <v>28.78</v>
      </c>
      <c r="E2252" s="3519">
        <f t="shared" si="35"/>
        <v>3598.8533703961084</v>
      </c>
      <c r="F2252" s="3481">
        <v>103575</v>
      </c>
      <c r="G2252" s="3482" t="s">
        <v>3726</v>
      </c>
    </row>
    <row r="2253" spans="1:7">
      <c r="A2253" s="3536">
        <v>2252</v>
      </c>
      <c r="B2253" s="3481" t="s">
        <v>3509</v>
      </c>
      <c r="C2253" s="3481" t="s">
        <v>3338</v>
      </c>
      <c r="D2253" s="3482">
        <v>190.13</v>
      </c>
      <c r="E2253" s="3519">
        <f t="shared" si="35"/>
        <v>10732.69867985063</v>
      </c>
      <c r="F2253" s="3481">
        <v>2040608</v>
      </c>
      <c r="G2253" s="3482" t="s">
        <v>3506</v>
      </c>
    </row>
    <row r="2254" spans="1:7">
      <c r="A2254" s="3536">
        <v>2253</v>
      </c>
      <c r="B2254" s="3481" t="s">
        <v>3718</v>
      </c>
      <c r="C2254" s="3481" t="s">
        <v>3338</v>
      </c>
      <c r="D2254" s="3482">
        <v>28.78</v>
      </c>
      <c r="E2254" s="3519">
        <f t="shared" si="35"/>
        <v>3598.8533703961084</v>
      </c>
      <c r="F2254" s="3481">
        <v>103575</v>
      </c>
      <c r="G2254" s="3482" t="s">
        <v>3717</v>
      </c>
    </row>
    <row r="2255" spans="1:7">
      <c r="A2255" s="3536">
        <v>2254</v>
      </c>
      <c r="B2255" s="3481" t="s">
        <v>7358</v>
      </c>
      <c r="C2255" s="3481" t="s">
        <v>3395</v>
      </c>
      <c r="D2255" s="3482">
        <v>83.54</v>
      </c>
      <c r="E2255" s="3519">
        <f t="shared" si="35"/>
        <v>29284.151304764182</v>
      </c>
      <c r="F2255" s="3481">
        <v>2446398</v>
      </c>
      <c r="G2255" s="3482" t="s">
        <v>7350</v>
      </c>
    </row>
    <row r="2256" spans="1:7">
      <c r="A2256" s="3536">
        <v>2255</v>
      </c>
      <c r="B2256" s="3481" t="s">
        <v>7367</v>
      </c>
      <c r="C2256" s="3481" t="s">
        <v>3395</v>
      </c>
      <c r="D2256" s="3482">
        <v>83.54</v>
      </c>
      <c r="E2256" s="3519">
        <f t="shared" si="35"/>
        <v>28414.37634666028</v>
      </c>
      <c r="F2256" s="3481">
        <v>2373737</v>
      </c>
      <c r="G2256" s="3482" t="s">
        <v>7361</v>
      </c>
    </row>
    <row r="2257" spans="1:7">
      <c r="A2257" s="3536">
        <v>2256</v>
      </c>
      <c r="B2257" s="3481" t="s">
        <v>7307</v>
      </c>
      <c r="C2257" s="3481" t="s">
        <v>3395</v>
      </c>
      <c r="D2257" s="3482">
        <v>83.54</v>
      </c>
      <c r="E2257" s="3519">
        <f t="shared" si="35"/>
        <v>28991.309552310267</v>
      </c>
      <c r="F2257" s="3481">
        <v>2421934</v>
      </c>
      <c r="G2257" s="3482" t="s">
        <v>7306</v>
      </c>
    </row>
    <row r="2258" spans="1:7">
      <c r="A2258" s="3536">
        <v>2257</v>
      </c>
      <c r="B2258" s="3481" t="s">
        <v>7379</v>
      </c>
      <c r="C2258" s="3481" t="s">
        <v>3395</v>
      </c>
      <c r="D2258" s="3482">
        <v>83.54</v>
      </c>
      <c r="E2258" s="3519">
        <f t="shared" si="35"/>
        <v>28991.309552310267</v>
      </c>
      <c r="F2258" s="3481">
        <v>2421934</v>
      </c>
      <c r="G2258" s="3482" t="s">
        <v>7377</v>
      </c>
    </row>
    <row r="2259" spans="1:7">
      <c r="A2259" s="3536">
        <v>2258</v>
      </c>
      <c r="B2259" s="3481" t="s">
        <v>6868</v>
      </c>
      <c r="C2259" s="3481" t="s">
        <v>3395</v>
      </c>
      <c r="D2259" s="3482">
        <v>83.54</v>
      </c>
      <c r="E2259" s="3519">
        <f t="shared" si="35"/>
        <v>28249.940148431888</v>
      </c>
      <c r="F2259" s="3481">
        <v>2360000</v>
      </c>
      <c r="G2259" s="3482" t="s">
        <v>3431</v>
      </c>
    </row>
    <row r="2260" spans="1:7">
      <c r="A2260" s="3536">
        <v>2259</v>
      </c>
      <c r="B2260" s="3481" t="s">
        <v>6902</v>
      </c>
      <c r="C2260" s="3481" t="s">
        <v>3395</v>
      </c>
      <c r="D2260" s="3482">
        <v>83.54</v>
      </c>
      <c r="E2260" s="3519">
        <f t="shared" si="35"/>
        <v>28777.112760354321</v>
      </c>
      <c r="F2260" s="3481">
        <v>2404040</v>
      </c>
      <c r="G2260" s="3482" t="s">
        <v>3437</v>
      </c>
    </row>
    <row r="2261" spans="1:7">
      <c r="A2261" s="3536">
        <v>2260</v>
      </c>
      <c r="B2261" s="3481" t="s">
        <v>7634</v>
      </c>
      <c r="C2261" s="3481" t="s">
        <v>3395</v>
      </c>
      <c r="D2261" s="3482">
        <v>73.760000000000005</v>
      </c>
      <c r="E2261" s="3519">
        <f t="shared" si="35"/>
        <v>37237.405097613882</v>
      </c>
      <c r="F2261" s="3481">
        <v>2746631</v>
      </c>
      <c r="G2261" s="3482" t="s">
        <v>7633</v>
      </c>
    </row>
    <row r="2262" spans="1:7">
      <c r="A2262" s="3536">
        <v>2261</v>
      </c>
      <c r="B2262" s="3481" t="s">
        <v>7649</v>
      </c>
      <c r="C2262" s="3481" t="s">
        <v>3395</v>
      </c>
      <c r="D2262" s="3482">
        <v>73.760000000000005</v>
      </c>
      <c r="E2262" s="3519">
        <f t="shared" si="35"/>
        <v>36865.035249457695</v>
      </c>
      <c r="F2262" s="3481">
        <v>2719165</v>
      </c>
      <c r="G2262" s="3482" t="s">
        <v>3759</v>
      </c>
    </row>
    <row r="2263" spans="1:7">
      <c r="A2263" s="3536">
        <v>2262</v>
      </c>
      <c r="B2263" s="3481" t="s">
        <v>7445</v>
      </c>
      <c r="C2263" s="3481" t="s">
        <v>5318</v>
      </c>
      <c r="D2263" s="3482">
        <v>219.57</v>
      </c>
      <c r="E2263" s="3519">
        <f t="shared" si="35"/>
        <v>22487.871749328235</v>
      </c>
      <c r="F2263" s="3481">
        <v>4937662</v>
      </c>
      <c r="G2263" s="3482" t="s">
        <v>3557</v>
      </c>
    </row>
    <row r="2264" spans="1:7">
      <c r="A2264" s="3536">
        <v>2263</v>
      </c>
      <c r="B2264" s="3481" t="s">
        <v>3563</v>
      </c>
      <c r="C2264" s="3481" t="s">
        <v>3338</v>
      </c>
      <c r="D2264" s="3482">
        <v>18.14</v>
      </c>
      <c r="E2264" s="3519">
        <f t="shared" si="35"/>
        <v>11386.714443219404</v>
      </c>
      <c r="F2264" s="3481">
        <v>206555</v>
      </c>
      <c r="G2264" s="3482" t="s">
        <v>3557</v>
      </c>
    </row>
    <row r="2265" spans="1:7">
      <c r="A2265" s="3536">
        <v>2264</v>
      </c>
      <c r="B2265" s="3481" t="s">
        <v>7573</v>
      </c>
      <c r="C2265" s="3481" t="s">
        <v>5305</v>
      </c>
      <c r="D2265" s="3482">
        <v>73.05</v>
      </c>
      <c r="E2265" s="3519">
        <f t="shared" si="35"/>
        <v>38549.349760438061</v>
      </c>
      <c r="F2265" s="3481">
        <v>2816030</v>
      </c>
      <c r="G2265" s="3482" t="s">
        <v>3679</v>
      </c>
    </row>
    <row r="2266" spans="1:7">
      <c r="A2266" s="3536">
        <v>2265</v>
      </c>
      <c r="B2266" s="3481" t="s">
        <v>3685</v>
      </c>
      <c r="C2266" s="3481" t="s">
        <v>3338</v>
      </c>
      <c r="D2266" s="3482">
        <v>98.73</v>
      </c>
      <c r="E2266" s="3519">
        <f t="shared" si="35"/>
        <v>13911.100982477463</v>
      </c>
      <c r="F2266" s="3481">
        <v>1373443</v>
      </c>
      <c r="G2266" s="3482" t="s">
        <v>3679</v>
      </c>
    </row>
    <row r="2267" spans="1:7">
      <c r="A2267" s="3536">
        <v>2266</v>
      </c>
      <c r="B2267" s="3481" t="s">
        <v>7590</v>
      </c>
      <c r="C2267" s="3481" t="s">
        <v>5318</v>
      </c>
      <c r="D2267" s="3482">
        <v>179.48</v>
      </c>
      <c r="E2267" s="3519">
        <f t="shared" si="35"/>
        <v>27347.253175841321</v>
      </c>
      <c r="F2267" s="3481">
        <v>4908285</v>
      </c>
      <c r="G2267" s="3482" t="s">
        <v>3714</v>
      </c>
    </row>
    <row r="2268" spans="1:7">
      <c r="A2268" s="3536">
        <v>2267</v>
      </c>
      <c r="B2268" s="3481" t="s">
        <v>3713</v>
      </c>
      <c r="C2268" s="3481" t="s">
        <v>3338</v>
      </c>
      <c r="D2268" s="3482">
        <v>12.78</v>
      </c>
      <c r="E2268" s="3519">
        <f t="shared" si="35"/>
        <v>8104.4600938967142</v>
      </c>
      <c r="F2268" s="3481">
        <v>103575</v>
      </c>
      <c r="G2268" s="3482" t="s">
        <v>3714</v>
      </c>
    </row>
    <row r="2269" spans="1:7">
      <c r="A2269" s="3536">
        <v>2268</v>
      </c>
      <c r="B2269" s="3481" t="s">
        <v>3686</v>
      </c>
      <c r="C2269" s="3481" t="s">
        <v>3338</v>
      </c>
      <c r="D2269" s="3482">
        <v>190.13</v>
      </c>
      <c r="E2269" s="3519">
        <f t="shared" si="35"/>
        <v>11932.677641613633</v>
      </c>
      <c r="F2269" s="3481">
        <v>2268760</v>
      </c>
      <c r="G2269" s="3482" t="s">
        <v>3679</v>
      </c>
    </row>
    <row r="2270" spans="1:7">
      <c r="A2270" s="3536">
        <v>2269</v>
      </c>
      <c r="B2270" s="3481" t="s">
        <v>3715</v>
      </c>
      <c r="C2270" s="3481" t="s">
        <v>3338</v>
      </c>
      <c r="D2270" s="3482">
        <v>28.78</v>
      </c>
      <c r="E2270" s="3519">
        <f t="shared" si="35"/>
        <v>3598.8533703961084</v>
      </c>
      <c r="F2270" s="3481">
        <v>103575</v>
      </c>
      <c r="G2270" s="3482" t="s">
        <v>3714</v>
      </c>
    </row>
    <row r="2271" spans="1:7">
      <c r="A2271" s="3536">
        <v>2270</v>
      </c>
      <c r="B2271" s="3481" t="s">
        <v>7359</v>
      </c>
      <c r="C2271" s="3481" t="s">
        <v>3395</v>
      </c>
      <c r="D2271" s="3482">
        <v>83.54</v>
      </c>
      <c r="E2271" s="3519">
        <f t="shared" si="35"/>
        <v>28130.237012209716</v>
      </c>
      <c r="F2271" s="3481">
        <v>2350000</v>
      </c>
      <c r="G2271" s="3482" t="s">
        <v>7350</v>
      </c>
    </row>
    <row r="2272" spans="1:7">
      <c r="A2272" s="3536">
        <v>2271</v>
      </c>
      <c r="B2272" s="3481" t="s">
        <v>7400</v>
      </c>
      <c r="C2272" s="3481" t="s">
        <v>3395</v>
      </c>
      <c r="D2272" s="3482">
        <v>83.92</v>
      </c>
      <c r="E2272" s="3519">
        <f t="shared" si="35"/>
        <v>32017.028122020973</v>
      </c>
      <c r="F2272" s="3481">
        <v>2686869</v>
      </c>
      <c r="G2272" s="3482" t="s">
        <v>3529</v>
      </c>
    </row>
    <row r="2273" spans="1:7">
      <c r="A2273" s="3536">
        <v>2272</v>
      </c>
      <c r="B2273" s="3481" t="s">
        <v>7406</v>
      </c>
      <c r="C2273" s="3481" t="s">
        <v>3395</v>
      </c>
      <c r="D2273" s="3482">
        <v>83.54</v>
      </c>
      <c r="E2273" s="3519">
        <f t="shared" si="35"/>
        <v>31841.034235096959</v>
      </c>
      <c r="F2273" s="3481">
        <v>2660000</v>
      </c>
      <c r="G2273" s="3482" t="s">
        <v>3534</v>
      </c>
    </row>
    <row r="2274" spans="1:7">
      <c r="A2274" s="3536">
        <v>2273</v>
      </c>
      <c r="B2274" s="3481" t="s">
        <v>7386</v>
      </c>
      <c r="C2274" s="3481" t="s">
        <v>3395</v>
      </c>
      <c r="D2274" s="3482">
        <v>83.92</v>
      </c>
      <c r="E2274" s="3519">
        <f t="shared" si="35"/>
        <v>32782.805052430886</v>
      </c>
      <c r="F2274" s="3481">
        <v>2751133</v>
      </c>
      <c r="G2274" s="3482" t="s">
        <v>7385</v>
      </c>
    </row>
    <row r="2275" spans="1:7">
      <c r="A2275" s="3536">
        <v>2274</v>
      </c>
      <c r="B2275" s="3481" t="s">
        <v>7064</v>
      </c>
      <c r="C2275" s="3481" t="s">
        <v>3395</v>
      </c>
      <c r="D2275" s="3482">
        <v>83.54</v>
      </c>
      <c r="E2275" s="3519">
        <f t="shared" si="35"/>
        <v>28414.37634666028</v>
      </c>
      <c r="F2275" s="3481">
        <v>2373737</v>
      </c>
      <c r="G2275" s="3482" t="s">
        <v>7061</v>
      </c>
    </row>
    <row r="2276" spans="1:7">
      <c r="A2276" s="3536">
        <v>2275</v>
      </c>
      <c r="B2276" s="3481" t="s">
        <v>7053</v>
      </c>
      <c r="C2276" s="3481" t="s">
        <v>3395</v>
      </c>
      <c r="D2276" s="3482">
        <v>83.92</v>
      </c>
      <c r="E2276" s="3519">
        <f t="shared" si="35"/>
        <v>28598.665395614869</v>
      </c>
      <c r="F2276" s="3481">
        <v>2400000</v>
      </c>
      <c r="G2276" s="3482" t="s">
        <v>7047</v>
      </c>
    </row>
    <row r="2277" spans="1:7">
      <c r="A2277" s="3536">
        <v>2276</v>
      </c>
      <c r="B2277" s="3481" t="s">
        <v>7603</v>
      </c>
      <c r="C2277" s="3481" t="s">
        <v>3395</v>
      </c>
      <c r="D2277" s="3482">
        <v>73.760000000000005</v>
      </c>
      <c r="E2277" s="3519">
        <f t="shared" si="35"/>
        <v>37613.543926247286</v>
      </c>
      <c r="F2277" s="3481">
        <v>2774375</v>
      </c>
      <c r="G2277" s="3482" t="s">
        <v>3729</v>
      </c>
    </row>
    <row r="2278" spans="1:7">
      <c r="A2278" s="3536">
        <v>2277</v>
      </c>
      <c r="B2278" s="3481" t="s">
        <v>7604</v>
      </c>
      <c r="C2278" s="3481" t="s">
        <v>3395</v>
      </c>
      <c r="D2278" s="3482">
        <v>74.22</v>
      </c>
      <c r="E2278" s="3519">
        <f t="shared" si="35"/>
        <v>37613.527351118297</v>
      </c>
      <c r="F2278" s="3481">
        <v>2791676</v>
      </c>
      <c r="G2278" s="3482" t="s">
        <v>3729</v>
      </c>
    </row>
    <row r="2279" spans="1:7">
      <c r="A2279" s="3603" t="s">
        <v>3401</v>
      </c>
      <c r="B2279" s="3603"/>
      <c r="C2279" s="3603"/>
      <c r="D2279" s="3537">
        <f>SUM(D2:D2278)</f>
        <v>203746.29000000007</v>
      </c>
      <c r="E2279" s="3553">
        <f>F2279/D2279</f>
        <v>25309.256654440178</v>
      </c>
      <c r="F2279" s="3537">
        <f>SUM(F2:F2278)</f>
        <v>5156667146</v>
      </c>
    </row>
    <row r="2280" spans="1:7">
      <c r="A2280" s="3485"/>
      <c r="B2280" s="3485"/>
      <c r="C2280" s="3485"/>
      <c r="D2280" s="3485"/>
      <c r="E2280" s="3554"/>
      <c r="F2280" s="3485"/>
      <c r="G2280" s="3485"/>
    </row>
    <row r="2281" spans="1:7">
      <c r="A2281" s="3485"/>
      <c r="B2281" s="3485"/>
      <c r="C2281" s="3485"/>
      <c r="D2281" s="3485"/>
      <c r="E2281" s="3554"/>
      <c r="F2281" s="3485"/>
      <c r="G2281" s="3485"/>
    </row>
    <row r="2282" spans="1:7">
      <c r="A2282" s="3485"/>
      <c r="B2282" s="3485"/>
      <c r="C2282" s="3485"/>
      <c r="D2282" s="3485"/>
      <c r="E2282" s="3554"/>
      <c r="F2282" s="3485"/>
      <c r="G2282" s="3485"/>
    </row>
    <row r="2283" spans="1:7">
      <c r="A2283" s="3485"/>
      <c r="B2283" s="3485"/>
      <c r="C2283" s="3485"/>
      <c r="D2283" s="3485"/>
      <c r="E2283" s="3554"/>
      <c r="F2283" s="3485"/>
      <c r="G2283" s="3485"/>
    </row>
    <row r="2284" spans="1:7">
      <c r="A2284" s="3485"/>
      <c r="B2284" s="3485"/>
      <c r="C2284" s="3485"/>
      <c r="D2284" s="3485"/>
      <c r="E2284" s="3554"/>
      <c r="F2284" s="3485"/>
      <c r="G2284" s="3485"/>
    </row>
    <row r="2285" spans="1:7">
      <c r="A2285" s="3485"/>
      <c r="B2285" s="3485"/>
      <c r="C2285" s="3485"/>
      <c r="D2285" s="3485"/>
      <c r="E2285" s="3554"/>
      <c r="F2285" s="3485"/>
      <c r="G2285" s="3485"/>
    </row>
    <row r="2286" spans="1:7">
      <c r="A2286" s="3485"/>
      <c r="B2286" s="3485"/>
      <c r="C2286" s="3485"/>
      <c r="D2286" s="3485"/>
      <c r="E2286" s="3554"/>
      <c r="F2286" s="3485"/>
      <c r="G2286" s="3485"/>
    </row>
    <row r="2287" spans="1:7">
      <c r="A2287" s="3485"/>
      <c r="B2287" s="3485"/>
      <c r="C2287" s="3485"/>
      <c r="D2287" s="3485"/>
      <c r="E2287" s="3554"/>
      <c r="F2287" s="3485"/>
      <c r="G2287" s="3485"/>
    </row>
    <row r="2288" spans="1:7">
      <c r="A2288" s="3485"/>
      <c r="B2288" s="3485"/>
      <c r="C2288" s="3485"/>
      <c r="D2288" s="3485"/>
      <c r="E2288" s="3554"/>
      <c r="F2288" s="3485"/>
      <c r="G2288" s="3485"/>
    </row>
    <row r="2289" spans="1:7">
      <c r="A2289" s="3485"/>
      <c r="B2289" s="3485"/>
      <c r="C2289" s="3485"/>
      <c r="D2289" s="3485"/>
      <c r="E2289" s="3554"/>
      <c r="F2289" s="3485"/>
      <c r="G2289" s="3485"/>
    </row>
    <row r="2290" spans="1:7">
      <c r="A2290" s="3485"/>
      <c r="B2290" s="3485"/>
      <c r="C2290" s="3485"/>
      <c r="D2290" s="3485"/>
      <c r="E2290" s="3554"/>
      <c r="F2290" s="3485"/>
      <c r="G2290" s="3485"/>
    </row>
    <row r="2291" spans="1:7">
      <c r="A2291" s="3485"/>
      <c r="B2291" s="3485"/>
      <c r="C2291" s="3485"/>
      <c r="D2291" s="3485"/>
      <c r="E2291" s="3554"/>
      <c r="F2291" s="3485"/>
      <c r="G2291" s="3485"/>
    </row>
    <row r="2292" spans="1:7">
      <c r="A2292" s="3485"/>
      <c r="B2292" s="3485"/>
      <c r="C2292" s="3485"/>
      <c r="D2292" s="3485"/>
      <c r="E2292" s="3554"/>
      <c r="F2292" s="3485"/>
      <c r="G2292" s="3485"/>
    </row>
    <row r="2293" spans="1:7">
      <c r="A2293" s="3485"/>
      <c r="B2293" s="3485"/>
      <c r="C2293" s="3485"/>
      <c r="D2293" s="3485"/>
      <c r="E2293" s="3554"/>
      <c r="F2293" s="3485"/>
      <c r="G2293" s="3485"/>
    </row>
    <row r="2294" spans="1:7">
      <c r="A2294" s="3485"/>
      <c r="B2294" s="3485"/>
      <c r="C2294" s="3485"/>
      <c r="D2294" s="3485"/>
      <c r="E2294" s="3554"/>
      <c r="F2294" s="3485"/>
      <c r="G2294" s="3485"/>
    </row>
    <row r="2295" spans="1:7">
      <c r="A2295" s="3485"/>
      <c r="B2295" s="3485"/>
      <c r="C2295" s="3485"/>
      <c r="D2295" s="3485"/>
      <c r="E2295" s="3554"/>
      <c r="F2295" s="3485"/>
      <c r="G2295" s="3485"/>
    </row>
    <row r="2296" spans="1:7">
      <c r="A2296" s="3485"/>
      <c r="B2296" s="3485"/>
      <c r="C2296" s="3485"/>
      <c r="D2296" s="3485"/>
      <c r="E2296" s="3554"/>
      <c r="F2296" s="3485"/>
      <c r="G2296" s="3485"/>
    </row>
    <row r="2297" spans="1:7">
      <c r="A2297" s="3485"/>
      <c r="B2297" s="3485"/>
      <c r="C2297" s="3485"/>
      <c r="D2297" s="3485"/>
      <c r="E2297" s="3554"/>
      <c r="F2297" s="3485"/>
      <c r="G2297" s="3485"/>
    </row>
    <row r="2298" spans="1:7">
      <c r="A2298" s="3485"/>
      <c r="B2298" s="3485"/>
      <c r="C2298" s="3485"/>
      <c r="D2298" s="3485"/>
      <c r="E2298" s="3554"/>
      <c r="F2298" s="3485"/>
      <c r="G2298" s="3485"/>
    </row>
    <row r="2299" spans="1:7">
      <c r="A2299" s="3485"/>
      <c r="B2299" s="3485"/>
      <c r="C2299" s="3485"/>
      <c r="D2299" s="3485"/>
      <c r="E2299" s="3554"/>
      <c r="F2299" s="3485"/>
      <c r="G2299" s="3485"/>
    </row>
    <row r="2300" spans="1:7">
      <c r="A2300" s="3485"/>
      <c r="B2300" s="3485"/>
      <c r="C2300" s="3485"/>
      <c r="D2300" s="3485"/>
      <c r="E2300" s="3554"/>
      <c r="F2300" s="3485"/>
      <c r="G2300" s="3485"/>
    </row>
    <row r="2301" spans="1:7">
      <c r="A2301" s="3485"/>
      <c r="B2301" s="3485"/>
      <c r="C2301" s="3485"/>
      <c r="D2301" s="3485"/>
      <c r="E2301" s="3554"/>
      <c r="F2301" s="3485"/>
      <c r="G2301" s="3485"/>
    </row>
    <row r="2302" spans="1:7">
      <c r="A2302" s="3485"/>
      <c r="B2302" s="3485"/>
      <c r="C2302" s="3485"/>
      <c r="D2302" s="3485"/>
      <c r="E2302" s="3554"/>
      <c r="F2302" s="3485"/>
      <c r="G2302" s="3485"/>
    </row>
    <row r="2303" spans="1:7">
      <c r="A2303" s="3485"/>
      <c r="B2303" s="3485"/>
      <c r="C2303" s="3485"/>
      <c r="D2303" s="3485"/>
      <c r="E2303" s="3554"/>
      <c r="F2303" s="3485"/>
      <c r="G2303" s="3485"/>
    </row>
    <row r="2304" spans="1:7">
      <c r="A2304" s="3485"/>
      <c r="B2304" s="3485"/>
      <c r="C2304" s="3485"/>
      <c r="D2304" s="3485"/>
      <c r="E2304" s="3554"/>
      <c r="F2304" s="3485"/>
      <c r="G2304" s="3485"/>
    </row>
    <row r="2305" spans="1:7">
      <c r="A2305" s="3485"/>
      <c r="B2305" s="3485"/>
      <c r="C2305" s="3485"/>
      <c r="D2305" s="3485"/>
      <c r="E2305" s="3554"/>
      <c r="F2305" s="3485"/>
      <c r="G2305" s="3485"/>
    </row>
    <row r="2306" spans="1:7">
      <c r="A2306" s="3485"/>
      <c r="B2306" s="3485"/>
      <c r="C2306" s="3485"/>
      <c r="D2306" s="3485"/>
      <c r="E2306" s="3554"/>
      <c r="F2306" s="3485"/>
      <c r="G2306" s="3485"/>
    </row>
    <row r="2307" spans="1:7">
      <c r="A2307" s="3485"/>
      <c r="B2307" s="3485"/>
      <c r="C2307" s="3485"/>
      <c r="D2307" s="3485"/>
      <c r="E2307" s="3554"/>
      <c r="F2307" s="3485"/>
      <c r="G2307" s="3485"/>
    </row>
    <row r="2308" spans="1:7">
      <c r="A2308" s="3485"/>
      <c r="B2308" s="3485"/>
      <c r="C2308" s="3485"/>
      <c r="D2308" s="3485"/>
      <c r="E2308" s="3554"/>
      <c r="F2308" s="3485"/>
      <c r="G2308" s="3485"/>
    </row>
    <row r="2309" spans="1:7">
      <c r="A2309" s="3485"/>
      <c r="B2309" s="3485"/>
      <c r="C2309" s="3485"/>
      <c r="D2309" s="3485"/>
      <c r="E2309" s="3554"/>
      <c r="F2309" s="3485"/>
      <c r="G2309" s="3485"/>
    </row>
    <row r="2310" spans="1:7">
      <c r="A2310" s="3485"/>
      <c r="B2310" s="3485"/>
      <c r="C2310" s="3485"/>
      <c r="D2310" s="3485"/>
      <c r="E2310" s="3554"/>
      <c r="F2310" s="3485"/>
      <c r="G2310" s="3485"/>
    </row>
    <row r="2311" spans="1:7">
      <c r="A2311" s="3485"/>
      <c r="B2311" s="3485"/>
      <c r="C2311" s="3485"/>
      <c r="D2311" s="3485"/>
      <c r="E2311" s="3554"/>
      <c r="F2311" s="3485"/>
      <c r="G2311" s="3485"/>
    </row>
    <row r="2312" spans="1:7">
      <c r="A2312" s="3485"/>
      <c r="B2312" s="3485"/>
      <c r="C2312" s="3485"/>
      <c r="D2312" s="3485"/>
      <c r="E2312" s="3554"/>
      <c r="F2312" s="3485"/>
      <c r="G2312" s="3485"/>
    </row>
    <row r="2313" spans="1:7">
      <c r="A2313" s="3485"/>
      <c r="B2313" s="3485"/>
      <c r="C2313" s="3485"/>
      <c r="D2313" s="3485"/>
      <c r="E2313" s="3554"/>
      <c r="F2313" s="3485"/>
      <c r="G2313" s="3485"/>
    </row>
    <row r="2314" spans="1:7">
      <c r="A2314" s="3485"/>
      <c r="B2314" s="3485"/>
      <c r="C2314" s="3485"/>
      <c r="D2314" s="3485"/>
      <c r="E2314" s="3554"/>
      <c r="F2314" s="3485"/>
      <c r="G2314" s="3485"/>
    </row>
    <row r="2315" spans="1:7">
      <c r="A2315" s="3485"/>
      <c r="B2315" s="3485"/>
      <c r="C2315" s="3485"/>
      <c r="D2315" s="3485"/>
      <c r="E2315" s="3554"/>
      <c r="F2315" s="3485"/>
      <c r="G2315" s="3485"/>
    </row>
    <row r="2316" spans="1:7">
      <c r="A2316" s="3485"/>
      <c r="B2316" s="3485"/>
      <c r="C2316" s="3485"/>
      <c r="D2316" s="3485"/>
      <c r="E2316" s="3554"/>
      <c r="F2316" s="3485"/>
      <c r="G2316" s="3485"/>
    </row>
    <row r="2317" spans="1:7">
      <c r="A2317" s="3485"/>
      <c r="B2317" s="3485"/>
      <c r="C2317" s="3485"/>
      <c r="D2317" s="3485"/>
      <c r="E2317" s="3554"/>
      <c r="F2317" s="3485"/>
      <c r="G2317" s="3485"/>
    </row>
    <row r="2318" spans="1:7">
      <c r="A2318" s="3485"/>
      <c r="B2318" s="3485"/>
      <c r="C2318" s="3485"/>
      <c r="D2318" s="3485"/>
      <c r="E2318" s="3554"/>
      <c r="F2318" s="3485"/>
      <c r="G2318" s="3485"/>
    </row>
    <row r="2319" spans="1:7">
      <c r="A2319" s="3485"/>
      <c r="B2319" s="3485"/>
      <c r="C2319" s="3485"/>
      <c r="D2319" s="3485"/>
      <c r="E2319" s="3554"/>
      <c r="F2319" s="3485"/>
      <c r="G2319" s="3485"/>
    </row>
    <row r="2320" spans="1:7">
      <c r="A2320" s="3485"/>
      <c r="B2320" s="3485"/>
      <c r="C2320" s="3485"/>
      <c r="D2320" s="3485"/>
      <c r="E2320" s="3554"/>
      <c r="F2320" s="3485"/>
      <c r="G2320" s="3485"/>
    </row>
    <row r="2321" spans="1:7">
      <c r="A2321" s="3485"/>
      <c r="B2321" s="3485"/>
      <c r="C2321" s="3485"/>
      <c r="D2321" s="3485"/>
      <c r="E2321" s="3554"/>
      <c r="F2321" s="3485"/>
      <c r="G2321" s="3485"/>
    </row>
    <row r="2322" spans="1:7">
      <c r="A2322" s="3485"/>
      <c r="B2322" s="3485"/>
      <c r="C2322" s="3485"/>
      <c r="D2322" s="3485"/>
      <c r="E2322" s="3554"/>
      <c r="F2322" s="3485"/>
      <c r="G2322" s="3485"/>
    </row>
    <row r="2323" spans="1:7">
      <c r="A2323" s="3485"/>
      <c r="B2323" s="3485"/>
      <c r="C2323" s="3485"/>
      <c r="D2323" s="3485"/>
      <c r="E2323" s="3554"/>
      <c r="F2323" s="3485"/>
      <c r="G2323" s="3485"/>
    </row>
    <row r="2324" spans="1:7">
      <c r="A2324" s="3485"/>
      <c r="B2324" s="3485"/>
      <c r="C2324" s="3485"/>
      <c r="D2324" s="3485"/>
      <c r="E2324" s="3554"/>
      <c r="F2324" s="3485"/>
      <c r="G2324" s="3485"/>
    </row>
    <row r="2325" spans="1:7">
      <c r="A2325" s="3485"/>
      <c r="B2325" s="3485"/>
      <c r="C2325" s="3485"/>
      <c r="D2325" s="3485"/>
      <c r="E2325" s="3554"/>
      <c r="F2325" s="3485"/>
      <c r="G2325" s="3485"/>
    </row>
    <row r="2326" spans="1:7">
      <c r="A2326" s="3485"/>
      <c r="B2326" s="3485"/>
      <c r="C2326" s="3485"/>
      <c r="D2326" s="3485"/>
      <c r="E2326" s="3554"/>
      <c r="F2326" s="3485"/>
      <c r="G2326" s="3485"/>
    </row>
    <row r="2327" spans="1:7">
      <c r="A2327" s="3485"/>
      <c r="B2327" s="3485"/>
      <c r="C2327" s="3485"/>
      <c r="D2327" s="3485"/>
      <c r="E2327" s="3554"/>
      <c r="F2327" s="3485"/>
      <c r="G2327" s="3485"/>
    </row>
    <row r="2328" spans="1:7">
      <c r="A2328" s="3485"/>
      <c r="B2328" s="3485"/>
      <c r="C2328" s="3485"/>
      <c r="D2328" s="3485"/>
      <c r="E2328" s="3554"/>
      <c r="F2328" s="3485"/>
      <c r="G2328" s="3485"/>
    </row>
    <row r="2329" spans="1:7">
      <c r="A2329" s="3485"/>
      <c r="B2329" s="3485"/>
      <c r="C2329" s="3485"/>
      <c r="D2329" s="3485"/>
      <c r="E2329" s="3554"/>
      <c r="F2329" s="3485"/>
      <c r="G2329" s="3485"/>
    </row>
    <row r="2330" spans="1:7">
      <c r="A2330" s="3485"/>
      <c r="B2330" s="3485"/>
      <c r="C2330" s="3485"/>
      <c r="D2330" s="3485"/>
      <c r="E2330" s="3554"/>
      <c r="F2330" s="3485"/>
      <c r="G2330" s="3485"/>
    </row>
    <row r="2331" spans="1:7">
      <c r="A2331" s="3485"/>
      <c r="B2331" s="3485"/>
      <c r="C2331" s="3485"/>
      <c r="D2331" s="3485"/>
      <c r="E2331" s="3554"/>
      <c r="F2331" s="3485"/>
      <c r="G2331" s="3485"/>
    </row>
    <row r="2332" spans="1:7">
      <c r="A2332" s="3485"/>
      <c r="B2332" s="3485"/>
      <c r="C2332" s="3485"/>
      <c r="D2332" s="3485"/>
      <c r="E2332" s="3554"/>
      <c r="F2332" s="3485"/>
      <c r="G2332" s="3485"/>
    </row>
    <row r="2333" spans="1:7">
      <c r="A2333" s="3485"/>
      <c r="B2333" s="3485"/>
      <c r="C2333" s="3485"/>
      <c r="D2333" s="3485"/>
      <c r="E2333" s="3554"/>
      <c r="F2333" s="3485"/>
      <c r="G2333" s="3485"/>
    </row>
    <row r="2334" spans="1:7">
      <c r="A2334" s="3485"/>
      <c r="B2334" s="3485"/>
      <c r="C2334" s="3485"/>
      <c r="D2334" s="3485"/>
      <c r="E2334" s="3554"/>
      <c r="F2334" s="3485"/>
      <c r="G2334" s="3485"/>
    </row>
    <row r="2335" spans="1:7">
      <c r="A2335" s="3485"/>
      <c r="B2335" s="3485"/>
      <c r="C2335" s="3485"/>
      <c r="D2335" s="3485"/>
      <c r="E2335" s="3554"/>
      <c r="F2335" s="3485"/>
      <c r="G2335" s="3485"/>
    </row>
    <row r="2336" spans="1:7">
      <c r="A2336" s="3485"/>
      <c r="B2336" s="3485"/>
      <c r="C2336" s="3485"/>
      <c r="D2336" s="3485"/>
      <c r="E2336" s="3554"/>
      <c r="F2336" s="3485"/>
      <c r="G2336" s="3485"/>
    </row>
    <row r="2337" spans="1:7">
      <c r="A2337" s="3485"/>
      <c r="B2337" s="3485"/>
      <c r="C2337" s="3485"/>
      <c r="D2337" s="3485"/>
      <c r="E2337" s="3554"/>
      <c r="F2337" s="3485"/>
      <c r="G2337" s="3485"/>
    </row>
    <row r="2338" spans="1:7">
      <c r="A2338" s="3485"/>
      <c r="B2338" s="3485"/>
      <c r="C2338" s="3485"/>
      <c r="D2338" s="3485"/>
      <c r="E2338" s="3554"/>
      <c r="F2338" s="3485"/>
      <c r="G2338" s="3485"/>
    </row>
    <row r="2339" spans="1:7">
      <c r="A2339" s="3485"/>
      <c r="B2339" s="3485"/>
      <c r="C2339" s="3485"/>
      <c r="D2339" s="3485"/>
      <c r="E2339" s="3554"/>
      <c r="F2339" s="3485"/>
      <c r="G2339" s="3485"/>
    </row>
    <row r="2340" spans="1:7">
      <c r="A2340" s="3485"/>
      <c r="B2340" s="3485"/>
      <c r="C2340" s="3485"/>
      <c r="D2340" s="3485"/>
      <c r="E2340" s="3554"/>
      <c r="F2340" s="3485"/>
      <c r="G2340" s="3485"/>
    </row>
    <row r="2341" spans="1:7">
      <c r="A2341" s="3485"/>
      <c r="B2341" s="3485"/>
      <c r="C2341" s="3485"/>
      <c r="D2341" s="3485"/>
      <c r="E2341" s="3554"/>
      <c r="F2341" s="3485"/>
      <c r="G2341" s="3485"/>
    </row>
    <row r="2342" spans="1:7">
      <c r="A2342" s="3485"/>
      <c r="B2342" s="3485"/>
      <c r="C2342" s="3485"/>
      <c r="D2342" s="3485"/>
      <c r="E2342" s="3554"/>
      <c r="F2342" s="3485"/>
      <c r="G2342" s="3485"/>
    </row>
    <row r="2343" spans="1:7">
      <c r="A2343" s="3485"/>
      <c r="B2343" s="3485"/>
      <c r="C2343" s="3485"/>
      <c r="D2343" s="3485"/>
      <c r="E2343" s="3554"/>
      <c r="F2343" s="3485"/>
      <c r="G2343" s="3485"/>
    </row>
    <row r="2344" spans="1:7">
      <c r="A2344" s="3485"/>
      <c r="B2344" s="3485"/>
      <c r="C2344" s="3485"/>
      <c r="D2344" s="3485"/>
      <c r="E2344" s="3554"/>
      <c r="F2344" s="3485"/>
      <c r="G2344" s="3485"/>
    </row>
    <row r="2345" spans="1:7">
      <c r="A2345" s="3485"/>
      <c r="B2345" s="3485"/>
      <c r="C2345" s="3485"/>
      <c r="D2345" s="3485"/>
      <c r="E2345" s="3554"/>
      <c r="F2345" s="3485"/>
      <c r="G2345" s="3485"/>
    </row>
    <row r="2346" spans="1:7">
      <c r="A2346" s="3485"/>
      <c r="B2346" s="3485"/>
      <c r="C2346" s="3485"/>
      <c r="D2346" s="3485"/>
      <c r="E2346" s="3554"/>
      <c r="F2346" s="3485"/>
      <c r="G2346" s="3485"/>
    </row>
    <row r="2347" spans="1:7">
      <c r="A2347" s="3555"/>
      <c r="B2347" s="3555"/>
      <c r="C2347" s="3555"/>
      <c r="D2347" s="3555"/>
      <c r="E2347" s="3556"/>
      <c r="F2347" s="3555"/>
      <c r="G2347" s="3555"/>
    </row>
  </sheetData>
  <mergeCells count="1">
    <mergeCell ref="A2279:C2279"/>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2167"/>
  <sheetViews>
    <sheetView workbookViewId="0">
      <selection activeCell="J12" sqref="J12"/>
    </sheetView>
  </sheetViews>
  <sheetFormatPr defaultColWidth="9" defaultRowHeight="13.5"/>
  <cols>
    <col min="1" max="1" width="9" style="3536"/>
    <col min="2" max="2" width="17.75" style="3536" customWidth="1"/>
    <col min="3" max="4" width="9" style="3536"/>
  </cols>
  <sheetData>
    <row r="1" spans="1:4" ht="36" customHeight="1">
      <c r="A1" s="3536" t="s">
        <v>3402</v>
      </c>
      <c r="B1" s="3536" t="s">
        <v>3403</v>
      </c>
      <c r="C1" s="3536" t="s">
        <v>3404</v>
      </c>
      <c r="D1" s="3536" t="s">
        <v>3405</v>
      </c>
    </row>
    <row r="2" spans="1:4">
      <c r="A2" s="3536">
        <v>1</v>
      </c>
      <c r="B2" s="3481" t="s">
        <v>5601</v>
      </c>
      <c r="C2" s="3481" t="s">
        <v>5305</v>
      </c>
      <c r="D2" s="3482">
        <v>73.05</v>
      </c>
    </row>
    <row r="3" spans="1:4">
      <c r="A3" s="3536">
        <v>2</v>
      </c>
      <c r="B3" s="3481" t="s">
        <v>5602</v>
      </c>
      <c r="C3" s="3481" t="s">
        <v>3338</v>
      </c>
      <c r="D3" s="3482">
        <v>97.14</v>
      </c>
    </row>
    <row r="4" spans="1:4">
      <c r="A4" s="3536">
        <v>3</v>
      </c>
      <c r="B4" s="3481" t="s">
        <v>5603</v>
      </c>
      <c r="C4" s="3481" t="s">
        <v>3338</v>
      </c>
      <c r="D4" s="3482">
        <v>186.99</v>
      </c>
    </row>
    <row r="5" spans="1:4">
      <c r="A5" s="3536">
        <v>4</v>
      </c>
      <c r="B5" s="3481" t="s">
        <v>5604</v>
      </c>
      <c r="C5" s="3481" t="s">
        <v>5305</v>
      </c>
      <c r="D5" s="3482">
        <v>73.05</v>
      </c>
    </row>
    <row r="6" spans="1:4">
      <c r="A6" s="3536">
        <v>5</v>
      </c>
      <c r="B6" s="3481" t="s">
        <v>5605</v>
      </c>
      <c r="C6" s="3481" t="s">
        <v>3338</v>
      </c>
      <c r="D6" s="3482">
        <v>97.14</v>
      </c>
    </row>
    <row r="7" spans="1:4">
      <c r="A7" s="3536">
        <v>6</v>
      </c>
      <c r="B7" s="3481" t="s">
        <v>5606</v>
      </c>
      <c r="C7" s="3481" t="s">
        <v>3338</v>
      </c>
      <c r="D7" s="3482">
        <v>186.99</v>
      </c>
    </row>
    <row r="8" spans="1:4">
      <c r="A8" s="3536">
        <v>7</v>
      </c>
      <c r="B8" s="3481" t="s">
        <v>5607</v>
      </c>
      <c r="C8" s="3481" t="s">
        <v>5305</v>
      </c>
      <c r="D8" s="3482">
        <v>73.05</v>
      </c>
    </row>
    <row r="9" spans="1:4">
      <c r="A9" s="3536">
        <v>8</v>
      </c>
      <c r="B9" s="3481" t="s">
        <v>5608</v>
      </c>
      <c r="C9" s="3481" t="s">
        <v>3338</v>
      </c>
      <c r="D9" s="3482">
        <v>97.12</v>
      </c>
    </row>
    <row r="10" spans="1:4">
      <c r="A10" s="3536">
        <v>9</v>
      </c>
      <c r="B10" s="3481" t="s">
        <v>5609</v>
      </c>
      <c r="C10" s="3481" t="s">
        <v>3338</v>
      </c>
      <c r="D10" s="3482">
        <v>186.96</v>
      </c>
    </row>
    <row r="11" spans="1:4">
      <c r="A11" s="3536">
        <v>10</v>
      </c>
      <c r="B11" s="3481" t="s">
        <v>5610</v>
      </c>
      <c r="C11" s="3481" t="s">
        <v>5305</v>
      </c>
      <c r="D11" s="3482">
        <v>73.05</v>
      </c>
    </row>
    <row r="12" spans="1:4">
      <c r="A12" s="3536">
        <v>11</v>
      </c>
      <c r="B12" s="3481" t="s">
        <v>5611</v>
      </c>
      <c r="C12" s="3481" t="s">
        <v>3338</v>
      </c>
      <c r="D12" s="3482">
        <v>97.12</v>
      </c>
    </row>
    <row r="13" spans="1:4">
      <c r="A13" s="3536">
        <v>12</v>
      </c>
      <c r="B13" s="3481" t="s">
        <v>5612</v>
      </c>
      <c r="C13" s="3481" t="s">
        <v>3338</v>
      </c>
      <c r="D13" s="3482">
        <v>186.96</v>
      </c>
    </row>
    <row r="14" spans="1:4">
      <c r="A14" s="3536">
        <v>13</v>
      </c>
      <c r="B14" s="3481" t="s">
        <v>6810</v>
      </c>
      <c r="C14" s="3481" t="s">
        <v>3395</v>
      </c>
      <c r="D14" s="3482">
        <v>83.54</v>
      </c>
    </row>
    <row r="15" spans="1:4">
      <c r="A15" s="3536">
        <v>14</v>
      </c>
      <c r="B15" s="3481" t="s">
        <v>5613</v>
      </c>
      <c r="C15" s="3481" t="s">
        <v>5318</v>
      </c>
      <c r="D15" s="3482">
        <v>189.8</v>
      </c>
    </row>
    <row r="16" spans="1:4">
      <c r="A16" s="3536">
        <v>15</v>
      </c>
      <c r="B16" s="3481" t="s">
        <v>5614</v>
      </c>
      <c r="C16" s="3481" t="s">
        <v>3338</v>
      </c>
      <c r="D16" s="3482">
        <v>12.4</v>
      </c>
    </row>
    <row r="17" spans="1:4">
      <c r="A17" s="3536">
        <v>16</v>
      </c>
      <c r="B17" s="3481" t="s">
        <v>5615</v>
      </c>
      <c r="C17" s="3481" t="s">
        <v>5305</v>
      </c>
      <c r="D17" s="3482">
        <v>73.349999999999994</v>
      </c>
    </row>
    <row r="18" spans="1:4">
      <c r="A18" s="3536">
        <v>17</v>
      </c>
      <c r="B18" s="3481" t="s">
        <v>5616</v>
      </c>
      <c r="C18" s="3481" t="s">
        <v>3338</v>
      </c>
      <c r="D18" s="3482">
        <v>97.57</v>
      </c>
    </row>
    <row r="19" spans="1:4">
      <c r="A19" s="3536">
        <v>18</v>
      </c>
      <c r="B19" s="3481" t="s">
        <v>5617</v>
      </c>
      <c r="C19" s="3481" t="s">
        <v>5305</v>
      </c>
      <c r="D19" s="3482">
        <v>72.97</v>
      </c>
    </row>
    <row r="20" spans="1:4">
      <c r="A20" s="3536">
        <v>19</v>
      </c>
      <c r="B20" s="3481" t="s">
        <v>5618</v>
      </c>
      <c r="C20" s="3481" t="s">
        <v>3338</v>
      </c>
      <c r="D20" s="3482">
        <v>96.19</v>
      </c>
    </row>
    <row r="21" spans="1:4">
      <c r="A21" s="3536">
        <v>20</v>
      </c>
      <c r="B21" s="3481" t="s">
        <v>5619</v>
      </c>
      <c r="C21" s="3481" t="s">
        <v>5318</v>
      </c>
      <c r="D21" s="3482">
        <v>188.89</v>
      </c>
    </row>
    <row r="22" spans="1:4">
      <c r="A22" s="3536">
        <v>21</v>
      </c>
      <c r="B22" s="3481" t="s">
        <v>5620</v>
      </c>
      <c r="C22" s="3481" t="s">
        <v>3338</v>
      </c>
      <c r="D22" s="3482">
        <v>12.4</v>
      </c>
    </row>
    <row r="23" spans="1:4">
      <c r="A23" s="3536">
        <v>22</v>
      </c>
      <c r="B23" s="3481" t="s">
        <v>5621</v>
      </c>
      <c r="C23" s="3481" t="s">
        <v>3338</v>
      </c>
      <c r="D23" s="3482">
        <v>53.15</v>
      </c>
    </row>
    <row r="24" spans="1:4">
      <c r="A24" s="3536">
        <v>23</v>
      </c>
      <c r="B24" s="3481" t="s">
        <v>5622</v>
      </c>
      <c r="C24" s="3481" t="s">
        <v>3338</v>
      </c>
      <c r="D24" s="3482">
        <v>186.49</v>
      </c>
    </row>
    <row r="25" spans="1:4">
      <c r="A25" s="3536">
        <v>24</v>
      </c>
      <c r="B25" s="3481" t="s">
        <v>5623</v>
      </c>
      <c r="C25" s="3481" t="s">
        <v>3338</v>
      </c>
      <c r="D25" s="3482">
        <v>185.11</v>
      </c>
    </row>
    <row r="26" spans="1:4">
      <c r="A26" s="3536">
        <v>25</v>
      </c>
      <c r="B26" s="3481" t="s">
        <v>5624</v>
      </c>
      <c r="C26" s="3481" t="s">
        <v>3338</v>
      </c>
      <c r="D26" s="3482">
        <v>52.61</v>
      </c>
    </row>
    <row r="27" spans="1:4">
      <c r="A27" s="3536">
        <v>26</v>
      </c>
      <c r="B27" s="3481" t="s">
        <v>5625</v>
      </c>
      <c r="C27" s="3481" t="s">
        <v>3395</v>
      </c>
      <c r="D27" s="3482">
        <v>83.82</v>
      </c>
    </row>
    <row r="28" spans="1:4">
      <c r="A28" s="3536">
        <v>27</v>
      </c>
      <c r="B28" s="3481" t="s">
        <v>5626</v>
      </c>
      <c r="C28" s="3481" t="s">
        <v>3395</v>
      </c>
      <c r="D28" s="3482">
        <v>83.44</v>
      </c>
    </row>
    <row r="29" spans="1:4">
      <c r="A29" s="3536">
        <v>28</v>
      </c>
      <c r="B29" s="3481" t="s">
        <v>5627</v>
      </c>
      <c r="C29" s="3481" t="s">
        <v>5318</v>
      </c>
      <c r="D29" s="3482">
        <v>188.89</v>
      </c>
    </row>
    <row r="30" spans="1:4">
      <c r="A30" s="3536">
        <v>29</v>
      </c>
      <c r="B30" s="3481" t="s">
        <v>5628</v>
      </c>
      <c r="C30" s="3481" t="s">
        <v>3338</v>
      </c>
      <c r="D30" s="3482">
        <v>12.4</v>
      </c>
    </row>
    <row r="31" spans="1:4">
      <c r="A31" s="3536">
        <v>30</v>
      </c>
      <c r="B31" s="3481" t="s">
        <v>5629</v>
      </c>
      <c r="C31" s="3481" t="s">
        <v>5305</v>
      </c>
      <c r="D31" s="3482">
        <v>72.97</v>
      </c>
    </row>
    <row r="32" spans="1:4">
      <c r="A32" s="3536">
        <v>31</v>
      </c>
      <c r="B32" s="3481" t="s">
        <v>5630</v>
      </c>
      <c r="C32" s="3481" t="s">
        <v>3338</v>
      </c>
      <c r="D32" s="3482">
        <v>96.19</v>
      </c>
    </row>
    <row r="33" spans="1:4">
      <c r="A33" s="3536">
        <v>32</v>
      </c>
      <c r="B33" s="3481" t="s">
        <v>5631</v>
      </c>
      <c r="C33" s="3481" t="s">
        <v>5305</v>
      </c>
      <c r="D33" s="3482">
        <v>72.97</v>
      </c>
    </row>
    <row r="34" spans="1:4">
      <c r="A34" s="3536">
        <v>33</v>
      </c>
      <c r="B34" s="3481" t="s">
        <v>5632</v>
      </c>
      <c r="C34" s="3481" t="s">
        <v>3338</v>
      </c>
      <c r="D34" s="3482">
        <v>96.19</v>
      </c>
    </row>
    <row r="35" spans="1:4">
      <c r="A35" s="3536">
        <v>34</v>
      </c>
      <c r="B35" s="3481" t="s">
        <v>5633</v>
      </c>
      <c r="C35" s="3481" t="s">
        <v>5318</v>
      </c>
      <c r="D35" s="3482">
        <v>188.89</v>
      </c>
    </row>
    <row r="36" spans="1:4">
      <c r="A36" s="3536">
        <v>35</v>
      </c>
      <c r="B36" s="3481" t="s">
        <v>5634</v>
      </c>
      <c r="C36" s="3481" t="s">
        <v>3338</v>
      </c>
      <c r="D36" s="3482">
        <v>12.4</v>
      </c>
    </row>
    <row r="37" spans="1:4">
      <c r="A37" s="3536">
        <v>36</v>
      </c>
      <c r="B37" s="3481" t="s">
        <v>5635</v>
      </c>
      <c r="C37" s="3481" t="s">
        <v>3338</v>
      </c>
      <c r="D37" s="3482">
        <v>52.61</v>
      </c>
    </row>
    <row r="38" spans="1:4">
      <c r="A38" s="3536">
        <v>37</v>
      </c>
      <c r="B38" s="3481" t="s">
        <v>5636</v>
      </c>
      <c r="C38" s="3481" t="s">
        <v>3338</v>
      </c>
      <c r="D38" s="3482">
        <v>185.11</v>
      </c>
    </row>
    <row r="39" spans="1:4">
      <c r="A39" s="3536">
        <v>38</v>
      </c>
      <c r="B39" s="3481" t="s">
        <v>5637</v>
      </c>
      <c r="C39" s="3481" t="s">
        <v>3338</v>
      </c>
      <c r="D39" s="3482">
        <v>185.11</v>
      </c>
    </row>
    <row r="40" spans="1:4">
      <c r="A40" s="3536">
        <v>39</v>
      </c>
      <c r="B40" s="3481" t="s">
        <v>5638</v>
      </c>
      <c r="C40" s="3481" t="s">
        <v>3338</v>
      </c>
      <c r="D40" s="3482">
        <v>52.61</v>
      </c>
    </row>
    <row r="41" spans="1:4">
      <c r="A41" s="3536">
        <v>40</v>
      </c>
      <c r="B41" s="3481" t="s">
        <v>5639</v>
      </c>
      <c r="C41" s="3481" t="s">
        <v>3395</v>
      </c>
      <c r="D41" s="3482">
        <v>83.44</v>
      </c>
    </row>
    <row r="42" spans="1:4">
      <c r="A42" s="3536">
        <v>41</v>
      </c>
      <c r="B42" s="3481" t="s">
        <v>5640</v>
      </c>
      <c r="C42" s="3481" t="s">
        <v>5318</v>
      </c>
      <c r="D42" s="3482">
        <v>188.89</v>
      </c>
    </row>
    <row r="43" spans="1:4">
      <c r="A43" s="3536">
        <v>42</v>
      </c>
      <c r="B43" s="3481" t="s">
        <v>5641</v>
      </c>
      <c r="C43" s="3481" t="s">
        <v>3338</v>
      </c>
      <c r="D43" s="3482">
        <v>12.4</v>
      </c>
    </row>
    <row r="44" spans="1:4">
      <c r="A44" s="3536">
        <v>43</v>
      </c>
      <c r="B44" s="3481" t="s">
        <v>5642</v>
      </c>
      <c r="C44" s="3481" t="s">
        <v>5305</v>
      </c>
      <c r="D44" s="3482">
        <v>72.97</v>
      </c>
    </row>
    <row r="45" spans="1:4">
      <c r="A45" s="3536">
        <v>44</v>
      </c>
      <c r="B45" s="3481" t="s">
        <v>5643</v>
      </c>
      <c r="C45" s="3481" t="s">
        <v>3338</v>
      </c>
      <c r="D45" s="3482">
        <v>96.19</v>
      </c>
    </row>
    <row r="46" spans="1:4">
      <c r="A46" s="3536">
        <v>45</v>
      </c>
      <c r="B46" s="3481" t="s">
        <v>5644</v>
      </c>
      <c r="C46" s="3481" t="s">
        <v>5305</v>
      </c>
      <c r="D46" s="3482">
        <v>72.97</v>
      </c>
    </row>
    <row r="47" spans="1:4">
      <c r="A47" s="3536">
        <v>46</v>
      </c>
      <c r="B47" s="3481" t="s">
        <v>5645</v>
      </c>
      <c r="C47" s="3481" t="s">
        <v>3338</v>
      </c>
      <c r="D47" s="3482">
        <v>96.19</v>
      </c>
    </row>
    <row r="48" spans="1:4">
      <c r="A48" s="3536">
        <v>47</v>
      </c>
      <c r="B48" s="3481" t="s">
        <v>5646</v>
      </c>
      <c r="C48" s="3481" t="s">
        <v>5318</v>
      </c>
      <c r="D48" s="3482">
        <v>188.89</v>
      </c>
    </row>
    <row r="49" spans="1:4">
      <c r="A49" s="3536">
        <v>48</v>
      </c>
      <c r="B49" s="3481" t="s">
        <v>5647</v>
      </c>
      <c r="C49" s="3481" t="s">
        <v>3338</v>
      </c>
      <c r="D49" s="3482">
        <v>12.4</v>
      </c>
    </row>
    <row r="50" spans="1:4">
      <c r="A50" s="3536">
        <v>49</v>
      </c>
      <c r="B50" s="3481" t="s">
        <v>5648</v>
      </c>
      <c r="C50" s="3481" t="s">
        <v>3338</v>
      </c>
      <c r="D50" s="3482">
        <v>52.61</v>
      </c>
    </row>
    <row r="51" spans="1:4">
      <c r="A51" s="3536">
        <v>50</v>
      </c>
      <c r="B51" s="3481" t="s">
        <v>5649</v>
      </c>
      <c r="C51" s="3481" t="s">
        <v>3338</v>
      </c>
      <c r="D51" s="3482">
        <v>185.11</v>
      </c>
    </row>
    <row r="52" spans="1:4">
      <c r="A52" s="3536">
        <v>51</v>
      </c>
      <c r="B52" s="3481" t="s">
        <v>5650</v>
      </c>
      <c r="C52" s="3481" t="s">
        <v>3338</v>
      </c>
      <c r="D52" s="3482">
        <v>185.11</v>
      </c>
    </row>
    <row r="53" spans="1:4">
      <c r="A53" s="3536">
        <v>52</v>
      </c>
      <c r="B53" s="3481" t="s">
        <v>5651</v>
      </c>
      <c r="C53" s="3481" t="s">
        <v>3338</v>
      </c>
      <c r="D53" s="3482">
        <v>52.61</v>
      </c>
    </row>
    <row r="54" spans="1:4">
      <c r="A54" s="3536">
        <v>53</v>
      </c>
      <c r="B54" s="3481" t="s">
        <v>5652</v>
      </c>
      <c r="C54" s="3481" t="s">
        <v>3395</v>
      </c>
      <c r="D54" s="3482">
        <v>83.44</v>
      </c>
    </row>
    <row r="55" spans="1:4">
      <c r="A55" s="3536">
        <v>54</v>
      </c>
      <c r="B55" s="3481" t="s">
        <v>5653</v>
      </c>
      <c r="C55" s="3481" t="s">
        <v>3395</v>
      </c>
      <c r="D55" s="3482">
        <v>83.44</v>
      </c>
    </row>
    <row r="56" spans="1:4">
      <c r="A56" s="3536">
        <v>55</v>
      </c>
      <c r="B56" s="3481" t="s">
        <v>5654</v>
      </c>
      <c r="C56" s="3481" t="s">
        <v>5318</v>
      </c>
      <c r="D56" s="3482">
        <v>178.1</v>
      </c>
    </row>
    <row r="57" spans="1:4">
      <c r="A57" s="3536">
        <v>56</v>
      </c>
      <c r="B57" s="3481" t="s">
        <v>5655</v>
      </c>
      <c r="C57" s="3481" t="s">
        <v>3338</v>
      </c>
      <c r="D57" s="3482">
        <v>23.53</v>
      </c>
    </row>
    <row r="58" spans="1:4">
      <c r="A58" s="3536">
        <v>57</v>
      </c>
      <c r="B58" s="3481" t="s">
        <v>5656</v>
      </c>
      <c r="C58" s="3481" t="s">
        <v>5305</v>
      </c>
      <c r="D58" s="3482">
        <v>72.97</v>
      </c>
    </row>
    <row r="59" spans="1:4">
      <c r="A59" s="3536">
        <v>58</v>
      </c>
      <c r="B59" s="3481" t="s">
        <v>5657</v>
      </c>
      <c r="C59" s="3481" t="s">
        <v>3338</v>
      </c>
      <c r="D59" s="3482">
        <v>96.29</v>
      </c>
    </row>
    <row r="60" spans="1:4">
      <c r="A60" s="3536">
        <v>59</v>
      </c>
      <c r="B60" s="3481" t="s">
        <v>5658</v>
      </c>
      <c r="C60" s="3481" t="s">
        <v>5305</v>
      </c>
      <c r="D60" s="3482">
        <v>73.349999999999994</v>
      </c>
    </row>
    <row r="61" spans="1:4">
      <c r="A61" s="3536">
        <v>60</v>
      </c>
      <c r="B61" s="3481" t="s">
        <v>5659</v>
      </c>
      <c r="C61" s="3481" t="s">
        <v>3338</v>
      </c>
      <c r="D61" s="3482">
        <v>97.57</v>
      </c>
    </row>
    <row r="62" spans="1:4">
      <c r="A62" s="3536">
        <v>61</v>
      </c>
      <c r="B62" s="3481" t="s">
        <v>5660</v>
      </c>
      <c r="C62" s="3481" t="s">
        <v>5318</v>
      </c>
      <c r="D62" s="3482">
        <v>179.3</v>
      </c>
    </row>
    <row r="63" spans="1:4">
      <c r="A63" s="3536">
        <v>62</v>
      </c>
      <c r="B63" s="3481" t="s">
        <v>5661</v>
      </c>
      <c r="C63" s="3481" t="s">
        <v>3338</v>
      </c>
      <c r="D63" s="3482">
        <v>23.67</v>
      </c>
    </row>
    <row r="64" spans="1:4">
      <c r="A64" s="3536">
        <v>63</v>
      </c>
      <c r="B64" s="3481" t="s">
        <v>5662</v>
      </c>
      <c r="C64" s="3481" t="s">
        <v>3338</v>
      </c>
      <c r="D64" s="3482">
        <v>28.1</v>
      </c>
    </row>
    <row r="65" spans="1:4">
      <c r="A65" s="3536">
        <v>64</v>
      </c>
      <c r="B65" s="3481" t="s">
        <v>5663</v>
      </c>
      <c r="C65" s="3481" t="s">
        <v>3338</v>
      </c>
      <c r="D65" s="3482">
        <v>180.25</v>
      </c>
    </row>
    <row r="66" spans="1:4">
      <c r="A66" s="3536">
        <v>65</v>
      </c>
      <c r="B66" s="3481" t="s">
        <v>5664</v>
      </c>
      <c r="C66" s="3481" t="s">
        <v>3338</v>
      </c>
      <c r="D66" s="3482">
        <v>186.49</v>
      </c>
    </row>
    <row r="67" spans="1:4">
      <c r="A67" s="3536">
        <v>66</v>
      </c>
      <c r="B67" s="3481" t="s">
        <v>5665</v>
      </c>
      <c r="C67" s="3481" t="s">
        <v>3338</v>
      </c>
      <c r="D67" s="3482">
        <v>28.1</v>
      </c>
    </row>
    <row r="68" spans="1:4">
      <c r="A68" s="3536">
        <v>67</v>
      </c>
      <c r="B68" s="3481" t="s">
        <v>5666</v>
      </c>
      <c r="C68" s="3481" t="s">
        <v>5305</v>
      </c>
      <c r="D68" s="3482">
        <v>72.97</v>
      </c>
    </row>
    <row r="69" spans="1:4">
      <c r="A69" s="3536">
        <v>68</v>
      </c>
      <c r="B69" s="3481" t="s">
        <v>5667</v>
      </c>
      <c r="C69" s="3481" t="s">
        <v>3338</v>
      </c>
      <c r="D69" s="3482">
        <v>97.74</v>
      </c>
    </row>
    <row r="70" spans="1:4">
      <c r="A70" s="3536">
        <v>69</v>
      </c>
      <c r="B70" s="3481" t="s">
        <v>5668</v>
      </c>
      <c r="C70" s="3481" t="s">
        <v>5318</v>
      </c>
      <c r="D70" s="3482">
        <v>188.89</v>
      </c>
    </row>
    <row r="71" spans="1:4">
      <c r="A71" s="3536">
        <v>70</v>
      </c>
      <c r="B71" s="3481" t="s">
        <v>5669</v>
      </c>
      <c r="C71" s="3481" t="s">
        <v>3338</v>
      </c>
      <c r="D71" s="3482">
        <v>12.63</v>
      </c>
    </row>
    <row r="72" spans="1:4">
      <c r="A72" s="3536">
        <v>71</v>
      </c>
      <c r="B72" s="3481" t="s">
        <v>5670</v>
      </c>
      <c r="C72" s="3481" t="s">
        <v>3338</v>
      </c>
      <c r="D72" s="3482">
        <v>188.17</v>
      </c>
    </row>
    <row r="73" spans="1:4">
      <c r="A73" s="3536">
        <v>72</v>
      </c>
      <c r="B73" s="3481" t="s">
        <v>5671</v>
      </c>
      <c r="C73" s="3481" t="s">
        <v>3338</v>
      </c>
      <c r="D73" s="3482">
        <v>53.48</v>
      </c>
    </row>
    <row r="74" spans="1:4">
      <c r="A74" s="3536">
        <v>73</v>
      </c>
      <c r="B74" s="3481" t="s">
        <v>5673</v>
      </c>
      <c r="C74" s="3481" t="s">
        <v>5305</v>
      </c>
      <c r="D74" s="3482">
        <v>72.97</v>
      </c>
    </row>
    <row r="75" spans="1:4">
      <c r="A75" s="3536">
        <v>74</v>
      </c>
      <c r="B75" s="3481" t="s">
        <v>5674</v>
      </c>
      <c r="C75" s="3481" t="s">
        <v>3338</v>
      </c>
      <c r="D75" s="3482">
        <v>97.84</v>
      </c>
    </row>
    <row r="76" spans="1:4">
      <c r="A76" s="3536">
        <v>75</v>
      </c>
      <c r="B76" s="3481" t="s">
        <v>5675</v>
      </c>
      <c r="C76" s="3481" t="s">
        <v>5305</v>
      </c>
      <c r="D76" s="3482">
        <v>72.97</v>
      </c>
    </row>
    <row r="77" spans="1:4">
      <c r="A77" s="3536">
        <v>76</v>
      </c>
      <c r="B77" s="3481" t="s">
        <v>5676</v>
      </c>
      <c r="C77" s="3481" t="s">
        <v>3338</v>
      </c>
      <c r="D77" s="3482">
        <v>97.74</v>
      </c>
    </row>
    <row r="78" spans="1:4">
      <c r="A78" s="3536">
        <v>77</v>
      </c>
      <c r="B78" s="3481" t="s">
        <v>5677</v>
      </c>
      <c r="C78" s="3481" t="s">
        <v>5318</v>
      </c>
      <c r="D78" s="3482">
        <v>178.1</v>
      </c>
    </row>
    <row r="79" spans="1:4">
      <c r="A79" s="3536">
        <v>78</v>
      </c>
      <c r="B79" s="3481" t="s">
        <v>5678</v>
      </c>
      <c r="C79" s="3481" t="s">
        <v>3338</v>
      </c>
      <c r="D79" s="3482">
        <v>23.76</v>
      </c>
    </row>
    <row r="80" spans="1:4">
      <c r="A80" s="3536">
        <v>79</v>
      </c>
      <c r="B80" s="3481" t="s">
        <v>5679</v>
      </c>
      <c r="C80" s="3481" t="s">
        <v>3338</v>
      </c>
      <c r="D80" s="3482">
        <v>183.23</v>
      </c>
    </row>
    <row r="81" spans="1:4">
      <c r="A81" s="3536">
        <v>80</v>
      </c>
      <c r="B81" s="3481" t="s">
        <v>5680</v>
      </c>
      <c r="C81" s="3481" t="s">
        <v>3338</v>
      </c>
      <c r="D81" s="3482">
        <v>188.17</v>
      </c>
    </row>
    <row r="82" spans="1:4">
      <c r="A82" s="3536">
        <v>81</v>
      </c>
      <c r="B82" s="3481" t="s">
        <v>5681</v>
      </c>
      <c r="C82" s="3481" t="s">
        <v>3338</v>
      </c>
      <c r="D82" s="3482">
        <v>28.51</v>
      </c>
    </row>
    <row r="83" spans="1:4">
      <c r="A83" s="3536">
        <v>82</v>
      </c>
      <c r="B83" s="3481" t="s">
        <v>5683</v>
      </c>
      <c r="C83" s="3481" t="s">
        <v>5305</v>
      </c>
      <c r="D83" s="3482">
        <v>72.97</v>
      </c>
    </row>
    <row r="84" spans="1:4">
      <c r="A84" s="3536">
        <v>83</v>
      </c>
      <c r="B84" s="3481" t="s">
        <v>5684</v>
      </c>
      <c r="C84" s="3481" t="s">
        <v>3338</v>
      </c>
      <c r="D84" s="3482">
        <v>97.74</v>
      </c>
    </row>
    <row r="85" spans="1:4">
      <c r="A85" s="3536">
        <v>84</v>
      </c>
      <c r="B85" s="3481" t="s">
        <v>5685</v>
      </c>
      <c r="C85" s="3481" t="s">
        <v>3338</v>
      </c>
      <c r="D85" s="3482">
        <v>188.17</v>
      </c>
    </row>
    <row r="86" spans="1:4">
      <c r="A86" s="3536">
        <v>85</v>
      </c>
      <c r="B86" s="3481" t="s">
        <v>5686</v>
      </c>
      <c r="C86" s="3481" t="s">
        <v>5305</v>
      </c>
      <c r="D86" s="3482">
        <v>73.05</v>
      </c>
    </row>
    <row r="87" spans="1:4">
      <c r="A87" s="3536">
        <v>86</v>
      </c>
      <c r="B87" s="3481" t="s">
        <v>5687</v>
      </c>
      <c r="C87" s="3481" t="s">
        <v>3338</v>
      </c>
      <c r="D87" s="3482">
        <v>97.12</v>
      </c>
    </row>
    <row r="88" spans="1:4">
      <c r="A88" s="3536">
        <v>87</v>
      </c>
      <c r="B88" s="3481" t="s">
        <v>5688</v>
      </c>
      <c r="C88" s="3481" t="s">
        <v>3338</v>
      </c>
      <c r="D88" s="3482">
        <v>186.96</v>
      </c>
    </row>
    <row r="89" spans="1:4">
      <c r="A89" s="3536">
        <v>88</v>
      </c>
      <c r="B89" s="3481" t="s">
        <v>5689</v>
      </c>
      <c r="C89" s="3481" t="s">
        <v>5318</v>
      </c>
      <c r="D89" s="3482">
        <v>179.48</v>
      </c>
    </row>
    <row r="90" spans="1:4">
      <c r="A90" s="3536">
        <v>89</v>
      </c>
      <c r="B90" s="3481" t="s">
        <v>5690</v>
      </c>
      <c r="C90" s="3481" t="s">
        <v>3338</v>
      </c>
      <c r="D90" s="3482">
        <v>12.78</v>
      </c>
    </row>
    <row r="91" spans="1:4">
      <c r="A91" s="3536">
        <v>90</v>
      </c>
      <c r="B91" s="3481" t="s">
        <v>5691</v>
      </c>
      <c r="C91" s="3481" t="s">
        <v>5305</v>
      </c>
      <c r="D91" s="3482">
        <v>73.430000000000007</v>
      </c>
    </row>
    <row r="92" spans="1:4">
      <c r="A92" s="3536">
        <v>91</v>
      </c>
      <c r="B92" s="3481" t="s">
        <v>5692</v>
      </c>
      <c r="C92" s="3481" t="s">
        <v>3338</v>
      </c>
      <c r="D92" s="3482">
        <v>100.21</v>
      </c>
    </row>
    <row r="93" spans="1:4">
      <c r="A93" s="3536">
        <v>92</v>
      </c>
      <c r="B93" s="3481" t="s">
        <v>5693</v>
      </c>
      <c r="C93" s="3481" t="s">
        <v>5305</v>
      </c>
      <c r="D93" s="3482">
        <v>73.05</v>
      </c>
    </row>
    <row r="94" spans="1:4">
      <c r="A94" s="3536">
        <v>93</v>
      </c>
      <c r="B94" s="3481" t="s">
        <v>5694</v>
      </c>
      <c r="C94" s="3481" t="s">
        <v>3338</v>
      </c>
      <c r="D94" s="3482">
        <v>98.79</v>
      </c>
    </row>
    <row r="95" spans="1:4">
      <c r="A95" s="3536">
        <v>94</v>
      </c>
      <c r="B95" s="3481" t="s">
        <v>5695</v>
      </c>
      <c r="C95" s="3481" t="s">
        <v>5318</v>
      </c>
      <c r="D95" s="3482">
        <v>219.57</v>
      </c>
    </row>
    <row r="96" spans="1:4">
      <c r="A96" s="3536">
        <v>95</v>
      </c>
      <c r="B96" s="3481" t="s">
        <v>5696</v>
      </c>
      <c r="C96" s="3481" t="s">
        <v>3338</v>
      </c>
      <c r="D96" s="3482">
        <v>18.14</v>
      </c>
    </row>
    <row r="97" spans="1:4">
      <c r="A97" s="3536">
        <v>96</v>
      </c>
      <c r="B97" s="3481" t="s">
        <v>5697</v>
      </c>
      <c r="C97" s="3481" t="s">
        <v>3338</v>
      </c>
      <c r="D97" s="3482">
        <v>28.8</v>
      </c>
    </row>
    <row r="98" spans="1:4">
      <c r="A98" s="3536">
        <v>97</v>
      </c>
      <c r="B98" s="3481" t="s">
        <v>5698</v>
      </c>
      <c r="C98" s="3481" t="s">
        <v>3338</v>
      </c>
      <c r="D98" s="3482">
        <v>191.68</v>
      </c>
    </row>
    <row r="99" spans="1:4">
      <c r="A99" s="3536">
        <v>98</v>
      </c>
      <c r="B99" s="3481" t="s">
        <v>5699</v>
      </c>
      <c r="C99" s="3481" t="s">
        <v>3338</v>
      </c>
      <c r="D99" s="3482">
        <v>190.26</v>
      </c>
    </row>
    <row r="100" spans="1:4">
      <c r="A100" s="3536">
        <v>99</v>
      </c>
      <c r="B100" s="3481" t="s">
        <v>5700</v>
      </c>
      <c r="C100" s="3481" t="s">
        <v>3395</v>
      </c>
      <c r="D100" s="3482">
        <v>83.92</v>
      </c>
    </row>
    <row r="101" spans="1:4">
      <c r="A101" s="3536">
        <v>100</v>
      </c>
      <c r="B101" s="3481" t="s">
        <v>5701</v>
      </c>
      <c r="C101" s="3481" t="s">
        <v>5318</v>
      </c>
      <c r="D101" s="3482">
        <v>189.07</v>
      </c>
    </row>
    <row r="102" spans="1:4">
      <c r="A102" s="3536">
        <v>101</v>
      </c>
      <c r="B102" s="3481" t="s">
        <v>5702</v>
      </c>
      <c r="C102" s="3481" t="s">
        <v>3338</v>
      </c>
      <c r="D102" s="3482">
        <v>12.78</v>
      </c>
    </row>
    <row r="103" spans="1:4">
      <c r="A103" s="3536">
        <v>102</v>
      </c>
      <c r="B103" s="3481" t="s">
        <v>5703</v>
      </c>
      <c r="C103" s="3481" t="s">
        <v>5305</v>
      </c>
      <c r="D103" s="3482">
        <v>73.05</v>
      </c>
    </row>
    <row r="104" spans="1:4">
      <c r="A104" s="3536">
        <v>103</v>
      </c>
      <c r="B104" s="3481" t="s">
        <v>5704</v>
      </c>
      <c r="C104" s="3481" t="s">
        <v>3338</v>
      </c>
      <c r="D104" s="3482">
        <v>98.79</v>
      </c>
    </row>
    <row r="105" spans="1:4">
      <c r="A105" s="3536">
        <v>104</v>
      </c>
      <c r="B105" s="3481" t="s">
        <v>5705</v>
      </c>
      <c r="C105" s="3481" t="s">
        <v>5305</v>
      </c>
      <c r="D105" s="3482">
        <v>73.05</v>
      </c>
    </row>
    <row r="106" spans="1:4">
      <c r="A106" s="3536">
        <v>105</v>
      </c>
      <c r="B106" s="3481" t="s">
        <v>5706</v>
      </c>
      <c r="C106" s="3481" t="s">
        <v>3338</v>
      </c>
      <c r="D106" s="3482">
        <v>98.79</v>
      </c>
    </row>
    <row r="107" spans="1:4">
      <c r="A107" s="3536">
        <v>106</v>
      </c>
      <c r="B107" s="3481" t="s">
        <v>5707</v>
      </c>
      <c r="C107" s="3481" t="s">
        <v>5318</v>
      </c>
      <c r="D107" s="3482">
        <v>189.07</v>
      </c>
    </row>
    <row r="108" spans="1:4">
      <c r="A108" s="3536">
        <v>107</v>
      </c>
      <c r="B108" s="3481" t="s">
        <v>5708</v>
      </c>
      <c r="C108" s="3481" t="s">
        <v>3338</v>
      </c>
      <c r="D108" s="3482">
        <v>12.78</v>
      </c>
    </row>
    <row r="109" spans="1:4">
      <c r="A109" s="3536">
        <v>108</v>
      </c>
      <c r="B109" s="3481" t="s">
        <v>5709</v>
      </c>
      <c r="C109" s="3481" t="s">
        <v>3338</v>
      </c>
      <c r="D109" s="3482">
        <v>54.07</v>
      </c>
    </row>
    <row r="110" spans="1:4">
      <c r="A110" s="3536">
        <v>109</v>
      </c>
      <c r="B110" s="3481" t="s">
        <v>5710</v>
      </c>
      <c r="C110" s="3481" t="s">
        <v>3338</v>
      </c>
      <c r="D110" s="3482">
        <v>190.26</v>
      </c>
    </row>
    <row r="111" spans="1:4">
      <c r="A111" s="3536">
        <v>110</v>
      </c>
      <c r="B111" s="3481" t="s">
        <v>5711</v>
      </c>
      <c r="C111" s="3481" t="s">
        <v>3338</v>
      </c>
      <c r="D111" s="3482">
        <v>190.26</v>
      </c>
    </row>
    <row r="112" spans="1:4">
      <c r="A112" s="3536">
        <v>111</v>
      </c>
      <c r="B112" s="3481" t="s">
        <v>5712</v>
      </c>
      <c r="C112" s="3481" t="s">
        <v>3338</v>
      </c>
      <c r="D112" s="3482">
        <v>54.07</v>
      </c>
    </row>
    <row r="113" spans="1:4">
      <c r="A113" s="3536">
        <v>112</v>
      </c>
      <c r="B113" s="3481" t="s">
        <v>5713</v>
      </c>
      <c r="C113" s="3481" t="s">
        <v>5318</v>
      </c>
      <c r="D113" s="3482">
        <v>178.28</v>
      </c>
    </row>
    <row r="114" spans="1:4">
      <c r="A114" s="3536">
        <v>113</v>
      </c>
      <c r="B114" s="3481" t="s">
        <v>5714</v>
      </c>
      <c r="C114" s="3481" t="s">
        <v>3338</v>
      </c>
      <c r="D114" s="3482">
        <v>23.91</v>
      </c>
    </row>
    <row r="115" spans="1:4">
      <c r="A115" s="3536">
        <v>114</v>
      </c>
      <c r="B115" s="3481" t="s">
        <v>5715</v>
      </c>
      <c r="C115" s="3481" t="s">
        <v>5305</v>
      </c>
      <c r="D115" s="3482">
        <v>73.05</v>
      </c>
    </row>
    <row r="116" spans="1:4">
      <c r="A116" s="3536">
        <v>115</v>
      </c>
      <c r="B116" s="3481" t="s">
        <v>5716</v>
      </c>
      <c r="C116" s="3481" t="s">
        <v>3338</v>
      </c>
      <c r="D116" s="3482">
        <v>98.9</v>
      </c>
    </row>
    <row r="117" spans="1:4">
      <c r="A117" s="3536">
        <v>116</v>
      </c>
      <c r="B117" s="3481" t="s">
        <v>5717</v>
      </c>
      <c r="C117" s="3481" t="s">
        <v>5305</v>
      </c>
      <c r="D117" s="3482">
        <v>73.430000000000007</v>
      </c>
    </row>
    <row r="118" spans="1:4">
      <c r="A118" s="3536">
        <v>117</v>
      </c>
      <c r="B118" s="3481" t="s">
        <v>5718</v>
      </c>
      <c r="C118" s="3481" t="s">
        <v>3338</v>
      </c>
      <c r="D118" s="3482">
        <v>100.21</v>
      </c>
    </row>
    <row r="119" spans="1:4">
      <c r="A119" s="3536">
        <v>118</v>
      </c>
      <c r="B119" s="3481" t="s">
        <v>5719</v>
      </c>
      <c r="C119" s="3481" t="s">
        <v>5318</v>
      </c>
      <c r="D119" s="3482">
        <v>179.48</v>
      </c>
    </row>
    <row r="120" spans="1:4">
      <c r="A120" s="3536">
        <v>119</v>
      </c>
      <c r="B120" s="3481" t="s">
        <v>5720</v>
      </c>
      <c r="C120" s="3481" t="s">
        <v>3338</v>
      </c>
      <c r="D120" s="3482">
        <v>24.05</v>
      </c>
    </row>
    <row r="121" spans="1:4">
      <c r="A121" s="3536">
        <v>120</v>
      </c>
      <c r="B121" s="3481" t="s">
        <v>5721</v>
      </c>
      <c r="C121" s="3481" t="s">
        <v>3338</v>
      </c>
      <c r="D121" s="3482">
        <v>28.8</v>
      </c>
    </row>
    <row r="122" spans="1:4">
      <c r="A122" s="3536">
        <v>121</v>
      </c>
      <c r="B122" s="3481" t="s">
        <v>5722</v>
      </c>
      <c r="C122" s="3481" t="s">
        <v>3338</v>
      </c>
      <c r="D122" s="3482">
        <v>185.26</v>
      </c>
    </row>
    <row r="123" spans="1:4">
      <c r="A123" s="3536">
        <v>122</v>
      </c>
      <c r="B123" s="3481" t="s">
        <v>5723</v>
      </c>
      <c r="C123" s="3481" t="s">
        <v>3338</v>
      </c>
      <c r="D123" s="3482">
        <v>191.68</v>
      </c>
    </row>
    <row r="124" spans="1:4">
      <c r="A124" s="3536">
        <v>123</v>
      </c>
      <c r="B124" s="3481" t="s">
        <v>5724</v>
      </c>
      <c r="C124" s="3481" t="s">
        <v>3338</v>
      </c>
      <c r="D124" s="3482">
        <v>28.8</v>
      </c>
    </row>
    <row r="125" spans="1:4">
      <c r="A125" s="3536">
        <v>124</v>
      </c>
      <c r="B125" s="3481" t="s">
        <v>5725</v>
      </c>
      <c r="C125" s="3481" t="s">
        <v>5305</v>
      </c>
      <c r="D125" s="3482">
        <v>72.97</v>
      </c>
    </row>
    <row r="126" spans="1:4">
      <c r="A126" s="3536">
        <v>125</v>
      </c>
      <c r="B126" s="3481" t="s">
        <v>5726</v>
      </c>
      <c r="C126" s="3481" t="s">
        <v>3338</v>
      </c>
      <c r="D126" s="3482">
        <v>96.11</v>
      </c>
    </row>
    <row r="127" spans="1:4">
      <c r="A127" s="3536">
        <v>126</v>
      </c>
      <c r="B127" s="3481" t="s">
        <v>5727</v>
      </c>
      <c r="C127" s="3481" t="s">
        <v>3338</v>
      </c>
      <c r="D127" s="3482">
        <v>184.96</v>
      </c>
    </row>
    <row r="128" spans="1:4">
      <c r="A128" s="3536">
        <v>127</v>
      </c>
      <c r="B128" s="3481" t="s">
        <v>5728</v>
      </c>
      <c r="C128" s="3481" t="s">
        <v>5305</v>
      </c>
      <c r="D128" s="3482">
        <v>72.97</v>
      </c>
    </row>
    <row r="129" spans="1:4">
      <c r="A129" s="3536">
        <v>128</v>
      </c>
      <c r="B129" s="3481" t="s">
        <v>5729</v>
      </c>
      <c r="C129" s="3481" t="s">
        <v>3338</v>
      </c>
      <c r="D129" s="3482">
        <v>96.11</v>
      </c>
    </row>
    <row r="130" spans="1:4">
      <c r="A130" s="3536">
        <v>129</v>
      </c>
      <c r="B130" s="3481" t="s">
        <v>5730</v>
      </c>
      <c r="C130" s="3481" t="s">
        <v>5305</v>
      </c>
      <c r="D130" s="3482">
        <v>72.97</v>
      </c>
    </row>
    <row r="131" spans="1:4">
      <c r="A131" s="3536">
        <v>130</v>
      </c>
      <c r="B131" s="3481" t="s">
        <v>5731</v>
      </c>
      <c r="C131" s="3481" t="s">
        <v>3338</v>
      </c>
      <c r="D131" s="3482">
        <v>96.11</v>
      </c>
    </row>
    <row r="132" spans="1:4">
      <c r="A132" s="3536">
        <v>131</v>
      </c>
      <c r="B132" s="3481" t="s">
        <v>5732</v>
      </c>
      <c r="C132" s="3481" t="s">
        <v>3338</v>
      </c>
      <c r="D132" s="3482">
        <v>184.96</v>
      </c>
    </row>
    <row r="133" spans="1:4">
      <c r="A133" s="3536">
        <v>132</v>
      </c>
      <c r="B133" s="3481" t="s">
        <v>5733</v>
      </c>
      <c r="C133" s="3481" t="s">
        <v>3338</v>
      </c>
      <c r="D133" s="3482">
        <v>184.96</v>
      </c>
    </row>
    <row r="134" spans="1:4">
      <c r="A134" s="3536">
        <v>133</v>
      </c>
      <c r="B134" s="3481" t="s">
        <v>5734</v>
      </c>
      <c r="C134" s="3481" t="s">
        <v>5305</v>
      </c>
      <c r="D134" s="3482">
        <v>72.97</v>
      </c>
    </row>
    <row r="135" spans="1:4">
      <c r="A135" s="3536">
        <v>134</v>
      </c>
      <c r="B135" s="3481" t="s">
        <v>5735</v>
      </c>
      <c r="C135" s="3481" t="s">
        <v>3338</v>
      </c>
      <c r="D135" s="3482">
        <v>96.11</v>
      </c>
    </row>
    <row r="136" spans="1:4">
      <c r="A136" s="3536">
        <v>135</v>
      </c>
      <c r="B136" s="3481" t="s">
        <v>5736</v>
      </c>
      <c r="C136" s="3481" t="s">
        <v>3338</v>
      </c>
      <c r="D136" s="3482">
        <v>184.96</v>
      </c>
    </row>
    <row r="137" spans="1:4">
      <c r="A137" s="3536">
        <v>136</v>
      </c>
      <c r="B137" s="3481" t="s">
        <v>5737</v>
      </c>
      <c r="C137" s="3481" t="s">
        <v>5305</v>
      </c>
      <c r="D137" s="3482">
        <v>72.97</v>
      </c>
    </row>
    <row r="138" spans="1:4">
      <c r="A138" s="3536">
        <v>137</v>
      </c>
      <c r="B138" s="3481" t="s">
        <v>5738</v>
      </c>
      <c r="C138" s="3481" t="s">
        <v>3338</v>
      </c>
      <c r="D138" s="3482">
        <v>96.21</v>
      </c>
    </row>
    <row r="139" spans="1:4">
      <c r="A139" s="3536">
        <v>138</v>
      </c>
      <c r="B139" s="3481" t="s">
        <v>5739</v>
      </c>
      <c r="C139" s="3481" t="s">
        <v>3338</v>
      </c>
      <c r="D139" s="3482">
        <v>180.1</v>
      </c>
    </row>
    <row r="140" spans="1:4">
      <c r="A140" s="3536">
        <v>139</v>
      </c>
      <c r="B140" s="3481" t="s">
        <v>5740</v>
      </c>
      <c r="C140" s="3481" t="s">
        <v>5305</v>
      </c>
      <c r="D140" s="3482">
        <v>73.05</v>
      </c>
    </row>
    <row r="141" spans="1:4">
      <c r="A141" s="3536">
        <v>140</v>
      </c>
      <c r="B141" s="3481" t="s">
        <v>5741</v>
      </c>
      <c r="C141" s="3481" t="s">
        <v>3338</v>
      </c>
      <c r="D141" s="3482">
        <v>97.14</v>
      </c>
    </row>
    <row r="142" spans="1:4">
      <c r="A142" s="3536">
        <v>141</v>
      </c>
      <c r="B142" s="3481" t="s">
        <v>5742</v>
      </c>
      <c r="C142" s="3481" t="s">
        <v>3338</v>
      </c>
      <c r="D142" s="3482">
        <v>186.99</v>
      </c>
    </row>
    <row r="143" spans="1:4">
      <c r="A143" s="3536">
        <v>142</v>
      </c>
      <c r="B143" s="3481" t="s">
        <v>5743</v>
      </c>
      <c r="C143" s="3481" t="s">
        <v>5305</v>
      </c>
      <c r="D143" s="3482">
        <v>73.05</v>
      </c>
    </row>
    <row r="144" spans="1:4">
      <c r="A144" s="3536">
        <v>143</v>
      </c>
      <c r="B144" s="3481" t="s">
        <v>5744</v>
      </c>
      <c r="C144" s="3481" t="s">
        <v>3338</v>
      </c>
      <c r="D144" s="3482">
        <v>97.14</v>
      </c>
    </row>
    <row r="145" spans="1:4">
      <c r="A145" s="3536">
        <v>144</v>
      </c>
      <c r="B145" s="3481" t="s">
        <v>5745</v>
      </c>
      <c r="C145" s="3481" t="s">
        <v>5305</v>
      </c>
      <c r="D145" s="3482">
        <v>73.05</v>
      </c>
    </row>
    <row r="146" spans="1:4">
      <c r="A146" s="3536">
        <v>145</v>
      </c>
      <c r="B146" s="3481" t="s">
        <v>5746</v>
      </c>
      <c r="C146" s="3481" t="s">
        <v>3338</v>
      </c>
      <c r="D146" s="3482">
        <v>97.14</v>
      </c>
    </row>
    <row r="147" spans="1:4">
      <c r="A147" s="3536">
        <v>146</v>
      </c>
      <c r="B147" s="3481" t="s">
        <v>5747</v>
      </c>
      <c r="C147" s="3481" t="s">
        <v>3338</v>
      </c>
      <c r="D147" s="3482">
        <v>186.99</v>
      </c>
    </row>
    <row r="148" spans="1:4">
      <c r="A148" s="3536">
        <v>147</v>
      </c>
      <c r="B148" s="3481" t="s">
        <v>5748</v>
      </c>
      <c r="C148" s="3481" t="s">
        <v>3338</v>
      </c>
      <c r="D148" s="3482">
        <v>186.99</v>
      </c>
    </row>
    <row r="149" spans="1:4">
      <c r="A149" s="3536">
        <v>148</v>
      </c>
      <c r="B149" s="3481" t="s">
        <v>5749</v>
      </c>
      <c r="C149" s="3481" t="s">
        <v>5305</v>
      </c>
      <c r="D149" s="3482">
        <v>73.05</v>
      </c>
    </row>
    <row r="150" spans="1:4">
      <c r="A150" s="3536">
        <v>149</v>
      </c>
      <c r="B150" s="3481" t="s">
        <v>5750</v>
      </c>
      <c r="C150" s="3481" t="s">
        <v>3338</v>
      </c>
      <c r="D150" s="3482">
        <v>97.76</v>
      </c>
    </row>
    <row r="151" spans="1:4">
      <c r="A151" s="3536">
        <v>150</v>
      </c>
      <c r="B151" s="3481" t="s">
        <v>5751</v>
      </c>
      <c r="C151" s="3481" t="s">
        <v>3338</v>
      </c>
      <c r="D151" s="3482">
        <v>188.22</v>
      </c>
    </row>
    <row r="152" spans="1:4">
      <c r="A152" s="3536">
        <v>151</v>
      </c>
      <c r="B152" s="3481" t="s">
        <v>5752</v>
      </c>
      <c r="C152" s="3481" t="s">
        <v>5305</v>
      </c>
      <c r="D152" s="3482">
        <v>73.05</v>
      </c>
    </row>
    <row r="153" spans="1:4">
      <c r="A153" s="3536">
        <v>152</v>
      </c>
      <c r="B153" s="3481" t="s">
        <v>5753</v>
      </c>
      <c r="C153" s="3481" t="s">
        <v>3338</v>
      </c>
      <c r="D153" s="3482">
        <v>97.76</v>
      </c>
    </row>
    <row r="154" spans="1:4">
      <c r="A154" s="3536">
        <v>153</v>
      </c>
      <c r="B154" s="3481" t="s">
        <v>5754</v>
      </c>
      <c r="C154" s="3481" t="s">
        <v>5305</v>
      </c>
      <c r="D154" s="3482">
        <v>73.05</v>
      </c>
    </row>
    <row r="155" spans="1:4">
      <c r="A155" s="3536">
        <v>154</v>
      </c>
      <c r="B155" s="3481" t="s">
        <v>5755</v>
      </c>
      <c r="C155" s="3481" t="s">
        <v>3338</v>
      </c>
      <c r="D155" s="3482">
        <v>97.76</v>
      </c>
    </row>
    <row r="156" spans="1:4">
      <c r="A156" s="3536">
        <v>155</v>
      </c>
      <c r="B156" s="3481" t="s">
        <v>5756</v>
      </c>
      <c r="C156" s="3481" t="s">
        <v>3338</v>
      </c>
      <c r="D156" s="3482">
        <v>188.22</v>
      </c>
    </row>
    <row r="157" spans="1:4">
      <c r="A157" s="3536">
        <v>156</v>
      </c>
      <c r="B157" s="3481" t="s">
        <v>5757</v>
      </c>
      <c r="C157" s="3481" t="s">
        <v>3338</v>
      </c>
      <c r="D157" s="3482">
        <v>188.22</v>
      </c>
    </row>
    <row r="158" spans="1:4">
      <c r="A158" s="3536">
        <v>157</v>
      </c>
      <c r="B158" s="3481" t="s">
        <v>5758</v>
      </c>
      <c r="C158" s="3481" t="s">
        <v>5305</v>
      </c>
      <c r="D158" s="3482">
        <v>73.05</v>
      </c>
    </row>
    <row r="159" spans="1:4">
      <c r="A159" s="3536">
        <v>158</v>
      </c>
      <c r="B159" s="3481" t="s">
        <v>5759</v>
      </c>
      <c r="C159" s="3481" t="s">
        <v>3338</v>
      </c>
      <c r="D159" s="3482">
        <v>97.86</v>
      </c>
    </row>
    <row r="160" spans="1:4">
      <c r="A160" s="3536">
        <v>159</v>
      </c>
      <c r="B160" s="3481" t="s">
        <v>5760</v>
      </c>
      <c r="C160" s="3481" t="s">
        <v>3338</v>
      </c>
      <c r="D160" s="3482">
        <v>183.28</v>
      </c>
    </row>
    <row r="161" spans="1:4">
      <c r="A161" s="3536">
        <v>160</v>
      </c>
      <c r="B161" s="3481" t="s">
        <v>5761</v>
      </c>
      <c r="C161" s="3481" t="s">
        <v>5305</v>
      </c>
      <c r="D161" s="3482">
        <v>73.430000000000007</v>
      </c>
    </row>
    <row r="162" spans="1:4">
      <c r="A162" s="3536">
        <v>161</v>
      </c>
      <c r="B162" s="3481" t="s">
        <v>5762</v>
      </c>
      <c r="C162" s="3481" t="s">
        <v>3338</v>
      </c>
      <c r="D162" s="3482">
        <v>98.36</v>
      </c>
    </row>
    <row r="163" spans="1:4">
      <c r="A163" s="3536">
        <v>162</v>
      </c>
      <c r="B163" s="3481" t="s">
        <v>5763</v>
      </c>
      <c r="C163" s="3481" t="s">
        <v>5305</v>
      </c>
      <c r="D163" s="3482">
        <v>73.05</v>
      </c>
    </row>
    <row r="164" spans="1:4">
      <c r="A164" s="3536">
        <v>163</v>
      </c>
      <c r="B164" s="3481" t="s">
        <v>5764</v>
      </c>
      <c r="C164" s="3481" t="s">
        <v>3338</v>
      </c>
      <c r="D164" s="3482">
        <v>96.96</v>
      </c>
    </row>
    <row r="165" spans="1:4">
      <c r="A165" s="3536">
        <v>164</v>
      </c>
      <c r="B165" s="3481" t="s">
        <v>5765</v>
      </c>
      <c r="C165" s="3481" t="s">
        <v>3338</v>
      </c>
      <c r="D165" s="3482">
        <v>188.04</v>
      </c>
    </row>
    <row r="166" spans="1:4">
      <c r="A166" s="3536">
        <v>165</v>
      </c>
      <c r="B166" s="3481" t="s">
        <v>5766</v>
      </c>
      <c r="C166" s="3481" t="s">
        <v>3338</v>
      </c>
      <c r="D166" s="3482">
        <v>186.64</v>
      </c>
    </row>
    <row r="167" spans="1:4">
      <c r="A167" s="3536">
        <v>166</v>
      </c>
      <c r="B167" s="3481" t="s">
        <v>5767</v>
      </c>
      <c r="C167" s="3481" t="s">
        <v>5305</v>
      </c>
      <c r="D167" s="3482">
        <v>73.05</v>
      </c>
    </row>
    <row r="168" spans="1:4">
      <c r="A168" s="3536">
        <v>167</v>
      </c>
      <c r="B168" s="3481" t="s">
        <v>5768</v>
      </c>
      <c r="C168" s="3481" t="s">
        <v>3338</v>
      </c>
      <c r="D168" s="3482">
        <v>96.96</v>
      </c>
    </row>
    <row r="169" spans="1:4">
      <c r="A169" s="3536">
        <v>168</v>
      </c>
      <c r="B169" s="3481" t="s">
        <v>5769</v>
      </c>
      <c r="C169" s="3481" t="s">
        <v>5305</v>
      </c>
      <c r="D169" s="3482">
        <v>73.05</v>
      </c>
    </row>
    <row r="170" spans="1:4">
      <c r="A170" s="3536">
        <v>169</v>
      </c>
      <c r="B170" s="3481" t="s">
        <v>5770</v>
      </c>
      <c r="C170" s="3481" t="s">
        <v>3338</v>
      </c>
      <c r="D170" s="3482">
        <v>96.96</v>
      </c>
    </row>
    <row r="171" spans="1:4">
      <c r="A171" s="3536">
        <v>170</v>
      </c>
      <c r="B171" s="3481" t="s">
        <v>5771</v>
      </c>
      <c r="C171" s="3481" t="s">
        <v>3338</v>
      </c>
      <c r="D171" s="3482">
        <v>186.64</v>
      </c>
    </row>
    <row r="172" spans="1:4">
      <c r="A172" s="3536">
        <v>171</v>
      </c>
      <c r="B172" s="3481" t="s">
        <v>5772</v>
      </c>
      <c r="C172" s="3481" t="s">
        <v>3338</v>
      </c>
      <c r="D172" s="3482">
        <v>186.64</v>
      </c>
    </row>
    <row r="173" spans="1:4">
      <c r="A173" s="3536">
        <v>172</v>
      </c>
      <c r="B173" s="3481" t="s">
        <v>5773</v>
      </c>
      <c r="C173" s="3481" t="s">
        <v>3395</v>
      </c>
      <c r="D173" s="3482">
        <v>83.54</v>
      </c>
    </row>
    <row r="174" spans="1:4">
      <c r="A174" s="3536">
        <v>173</v>
      </c>
      <c r="B174" s="3481" t="s">
        <v>5774</v>
      </c>
      <c r="C174" s="3481" t="s">
        <v>5305</v>
      </c>
      <c r="D174" s="3482">
        <v>73.05</v>
      </c>
    </row>
    <row r="175" spans="1:4">
      <c r="A175" s="3536">
        <v>174</v>
      </c>
      <c r="B175" s="3481" t="s">
        <v>5775</v>
      </c>
      <c r="C175" s="3481" t="s">
        <v>3338</v>
      </c>
      <c r="D175" s="3482">
        <v>97.07</v>
      </c>
    </row>
    <row r="176" spans="1:4">
      <c r="A176" s="3536">
        <v>175</v>
      </c>
      <c r="B176" s="3481" t="s">
        <v>5776</v>
      </c>
      <c r="C176" s="3481" t="s">
        <v>3338</v>
      </c>
      <c r="D176" s="3482">
        <v>181.74</v>
      </c>
    </row>
    <row r="177" spans="1:4">
      <c r="A177" s="3536">
        <v>176</v>
      </c>
      <c r="B177" s="3481" t="s">
        <v>5779</v>
      </c>
      <c r="C177" s="3481" t="s">
        <v>5305</v>
      </c>
      <c r="D177" s="3482">
        <v>72.989999999999995</v>
      </c>
    </row>
    <row r="178" spans="1:4">
      <c r="A178" s="3536">
        <v>177</v>
      </c>
      <c r="B178" s="3481" t="s">
        <v>5780</v>
      </c>
      <c r="C178" s="3481" t="s">
        <v>3338</v>
      </c>
      <c r="D178" s="3482">
        <v>96.86</v>
      </c>
    </row>
    <row r="179" spans="1:4">
      <c r="A179" s="3536">
        <v>178</v>
      </c>
      <c r="B179" s="3481" t="s">
        <v>5781</v>
      </c>
      <c r="C179" s="3481" t="s">
        <v>3338</v>
      </c>
      <c r="D179" s="3482">
        <v>186.44</v>
      </c>
    </row>
    <row r="180" spans="1:4">
      <c r="A180" s="3536">
        <v>179</v>
      </c>
      <c r="B180" s="3481" t="s">
        <v>5782</v>
      </c>
      <c r="C180" s="3481" t="s">
        <v>5318</v>
      </c>
      <c r="D180" s="3482">
        <v>153.91</v>
      </c>
    </row>
    <row r="181" spans="1:4">
      <c r="A181" s="3536">
        <v>180</v>
      </c>
      <c r="B181" s="3481" t="s">
        <v>5783</v>
      </c>
      <c r="C181" s="3481" t="s">
        <v>3338</v>
      </c>
      <c r="D181" s="3482">
        <v>17.88</v>
      </c>
    </row>
    <row r="182" spans="1:4">
      <c r="A182" s="3536">
        <v>181</v>
      </c>
      <c r="B182" s="3481" t="s">
        <v>5784</v>
      </c>
      <c r="C182" s="3481" t="s">
        <v>5305</v>
      </c>
      <c r="D182" s="3482">
        <v>73.349999999999994</v>
      </c>
    </row>
    <row r="183" spans="1:4">
      <c r="A183" s="3536">
        <v>182</v>
      </c>
      <c r="B183" s="3481" t="s">
        <v>5785</v>
      </c>
      <c r="C183" s="3481" t="s">
        <v>3338</v>
      </c>
      <c r="D183" s="3482">
        <v>97.87</v>
      </c>
    </row>
    <row r="184" spans="1:4">
      <c r="A184" s="3536">
        <v>183</v>
      </c>
      <c r="B184" s="3481" t="s">
        <v>5786</v>
      </c>
      <c r="C184" s="3481" t="s">
        <v>5305</v>
      </c>
      <c r="D184" s="3482">
        <v>72.97</v>
      </c>
    </row>
    <row r="185" spans="1:4">
      <c r="A185" s="3536">
        <v>184</v>
      </c>
      <c r="B185" s="3481" t="s">
        <v>5787</v>
      </c>
      <c r="C185" s="3481" t="s">
        <v>3338</v>
      </c>
      <c r="D185" s="3482">
        <v>96.95</v>
      </c>
    </row>
    <row r="186" spans="1:4">
      <c r="A186" s="3536">
        <v>185</v>
      </c>
      <c r="B186" s="3481" t="s">
        <v>5788</v>
      </c>
      <c r="C186" s="3481" t="s">
        <v>3338</v>
      </c>
      <c r="D186" s="3482">
        <v>213.3</v>
      </c>
    </row>
    <row r="187" spans="1:4">
      <c r="A187" s="3536">
        <v>186</v>
      </c>
      <c r="B187" s="3481" t="s">
        <v>5789</v>
      </c>
      <c r="C187" s="3481" t="s">
        <v>3338</v>
      </c>
      <c r="D187" s="3482">
        <v>186.63</v>
      </c>
    </row>
    <row r="188" spans="1:4">
      <c r="A188" s="3536">
        <v>187</v>
      </c>
      <c r="B188" s="3481" t="s">
        <v>5790</v>
      </c>
      <c r="C188" s="3481" t="s">
        <v>5305</v>
      </c>
      <c r="D188" s="3482">
        <v>72.97</v>
      </c>
    </row>
    <row r="189" spans="1:4">
      <c r="A189" s="3536">
        <v>188</v>
      </c>
      <c r="B189" s="3481" t="s">
        <v>5791</v>
      </c>
      <c r="C189" s="3481" t="s">
        <v>3338</v>
      </c>
      <c r="D189" s="3482">
        <v>96.95</v>
      </c>
    </row>
    <row r="190" spans="1:4">
      <c r="A190" s="3536">
        <v>189</v>
      </c>
      <c r="B190" s="3481" t="s">
        <v>5792</v>
      </c>
      <c r="C190" s="3481" t="s">
        <v>5305</v>
      </c>
      <c r="D190" s="3482">
        <v>72.97</v>
      </c>
    </row>
    <row r="191" spans="1:4">
      <c r="A191" s="3536">
        <v>190</v>
      </c>
      <c r="B191" s="3481" t="s">
        <v>5793</v>
      </c>
      <c r="C191" s="3481" t="s">
        <v>3338</v>
      </c>
      <c r="D191" s="3482">
        <v>96.95</v>
      </c>
    </row>
    <row r="192" spans="1:4">
      <c r="A192" s="3536">
        <v>191</v>
      </c>
      <c r="B192" s="3481" t="s">
        <v>5794</v>
      </c>
      <c r="C192" s="3481" t="s">
        <v>3338</v>
      </c>
      <c r="D192" s="3482">
        <v>186.63</v>
      </c>
    </row>
    <row r="193" spans="1:4">
      <c r="A193" s="3536">
        <v>192</v>
      </c>
      <c r="B193" s="3481" t="s">
        <v>5795</v>
      </c>
      <c r="C193" s="3481" t="s">
        <v>3338</v>
      </c>
      <c r="D193" s="3482">
        <v>186.63</v>
      </c>
    </row>
    <row r="194" spans="1:4">
      <c r="A194" s="3536">
        <v>193</v>
      </c>
      <c r="B194" s="3481" t="s">
        <v>5796</v>
      </c>
      <c r="C194" s="3481" t="s">
        <v>5305</v>
      </c>
      <c r="D194" s="3482">
        <v>72.97</v>
      </c>
    </row>
    <row r="195" spans="1:4">
      <c r="A195" s="3536">
        <v>194</v>
      </c>
      <c r="B195" s="3481" t="s">
        <v>5797</v>
      </c>
      <c r="C195" s="3481" t="s">
        <v>3338</v>
      </c>
      <c r="D195" s="3482">
        <v>96.95</v>
      </c>
    </row>
    <row r="196" spans="1:4">
      <c r="A196" s="3536">
        <v>195</v>
      </c>
      <c r="B196" s="3481" t="s">
        <v>5798</v>
      </c>
      <c r="C196" s="3481" t="s">
        <v>5305</v>
      </c>
      <c r="D196" s="3482">
        <v>72.97</v>
      </c>
    </row>
    <row r="197" spans="1:4">
      <c r="A197" s="3536">
        <v>196</v>
      </c>
      <c r="B197" s="3481" t="s">
        <v>5799</v>
      </c>
      <c r="C197" s="3481" t="s">
        <v>3338</v>
      </c>
      <c r="D197" s="3482">
        <v>96.95</v>
      </c>
    </row>
    <row r="198" spans="1:4">
      <c r="A198" s="3536">
        <v>197</v>
      </c>
      <c r="B198" s="3481" t="s">
        <v>5800</v>
      </c>
      <c r="C198" s="3481" t="s">
        <v>3338</v>
      </c>
      <c r="D198" s="3482">
        <v>186.63</v>
      </c>
    </row>
    <row r="199" spans="1:4">
      <c r="A199" s="3536">
        <v>198</v>
      </c>
      <c r="B199" s="3481" t="s">
        <v>5801</v>
      </c>
      <c r="C199" s="3481" t="s">
        <v>3338</v>
      </c>
      <c r="D199" s="3482">
        <v>186.63</v>
      </c>
    </row>
    <row r="200" spans="1:4">
      <c r="A200" s="3536">
        <v>199</v>
      </c>
      <c r="B200" s="3481" t="s">
        <v>5802</v>
      </c>
      <c r="C200" s="3481" t="s">
        <v>5305</v>
      </c>
      <c r="D200" s="3482">
        <v>73.05</v>
      </c>
    </row>
    <row r="201" spans="1:4">
      <c r="A201" s="3536">
        <v>200</v>
      </c>
      <c r="B201" s="3481" t="s">
        <v>5803</v>
      </c>
      <c r="C201" s="3481" t="s">
        <v>3338</v>
      </c>
      <c r="D201" s="3482">
        <v>99.47</v>
      </c>
    </row>
    <row r="202" spans="1:4">
      <c r="A202" s="3536">
        <v>201</v>
      </c>
      <c r="B202" s="3481" t="s">
        <v>5804</v>
      </c>
      <c r="C202" s="3481" t="s">
        <v>3338</v>
      </c>
      <c r="D202" s="3482">
        <v>191.6</v>
      </c>
    </row>
    <row r="203" spans="1:4">
      <c r="A203" s="3536">
        <v>202</v>
      </c>
      <c r="B203" s="3481" t="s">
        <v>6761</v>
      </c>
      <c r="C203" s="3481" t="s">
        <v>5305</v>
      </c>
      <c r="D203" s="3482">
        <v>73.349999999999994</v>
      </c>
    </row>
    <row r="204" spans="1:4">
      <c r="A204" s="3536">
        <v>203</v>
      </c>
      <c r="B204" s="3481" t="s">
        <v>3407</v>
      </c>
      <c r="C204" s="3481" t="s">
        <v>3338</v>
      </c>
      <c r="D204" s="3482">
        <v>99.03</v>
      </c>
    </row>
    <row r="205" spans="1:4">
      <c r="A205" s="3536">
        <v>204</v>
      </c>
      <c r="B205" s="3481" t="s">
        <v>3408</v>
      </c>
      <c r="C205" s="3481" t="s">
        <v>3338</v>
      </c>
      <c r="D205" s="3482">
        <v>189.35</v>
      </c>
    </row>
    <row r="206" spans="1:4">
      <c r="A206" s="3536">
        <v>205</v>
      </c>
      <c r="B206" s="3481" t="s">
        <v>5806</v>
      </c>
      <c r="C206" s="3481" t="s">
        <v>5305</v>
      </c>
      <c r="D206" s="3482">
        <v>73.040000000000006</v>
      </c>
    </row>
    <row r="207" spans="1:4">
      <c r="A207" s="3536">
        <v>206</v>
      </c>
      <c r="B207" s="3481" t="s">
        <v>5807</v>
      </c>
      <c r="C207" s="3481" t="s">
        <v>3338</v>
      </c>
      <c r="D207" s="3482">
        <v>100.07</v>
      </c>
    </row>
    <row r="208" spans="1:4">
      <c r="A208" s="3536">
        <v>207</v>
      </c>
      <c r="B208" s="3481" t="s">
        <v>5808</v>
      </c>
      <c r="C208" s="3481" t="s">
        <v>3338</v>
      </c>
      <c r="D208" s="3482">
        <v>192.62</v>
      </c>
    </row>
    <row r="209" spans="1:4">
      <c r="A209" s="3536">
        <v>208</v>
      </c>
      <c r="B209" s="3481" t="s">
        <v>5809</v>
      </c>
      <c r="C209" s="3481" t="s">
        <v>5305</v>
      </c>
      <c r="D209" s="3482">
        <v>72.739999999999995</v>
      </c>
    </row>
    <row r="210" spans="1:4">
      <c r="A210" s="3536">
        <v>209</v>
      </c>
      <c r="B210" s="3481" t="s">
        <v>5810</v>
      </c>
      <c r="C210" s="3481" t="s">
        <v>3338</v>
      </c>
      <c r="D210" s="3482">
        <v>97.99</v>
      </c>
    </row>
    <row r="211" spans="1:4">
      <c r="A211" s="3536">
        <v>210</v>
      </c>
      <c r="B211" s="3481" t="s">
        <v>5811</v>
      </c>
      <c r="C211" s="3481" t="s">
        <v>3338</v>
      </c>
      <c r="D211" s="3482">
        <v>188.31</v>
      </c>
    </row>
    <row r="212" spans="1:4">
      <c r="A212" s="3536">
        <v>211</v>
      </c>
      <c r="B212" s="3481" t="s">
        <v>5812</v>
      </c>
      <c r="C212" s="3481" t="s">
        <v>5305</v>
      </c>
      <c r="D212" s="3482">
        <v>72.739999999999995</v>
      </c>
    </row>
    <row r="213" spans="1:4">
      <c r="A213" s="3536">
        <v>212</v>
      </c>
      <c r="B213" s="3481" t="s">
        <v>5813</v>
      </c>
      <c r="C213" s="3481" t="s">
        <v>3338</v>
      </c>
      <c r="D213" s="3482">
        <v>98.09</v>
      </c>
    </row>
    <row r="214" spans="1:4">
      <c r="A214" s="3536">
        <v>213</v>
      </c>
      <c r="B214" s="3481" t="s">
        <v>5814</v>
      </c>
      <c r="C214" s="3481" t="s">
        <v>5305</v>
      </c>
      <c r="D214" s="3482">
        <v>73.12</v>
      </c>
    </row>
    <row r="215" spans="1:4">
      <c r="A215" s="3536">
        <v>214</v>
      </c>
      <c r="B215" s="3481" t="s">
        <v>5815</v>
      </c>
      <c r="C215" s="3481" t="s">
        <v>3338</v>
      </c>
      <c r="D215" s="3482">
        <v>99.38</v>
      </c>
    </row>
    <row r="216" spans="1:4">
      <c r="A216" s="3536">
        <v>215</v>
      </c>
      <c r="B216" s="3481" t="s">
        <v>5816</v>
      </c>
      <c r="C216" s="3481" t="s">
        <v>3338</v>
      </c>
      <c r="D216" s="3482">
        <v>183.36</v>
      </c>
    </row>
    <row r="217" spans="1:4">
      <c r="A217" s="3536">
        <v>216</v>
      </c>
      <c r="B217" s="3481" t="s">
        <v>5817</v>
      </c>
      <c r="C217" s="3481" t="s">
        <v>3338</v>
      </c>
      <c r="D217" s="3482">
        <v>189.7</v>
      </c>
    </row>
    <row r="218" spans="1:4">
      <c r="A218" s="3536">
        <v>217</v>
      </c>
      <c r="B218" s="3481" t="s">
        <v>5818</v>
      </c>
      <c r="C218" s="3481" t="s">
        <v>5305</v>
      </c>
      <c r="D218" s="3482">
        <v>73.010000000000005</v>
      </c>
    </row>
    <row r="219" spans="1:4">
      <c r="A219" s="3536">
        <v>218</v>
      </c>
      <c r="B219" s="3481" t="s">
        <v>5819</v>
      </c>
      <c r="C219" s="3481" t="s">
        <v>3338</v>
      </c>
      <c r="D219" s="3482">
        <v>101.76</v>
      </c>
    </row>
    <row r="220" spans="1:4">
      <c r="A220" s="3536">
        <v>219</v>
      </c>
      <c r="B220" s="3481" t="s">
        <v>5820</v>
      </c>
      <c r="C220" s="3481" t="s">
        <v>3338</v>
      </c>
      <c r="D220" s="3482">
        <v>190.75</v>
      </c>
    </row>
    <row r="221" spans="1:4">
      <c r="A221" s="3536">
        <v>220</v>
      </c>
      <c r="B221" s="3481" t="s">
        <v>5821</v>
      </c>
      <c r="C221" s="3481" t="s">
        <v>5318</v>
      </c>
      <c r="D221" s="3482">
        <v>169.07</v>
      </c>
    </row>
    <row r="222" spans="1:4">
      <c r="A222" s="3536">
        <v>221</v>
      </c>
      <c r="B222" s="3481" t="s">
        <v>5822</v>
      </c>
      <c r="C222" s="3481" t="s">
        <v>3338</v>
      </c>
      <c r="D222" s="3482">
        <v>12.68</v>
      </c>
    </row>
    <row r="223" spans="1:4">
      <c r="A223" s="3536">
        <v>222</v>
      </c>
      <c r="B223" s="3481" t="s">
        <v>5823</v>
      </c>
      <c r="C223" s="3481" t="s">
        <v>5305</v>
      </c>
      <c r="D223" s="3482">
        <v>73.42</v>
      </c>
    </row>
    <row r="224" spans="1:4">
      <c r="A224" s="3536">
        <v>223</v>
      </c>
      <c r="B224" s="3481" t="s">
        <v>5824</v>
      </c>
      <c r="C224" s="3481" t="s">
        <v>3338</v>
      </c>
      <c r="D224" s="3482">
        <v>99.46</v>
      </c>
    </row>
    <row r="225" spans="1:4">
      <c r="A225" s="3536">
        <v>224</v>
      </c>
      <c r="B225" s="3481" t="s">
        <v>5825</v>
      </c>
      <c r="C225" s="3481" t="s">
        <v>5305</v>
      </c>
      <c r="D225" s="3482">
        <v>73.040000000000006</v>
      </c>
    </row>
    <row r="226" spans="1:4">
      <c r="A226" s="3536">
        <v>225</v>
      </c>
      <c r="B226" s="3481" t="s">
        <v>5826</v>
      </c>
      <c r="C226" s="3481" t="s">
        <v>3338</v>
      </c>
      <c r="D226" s="3482">
        <v>98.05</v>
      </c>
    </row>
    <row r="227" spans="1:4">
      <c r="A227" s="3536">
        <v>226</v>
      </c>
      <c r="B227" s="3481" t="s">
        <v>5827</v>
      </c>
      <c r="C227" s="3481" t="s">
        <v>3338</v>
      </c>
      <c r="D227" s="3482">
        <v>45.51</v>
      </c>
    </row>
    <row r="228" spans="1:4">
      <c r="A228" s="3536">
        <v>227</v>
      </c>
      <c r="B228" s="3481" t="s">
        <v>5828</v>
      </c>
      <c r="C228" s="3481" t="s">
        <v>3338</v>
      </c>
      <c r="D228" s="3482">
        <v>190.19</v>
      </c>
    </row>
    <row r="229" spans="1:4">
      <c r="A229" s="3536">
        <v>228</v>
      </c>
      <c r="B229" s="3481" t="s">
        <v>5829</v>
      </c>
      <c r="C229" s="3481" t="s">
        <v>3338</v>
      </c>
      <c r="D229" s="3482">
        <v>188.39</v>
      </c>
    </row>
    <row r="230" spans="1:4">
      <c r="A230" s="3536">
        <v>229</v>
      </c>
      <c r="B230" s="3481" t="s">
        <v>5830</v>
      </c>
      <c r="C230" s="3481" t="s">
        <v>5318</v>
      </c>
      <c r="D230" s="3482">
        <v>178.25</v>
      </c>
    </row>
    <row r="231" spans="1:4">
      <c r="A231" s="3536">
        <v>230</v>
      </c>
      <c r="B231" s="3481" t="s">
        <v>5831</v>
      </c>
      <c r="C231" s="3481" t="s">
        <v>3338</v>
      </c>
      <c r="D231" s="3482">
        <v>26</v>
      </c>
    </row>
    <row r="232" spans="1:4">
      <c r="A232" s="3536">
        <v>231</v>
      </c>
      <c r="B232" s="3481" t="s">
        <v>5832</v>
      </c>
      <c r="C232" s="3481" t="s">
        <v>5305</v>
      </c>
      <c r="D232" s="3482">
        <v>73.040000000000006</v>
      </c>
    </row>
    <row r="233" spans="1:4">
      <c r="A233" s="3536">
        <v>232</v>
      </c>
      <c r="B233" s="3481" t="s">
        <v>5833</v>
      </c>
      <c r="C233" s="3481" t="s">
        <v>3338</v>
      </c>
      <c r="D233" s="3482">
        <v>98.15</v>
      </c>
    </row>
    <row r="234" spans="1:4">
      <c r="A234" s="3536">
        <v>233</v>
      </c>
      <c r="B234" s="3481" t="s">
        <v>5834</v>
      </c>
      <c r="C234" s="3481" t="s">
        <v>5305</v>
      </c>
      <c r="D234" s="3482">
        <v>73.040000000000006</v>
      </c>
    </row>
    <row r="235" spans="1:4">
      <c r="A235" s="3536">
        <v>234</v>
      </c>
      <c r="B235" s="3481" t="s">
        <v>5835</v>
      </c>
      <c r="C235" s="3481" t="s">
        <v>3338</v>
      </c>
      <c r="D235" s="3482">
        <v>100.11</v>
      </c>
    </row>
    <row r="236" spans="1:4">
      <c r="A236" s="3536">
        <v>235</v>
      </c>
      <c r="B236" s="3481" t="s">
        <v>5836</v>
      </c>
      <c r="C236" s="3481" t="s">
        <v>3338</v>
      </c>
      <c r="D236" s="3482">
        <v>28.6</v>
      </c>
    </row>
    <row r="237" spans="1:4">
      <c r="A237" s="3536">
        <v>236</v>
      </c>
      <c r="B237" s="3481" t="s">
        <v>5837</v>
      </c>
      <c r="C237" s="3481" t="s">
        <v>3338</v>
      </c>
      <c r="D237" s="3482">
        <v>183.82</v>
      </c>
    </row>
    <row r="238" spans="1:4">
      <c r="A238" s="3536">
        <v>237</v>
      </c>
      <c r="B238" s="3481" t="s">
        <v>5838</v>
      </c>
      <c r="C238" s="3481" t="s">
        <v>3338</v>
      </c>
      <c r="D238" s="3482">
        <v>192.69</v>
      </c>
    </row>
    <row r="239" spans="1:4">
      <c r="A239" s="3536">
        <v>238</v>
      </c>
      <c r="B239" s="3481" t="s">
        <v>5839</v>
      </c>
      <c r="C239" s="3481" t="s">
        <v>5305</v>
      </c>
      <c r="D239" s="3482">
        <v>73.040000000000006</v>
      </c>
    </row>
    <row r="240" spans="1:4">
      <c r="A240" s="3536">
        <v>239</v>
      </c>
      <c r="B240" s="3481" t="s">
        <v>5840</v>
      </c>
      <c r="C240" s="3481" t="s">
        <v>3338</v>
      </c>
      <c r="D240" s="3482">
        <v>100.11</v>
      </c>
    </row>
    <row r="241" spans="1:4">
      <c r="A241" s="3536">
        <v>240</v>
      </c>
      <c r="B241" s="3481" t="s">
        <v>5841</v>
      </c>
      <c r="C241" s="3481" t="s">
        <v>5305</v>
      </c>
      <c r="D241" s="3482">
        <v>73.040000000000006</v>
      </c>
    </row>
    <row r="242" spans="1:4">
      <c r="A242" s="3536">
        <v>241</v>
      </c>
      <c r="B242" s="3481" t="s">
        <v>5842</v>
      </c>
      <c r="C242" s="3481" t="s">
        <v>3338</v>
      </c>
      <c r="D242" s="3482">
        <v>98.05</v>
      </c>
    </row>
    <row r="243" spans="1:4">
      <c r="A243" s="3536">
        <v>242</v>
      </c>
      <c r="B243" s="3481" t="s">
        <v>5843</v>
      </c>
      <c r="C243" s="3481" t="s">
        <v>3338</v>
      </c>
      <c r="D243" s="3482">
        <v>192.69</v>
      </c>
    </row>
    <row r="244" spans="1:4">
      <c r="A244" s="3536">
        <v>243</v>
      </c>
      <c r="B244" s="3481" t="s">
        <v>5844</v>
      </c>
      <c r="C244" s="3481" t="s">
        <v>3338</v>
      </c>
      <c r="D244" s="3482">
        <v>188.79</v>
      </c>
    </row>
    <row r="245" spans="1:4">
      <c r="A245" s="3536">
        <v>244</v>
      </c>
      <c r="B245" s="3481" t="s">
        <v>5847</v>
      </c>
      <c r="C245" s="3481" t="s">
        <v>5305</v>
      </c>
      <c r="D245" s="3482">
        <v>73.040000000000006</v>
      </c>
    </row>
    <row r="246" spans="1:4">
      <c r="A246" s="3536">
        <v>245</v>
      </c>
      <c r="B246" s="3481" t="s">
        <v>5848</v>
      </c>
      <c r="C246" s="3481" t="s">
        <v>3338</v>
      </c>
      <c r="D246" s="3482">
        <v>98.15</v>
      </c>
    </row>
    <row r="247" spans="1:4">
      <c r="A247" s="3536">
        <v>246</v>
      </c>
      <c r="B247" s="3481" t="s">
        <v>5849</v>
      </c>
      <c r="C247" s="3481" t="s">
        <v>5305</v>
      </c>
      <c r="D247" s="3482">
        <v>73.040000000000006</v>
      </c>
    </row>
    <row r="248" spans="1:4">
      <c r="A248" s="3536">
        <v>247</v>
      </c>
      <c r="B248" s="3481" t="s">
        <v>5850</v>
      </c>
      <c r="C248" s="3481" t="s">
        <v>3338</v>
      </c>
      <c r="D248" s="3482">
        <v>98.05</v>
      </c>
    </row>
    <row r="249" spans="1:4">
      <c r="A249" s="3536">
        <v>248</v>
      </c>
      <c r="B249" s="3481" t="s">
        <v>5852</v>
      </c>
      <c r="C249" s="3481" t="s">
        <v>3338</v>
      </c>
      <c r="D249" s="3482">
        <v>183.82</v>
      </c>
    </row>
    <row r="250" spans="1:4">
      <c r="A250" s="3536">
        <v>249</v>
      </c>
      <c r="B250" s="3481" t="s">
        <v>5853</v>
      </c>
      <c r="C250" s="3481" t="s">
        <v>3338</v>
      </c>
      <c r="D250" s="3482">
        <v>188.79</v>
      </c>
    </row>
    <row r="251" spans="1:4">
      <c r="A251" s="3536">
        <v>250</v>
      </c>
      <c r="B251" s="3481" t="s">
        <v>5856</v>
      </c>
      <c r="C251" s="3481" t="s">
        <v>5305</v>
      </c>
      <c r="D251" s="3482">
        <v>73.040000000000006</v>
      </c>
    </row>
    <row r="252" spans="1:4">
      <c r="A252" s="3536">
        <v>251</v>
      </c>
      <c r="B252" s="3481" t="s">
        <v>5857</v>
      </c>
      <c r="C252" s="3481" t="s">
        <v>3338</v>
      </c>
      <c r="D252" s="3482">
        <v>98.05</v>
      </c>
    </row>
    <row r="253" spans="1:4">
      <c r="A253" s="3536">
        <v>252</v>
      </c>
      <c r="B253" s="3481" t="s">
        <v>5858</v>
      </c>
      <c r="C253" s="3481" t="s">
        <v>5305</v>
      </c>
      <c r="D253" s="3482">
        <v>73.42</v>
      </c>
    </row>
    <row r="254" spans="1:4">
      <c r="A254" s="3536">
        <v>253</v>
      </c>
      <c r="B254" s="3481" t="s">
        <v>5859</v>
      </c>
      <c r="C254" s="3481" t="s">
        <v>3338</v>
      </c>
      <c r="D254" s="3482">
        <v>99.46</v>
      </c>
    </row>
    <row r="255" spans="1:4">
      <c r="A255" s="3536">
        <v>254</v>
      </c>
      <c r="B255" s="3481" t="s">
        <v>5861</v>
      </c>
      <c r="C255" s="3481" t="s">
        <v>3338</v>
      </c>
      <c r="D255" s="3482">
        <v>188.79</v>
      </c>
    </row>
    <row r="256" spans="1:4">
      <c r="A256" s="3536">
        <v>255</v>
      </c>
      <c r="B256" s="3481" t="s">
        <v>5862</v>
      </c>
      <c r="C256" s="3481" t="s">
        <v>3338</v>
      </c>
      <c r="D256" s="3482">
        <v>189.8</v>
      </c>
    </row>
    <row r="257" spans="1:4">
      <c r="A257" s="3536">
        <v>256</v>
      </c>
      <c r="B257" s="3481" t="s">
        <v>6770</v>
      </c>
      <c r="C257" s="3481" t="s">
        <v>3395</v>
      </c>
      <c r="D257" s="3482">
        <v>83.88</v>
      </c>
    </row>
    <row r="258" spans="1:4">
      <c r="A258" s="3536">
        <v>257</v>
      </c>
      <c r="B258" s="3481" t="s">
        <v>6776</v>
      </c>
      <c r="C258" s="3481" t="s">
        <v>3395</v>
      </c>
      <c r="D258" s="3482">
        <v>83.49</v>
      </c>
    </row>
    <row r="259" spans="1:4">
      <c r="A259" s="3536">
        <v>258</v>
      </c>
      <c r="B259" s="3481" t="s">
        <v>5863</v>
      </c>
      <c r="C259" s="3481" t="s">
        <v>3395</v>
      </c>
      <c r="D259" s="3482">
        <v>83.88</v>
      </c>
    </row>
    <row r="260" spans="1:4">
      <c r="A260" s="3536">
        <v>259</v>
      </c>
      <c r="B260" s="3481" t="s">
        <v>5864</v>
      </c>
      <c r="C260" s="3481" t="s">
        <v>3395</v>
      </c>
      <c r="D260" s="3482">
        <v>83.49</v>
      </c>
    </row>
    <row r="261" spans="1:4">
      <c r="A261" s="3536">
        <v>260</v>
      </c>
      <c r="B261" s="3481" t="s">
        <v>6777</v>
      </c>
      <c r="C261" s="3481" t="s">
        <v>3395</v>
      </c>
      <c r="D261" s="3482">
        <v>83.88</v>
      </c>
    </row>
    <row r="262" spans="1:4">
      <c r="A262" s="3536">
        <v>261</v>
      </c>
      <c r="B262" s="3481" t="s">
        <v>6765</v>
      </c>
      <c r="C262" s="3481" t="s">
        <v>3395</v>
      </c>
      <c r="D262" s="3482">
        <v>83.49</v>
      </c>
    </row>
    <row r="263" spans="1:4">
      <c r="A263" s="3536">
        <v>262</v>
      </c>
      <c r="B263" s="3481" t="s">
        <v>5865</v>
      </c>
      <c r="C263" s="3481" t="s">
        <v>5305</v>
      </c>
      <c r="D263" s="3482">
        <v>73.010000000000005</v>
      </c>
    </row>
    <row r="264" spans="1:4">
      <c r="A264" s="3536">
        <v>263</v>
      </c>
      <c r="B264" s="3481" t="s">
        <v>5866</v>
      </c>
      <c r="C264" s="3481" t="s">
        <v>3338</v>
      </c>
      <c r="D264" s="3482">
        <v>101.5</v>
      </c>
    </row>
    <row r="265" spans="1:4">
      <c r="A265" s="3536">
        <v>264</v>
      </c>
      <c r="B265" s="3481" t="s">
        <v>5867</v>
      </c>
      <c r="C265" s="3481" t="s">
        <v>5305</v>
      </c>
      <c r="D265" s="3482">
        <v>73.010000000000005</v>
      </c>
    </row>
    <row r="266" spans="1:4">
      <c r="A266" s="3536">
        <v>265</v>
      </c>
      <c r="B266" s="3481" t="s">
        <v>5868</v>
      </c>
      <c r="C266" s="3481" t="s">
        <v>3338</v>
      </c>
      <c r="D266" s="3482">
        <v>101.5</v>
      </c>
    </row>
    <row r="267" spans="1:4">
      <c r="A267" s="3536">
        <v>266</v>
      </c>
      <c r="B267" s="3481" t="s">
        <v>5869</v>
      </c>
      <c r="C267" s="3481" t="s">
        <v>3338</v>
      </c>
      <c r="D267" s="3482">
        <v>195.62</v>
      </c>
    </row>
    <row r="268" spans="1:4">
      <c r="A268" s="3536">
        <v>267</v>
      </c>
      <c r="B268" s="3481" t="s">
        <v>5870</v>
      </c>
      <c r="C268" s="3481" t="s">
        <v>3338</v>
      </c>
      <c r="D268" s="3482">
        <v>195.62</v>
      </c>
    </row>
    <row r="269" spans="1:4">
      <c r="A269" s="3536">
        <v>268</v>
      </c>
      <c r="B269" s="3481" t="s">
        <v>6793</v>
      </c>
      <c r="C269" s="3481" t="s">
        <v>3395</v>
      </c>
      <c r="D269" s="3482">
        <v>83.49</v>
      </c>
    </row>
    <row r="270" spans="1:4">
      <c r="A270" s="3536">
        <v>269</v>
      </c>
      <c r="B270" s="3481" t="s">
        <v>6778</v>
      </c>
      <c r="C270" s="3481" t="s">
        <v>3395</v>
      </c>
      <c r="D270" s="3482">
        <v>83.49</v>
      </c>
    </row>
    <row r="271" spans="1:4">
      <c r="A271" s="3536">
        <v>270</v>
      </c>
      <c r="B271" s="3481" t="s">
        <v>6774</v>
      </c>
      <c r="C271" s="3481" t="s">
        <v>3395</v>
      </c>
      <c r="D271" s="3482">
        <v>83.49</v>
      </c>
    </row>
    <row r="272" spans="1:4">
      <c r="A272" s="3536">
        <v>271</v>
      </c>
      <c r="B272" s="3481" t="s">
        <v>6771</v>
      </c>
      <c r="C272" s="3481" t="s">
        <v>3395</v>
      </c>
      <c r="D272" s="3482">
        <v>83.49</v>
      </c>
    </row>
    <row r="273" spans="1:4">
      <c r="A273" s="3536">
        <v>272</v>
      </c>
      <c r="B273" s="3481" t="s">
        <v>5871</v>
      </c>
      <c r="C273" s="3481" t="s">
        <v>3395</v>
      </c>
      <c r="D273" s="3482">
        <v>83.49</v>
      </c>
    </row>
    <row r="274" spans="1:4">
      <c r="A274" s="3536">
        <v>273</v>
      </c>
      <c r="B274" s="3481" t="s">
        <v>6766</v>
      </c>
      <c r="C274" s="3481" t="s">
        <v>3395</v>
      </c>
      <c r="D274" s="3482">
        <v>83.49</v>
      </c>
    </row>
    <row r="275" spans="1:4">
      <c r="A275" s="3536">
        <v>274</v>
      </c>
      <c r="B275" s="3481" t="s">
        <v>5872</v>
      </c>
      <c r="C275" s="3481" t="s">
        <v>5305</v>
      </c>
      <c r="D275" s="3482">
        <v>73.010000000000005</v>
      </c>
    </row>
    <row r="276" spans="1:4">
      <c r="A276" s="3536">
        <v>275</v>
      </c>
      <c r="B276" s="3481" t="s">
        <v>5873</v>
      </c>
      <c r="C276" s="3481" t="s">
        <v>3338</v>
      </c>
      <c r="D276" s="3482">
        <v>101.61</v>
      </c>
    </row>
    <row r="277" spans="1:4">
      <c r="A277" s="3536">
        <v>276</v>
      </c>
      <c r="B277" s="3481" t="s">
        <v>5874</v>
      </c>
      <c r="C277" s="3481" t="s">
        <v>5305</v>
      </c>
      <c r="D277" s="3482">
        <v>73.400000000000006</v>
      </c>
    </row>
    <row r="278" spans="1:4">
      <c r="A278" s="3536">
        <v>277</v>
      </c>
      <c r="B278" s="3481" t="s">
        <v>5875</v>
      </c>
      <c r="C278" s="3481" t="s">
        <v>3338</v>
      </c>
      <c r="D278" s="3482">
        <v>102.96</v>
      </c>
    </row>
    <row r="279" spans="1:4">
      <c r="A279" s="3536">
        <v>278</v>
      </c>
      <c r="B279" s="3481" t="s">
        <v>5876</v>
      </c>
      <c r="C279" s="3481" t="s">
        <v>3338</v>
      </c>
      <c r="D279" s="3482">
        <v>190.46</v>
      </c>
    </row>
    <row r="280" spans="1:4">
      <c r="A280" s="3536">
        <v>279</v>
      </c>
      <c r="B280" s="3481" t="s">
        <v>5877</v>
      </c>
      <c r="C280" s="3481" t="s">
        <v>3338</v>
      </c>
      <c r="D280" s="3482">
        <v>197.08</v>
      </c>
    </row>
    <row r="281" spans="1:4">
      <c r="A281" s="3536">
        <v>280</v>
      </c>
      <c r="B281" s="3481" t="s">
        <v>6779</v>
      </c>
      <c r="C281" s="3481" t="s">
        <v>3395</v>
      </c>
      <c r="D281" s="3482">
        <v>83.49</v>
      </c>
    </row>
    <row r="282" spans="1:4">
      <c r="A282" s="3536">
        <v>281</v>
      </c>
      <c r="B282" s="3481" t="s">
        <v>5878</v>
      </c>
      <c r="C282" s="3481" t="s">
        <v>3395</v>
      </c>
      <c r="D282" s="3482">
        <v>83.88</v>
      </c>
    </row>
    <row r="283" spans="1:4">
      <c r="A283" s="3536">
        <v>282</v>
      </c>
      <c r="B283" s="3481" t="s">
        <v>6798</v>
      </c>
      <c r="C283" s="3481" t="s">
        <v>3395</v>
      </c>
      <c r="D283" s="3482">
        <v>83.49</v>
      </c>
    </row>
    <row r="284" spans="1:4">
      <c r="A284" s="3536">
        <v>283</v>
      </c>
      <c r="B284" s="3481" t="s">
        <v>5879</v>
      </c>
      <c r="C284" s="3481" t="s">
        <v>3395</v>
      </c>
      <c r="D284" s="3482">
        <v>83.88</v>
      </c>
    </row>
    <row r="285" spans="1:4">
      <c r="A285" s="3536">
        <v>284</v>
      </c>
      <c r="B285" s="3481" t="s">
        <v>5880</v>
      </c>
      <c r="C285" s="3481" t="s">
        <v>3395</v>
      </c>
      <c r="D285" s="3482">
        <v>83.49</v>
      </c>
    </row>
    <row r="286" spans="1:4">
      <c r="A286" s="3536">
        <v>285</v>
      </c>
      <c r="B286" s="3481" t="s">
        <v>6781</v>
      </c>
      <c r="C286" s="3481" t="s">
        <v>3395</v>
      </c>
      <c r="D286" s="3482">
        <v>83.88</v>
      </c>
    </row>
    <row r="287" spans="1:4">
      <c r="A287" s="3536">
        <v>286</v>
      </c>
      <c r="B287" s="3481" t="s">
        <v>5881</v>
      </c>
      <c r="C287" s="3481" t="s">
        <v>5305</v>
      </c>
      <c r="D287" s="3482">
        <v>73.400000000000006</v>
      </c>
    </row>
    <row r="288" spans="1:4">
      <c r="A288" s="3536">
        <v>287</v>
      </c>
      <c r="B288" s="3481" t="s">
        <v>5882</v>
      </c>
      <c r="C288" s="3481" t="s">
        <v>3338</v>
      </c>
      <c r="D288" s="3482">
        <v>98.8</v>
      </c>
    </row>
    <row r="289" spans="1:4">
      <c r="A289" s="3536">
        <v>288</v>
      </c>
      <c r="B289" s="3481" t="s">
        <v>5883</v>
      </c>
      <c r="C289" s="3481" t="s">
        <v>5305</v>
      </c>
      <c r="D289" s="3482">
        <v>73.010000000000005</v>
      </c>
    </row>
    <row r="290" spans="1:4">
      <c r="A290" s="3536">
        <v>289</v>
      </c>
      <c r="B290" s="3481" t="s">
        <v>5884</v>
      </c>
      <c r="C290" s="3481" t="s">
        <v>3338</v>
      </c>
      <c r="D290" s="3482">
        <v>97.39</v>
      </c>
    </row>
    <row r="291" spans="1:4">
      <c r="A291" s="3536">
        <v>290</v>
      </c>
      <c r="B291" s="3481" t="s">
        <v>5885</v>
      </c>
      <c r="C291" s="3481" t="s">
        <v>3338</v>
      </c>
      <c r="D291" s="3482">
        <v>188.9</v>
      </c>
    </row>
    <row r="292" spans="1:4">
      <c r="A292" s="3536">
        <v>291</v>
      </c>
      <c r="B292" s="3481" t="s">
        <v>5886</v>
      </c>
      <c r="C292" s="3481" t="s">
        <v>3338</v>
      </c>
      <c r="D292" s="3482">
        <v>187.5</v>
      </c>
    </row>
    <row r="293" spans="1:4">
      <c r="A293" s="3536">
        <v>292</v>
      </c>
      <c r="B293" s="3481" t="s">
        <v>5887</v>
      </c>
      <c r="C293" s="3481" t="s">
        <v>3395</v>
      </c>
      <c r="D293" s="3482">
        <v>83.88</v>
      </c>
    </row>
    <row r="294" spans="1:4">
      <c r="A294" s="3536">
        <v>293</v>
      </c>
      <c r="B294" s="3481" t="s">
        <v>5888</v>
      </c>
      <c r="C294" s="3481" t="s">
        <v>3395</v>
      </c>
      <c r="D294" s="3482">
        <v>83.49</v>
      </c>
    </row>
    <row r="295" spans="1:4">
      <c r="A295" s="3536">
        <v>294</v>
      </c>
      <c r="B295" s="3481" t="s">
        <v>5889</v>
      </c>
      <c r="C295" s="3481" t="s">
        <v>3395</v>
      </c>
      <c r="D295" s="3482">
        <v>83.88</v>
      </c>
    </row>
    <row r="296" spans="1:4">
      <c r="A296" s="3536">
        <v>295</v>
      </c>
      <c r="B296" s="3481" t="s">
        <v>5890</v>
      </c>
      <c r="C296" s="3481" t="s">
        <v>3395</v>
      </c>
      <c r="D296" s="3482">
        <v>83.49</v>
      </c>
    </row>
    <row r="297" spans="1:4">
      <c r="A297" s="3536">
        <v>296</v>
      </c>
      <c r="B297" s="3481" t="s">
        <v>5891</v>
      </c>
      <c r="C297" s="3481" t="s">
        <v>3395</v>
      </c>
      <c r="D297" s="3482">
        <v>83.88</v>
      </c>
    </row>
    <row r="298" spans="1:4">
      <c r="A298" s="3536">
        <v>297</v>
      </c>
      <c r="B298" s="3481" t="s">
        <v>5892</v>
      </c>
      <c r="C298" s="3481" t="s">
        <v>3395</v>
      </c>
      <c r="D298" s="3482">
        <v>83.49</v>
      </c>
    </row>
    <row r="299" spans="1:4">
      <c r="A299" s="3536">
        <v>298</v>
      </c>
      <c r="B299" s="3481" t="s">
        <v>5893</v>
      </c>
      <c r="C299" s="3481" t="s">
        <v>5305</v>
      </c>
      <c r="D299" s="3482">
        <v>73.010000000000005</v>
      </c>
    </row>
    <row r="300" spans="1:4">
      <c r="A300" s="3536">
        <v>299</v>
      </c>
      <c r="B300" s="3481" t="s">
        <v>5894</v>
      </c>
      <c r="C300" s="3481" t="s">
        <v>3338</v>
      </c>
      <c r="D300" s="3482">
        <v>97.5</v>
      </c>
    </row>
    <row r="301" spans="1:4">
      <c r="A301" s="3536">
        <v>300</v>
      </c>
      <c r="B301" s="3481" t="s">
        <v>5895</v>
      </c>
      <c r="C301" s="3481" t="s">
        <v>5305</v>
      </c>
      <c r="D301" s="3482">
        <v>73.010000000000005</v>
      </c>
    </row>
    <row r="302" spans="1:4">
      <c r="A302" s="3536">
        <v>301</v>
      </c>
      <c r="B302" s="3481" t="s">
        <v>5896</v>
      </c>
      <c r="C302" s="3481" t="s">
        <v>3338</v>
      </c>
      <c r="D302" s="3482">
        <v>97.39</v>
      </c>
    </row>
    <row r="303" spans="1:4">
      <c r="A303" s="3536">
        <v>302</v>
      </c>
      <c r="B303" s="3481" t="s">
        <v>5897</v>
      </c>
      <c r="C303" s="3481" t="s">
        <v>5318</v>
      </c>
      <c r="D303" s="3482">
        <v>178.2</v>
      </c>
    </row>
    <row r="304" spans="1:4">
      <c r="A304" s="3536">
        <v>303</v>
      </c>
      <c r="B304" s="3481" t="s">
        <v>5898</v>
      </c>
      <c r="C304" s="3481" t="s">
        <v>3338</v>
      </c>
      <c r="D304" s="3482">
        <v>25.9</v>
      </c>
    </row>
    <row r="305" spans="1:4">
      <c r="A305" s="3536">
        <v>304</v>
      </c>
      <c r="B305" s="3481" t="s">
        <v>5899</v>
      </c>
      <c r="C305" s="3481" t="s">
        <v>3338</v>
      </c>
      <c r="D305" s="3482">
        <v>182.57</v>
      </c>
    </row>
    <row r="306" spans="1:4">
      <c r="A306" s="3536">
        <v>305</v>
      </c>
      <c r="B306" s="3481" t="s">
        <v>5900</v>
      </c>
      <c r="C306" s="3481" t="s">
        <v>3338</v>
      </c>
      <c r="D306" s="3482">
        <v>187.5</v>
      </c>
    </row>
    <row r="307" spans="1:4">
      <c r="A307" s="3536">
        <v>306</v>
      </c>
      <c r="B307" s="3481" t="s">
        <v>5901</v>
      </c>
      <c r="C307" s="3481" t="s">
        <v>3338</v>
      </c>
      <c r="D307" s="3482">
        <v>28.42</v>
      </c>
    </row>
    <row r="308" spans="1:4">
      <c r="A308" s="3536">
        <v>307</v>
      </c>
      <c r="B308" s="3481" t="s">
        <v>6804</v>
      </c>
      <c r="C308" s="3481" t="s">
        <v>3395</v>
      </c>
      <c r="D308" s="3482">
        <v>83.49</v>
      </c>
    </row>
    <row r="309" spans="1:4">
      <c r="A309" s="3536">
        <v>308</v>
      </c>
      <c r="B309" s="3481" t="s">
        <v>6760</v>
      </c>
      <c r="C309" s="3481" t="s">
        <v>3395</v>
      </c>
      <c r="D309" s="3482">
        <v>83.49</v>
      </c>
    </row>
    <row r="310" spans="1:4">
      <c r="A310" s="3536">
        <v>309</v>
      </c>
      <c r="B310" s="3481" t="s">
        <v>5902</v>
      </c>
      <c r="C310" s="3481" t="s">
        <v>3395</v>
      </c>
      <c r="D310" s="3482">
        <v>83.49</v>
      </c>
    </row>
    <row r="311" spans="1:4">
      <c r="A311" s="3536">
        <v>310</v>
      </c>
      <c r="B311" s="3481" t="s">
        <v>5903</v>
      </c>
      <c r="C311" s="3481" t="s">
        <v>3395</v>
      </c>
      <c r="D311" s="3482">
        <v>83.49</v>
      </c>
    </row>
    <row r="312" spans="1:4">
      <c r="A312" s="3536">
        <v>311</v>
      </c>
      <c r="B312" s="3481" t="s">
        <v>5904</v>
      </c>
      <c r="C312" s="3481" t="s">
        <v>3395</v>
      </c>
      <c r="D312" s="3482">
        <v>83.49</v>
      </c>
    </row>
    <row r="313" spans="1:4">
      <c r="A313" s="3536">
        <v>312</v>
      </c>
      <c r="B313" s="3481" t="s">
        <v>5905</v>
      </c>
      <c r="C313" s="3481" t="s">
        <v>3395</v>
      </c>
      <c r="D313" s="3482">
        <v>83.49</v>
      </c>
    </row>
    <row r="314" spans="1:4">
      <c r="A314" s="3536">
        <v>313</v>
      </c>
      <c r="B314" s="3481" t="s">
        <v>5906</v>
      </c>
      <c r="C314" s="3481" t="s">
        <v>5305</v>
      </c>
      <c r="D314" s="3482">
        <v>73.010000000000005</v>
      </c>
    </row>
    <row r="315" spans="1:4">
      <c r="A315" s="3536">
        <v>314</v>
      </c>
      <c r="B315" s="3481" t="s">
        <v>5907</v>
      </c>
      <c r="C315" s="3481" t="s">
        <v>3338</v>
      </c>
      <c r="D315" s="3482">
        <v>97.39</v>
      </c>
    </row>
    <row r="316" spans="1:4">
      <c r="A316" s="3536">
        <v>315</v>
      </c>
      <c r="B316" s="3481" t="s">
        <v>5908</v>
      </c>
      <c r="C316" s="3481" t="s">
        <v>3338</v>
      </c>
      <c r="D316" s="3482">
        <v>187.5</v>
      </c>
    </row>
    <row r="317" spans="1:4">
      <c r="A317" s="3536">
        <v>316</v>
      </c>
      <c r="B317" s="3481" t="s">
        <v>5909</v>
      </c>
      <c r="C317" s="3481" t="s">
        <v>3395</v>
      </c>
      <c r="D317" s="3482">
        <v>83.49</v>
      </c>
    </row>
    <row r="318" spans="1:4">
      <c r="A318" s="3536">
        <v>317</v>
      </c>
      <c r="B318" s="3481" t="s">
        <v>5910</v>
      </c>
      <c r="C318" s="3481" t="s">
        <v>3395</v>
      </c>
      <c r="D318" s="3482">
        <v>83.49</v>
      </c>
    </row>
    <row r="319" spans="1:4">
      <c r="A319" s="3536">
        <v>318</v>
      </c>
      <c r="B319" s="3481" t="s">
        <v>5911</v>
      </c>
      <c r="C319" s="3481" t="s">
        <v>3395</v>
      </c>
      <c r="D319" s="3482">
        <v>83.88</v>
      </c>
    </row>
    <row r="320" spans="1:4">
      <c r="A320" s="3536">
        <v>319</v>
      </c>
      <c r="B320" s="3481" t="s">
        <v>5912</v>
      </c>
      <c r="C320" s="3481" t="s">
        <v>3395</v>
      </c>
      <c r="D320" s="3482">
        <v>83.49</v>
      </c>
    </row>
    <row r="321" spans="1:4">
      <c r="A321" s="3536">
        <v>320</v>
      </c>
      <c r="B321" s="3481" t="s">
        <v>5913</v>
      </c>
      <c r="C321" s="3481" t="s">
        <v>3395</v>
      </c>
      <c r="D321" s="3482">
        <v>83.88</v>
      </c>
    </row>
    <row r="322" spans="1:4">
      <c r="A322" s="3536">
        <v>321</v>
      </c>
      <c r="B322" s="3481" t="s">
        <v>5914</v>
      </c>
      <c r="C322" s="3481" t="s">
        <v>5305</v>
      </c>
      <c r="D322" s="3482">
        <v>73.05</v>
      </c>
    </row>
    <row r="323" spans="1:4">
      <c r="A323" s="3536">
        <v>322</v>
      </c>
      <c r="B323" s="3481" t="s">
        <v>5915</v>
      </c>
      <c r="C323" s="3481" t="s">
        <v>3338</v>
      </c>
      <c r="D323" s="3482">
        <v>97.01</v>
      </c>
    </row>
    <row r="324" spans="1:4">
      <c r="A324" s="3536">
        <v>323</v>
      </c>
      <c r="B324" s="3481" t="s">
        <v>5916</v>
      </c>
      <c r="C324" s="3481" t="s">
        <v>3338</v>
      </c>
      <c r="D324" s="3482">
        <v>186.74</v>
      </c>
    </row>
    <row r="325" spans="1:4">
      <c r="A325" s="3536">
        <v>324</v>
      </c>
      <c r="B325" s="3481" t="s">
        <v>6811</v>
      </c>
      <c r="C325" s="3481" t="s">
        <v>3395</v>
      </c>
      <c r="D325" s="3482">
        <v>83.54</v>
      </c>
    </row>
    <row r="326" spans="1:4">
      <c r="A326" s="3536">
        <v>325</v>
      </c>
      <c r="B326" s="3481" t="s">
        <v>5917</v>
      </c>
      <c r="C326" s="3481" t="s">
        <v>5305</v>
      </c>
      <c r="D326" s="3482">
        <v>73.05</v>
      </c>
    </row>
    <row r="327" spans="1:4">
      <c r="A327" s="3536">
        <v>326</v>
      </c>
      <c r="B327" s="3481" t="s">
        <v>5918</v>
      </c>
      <c r="C327" s="3481" t="s">
        <v>3338</v>
      </c>
      <c r="D327" s="3482">
        <v>97.01</v>
      </c>
    </row>
    <row r="328" spans="1:4">
      <c r="A328" s="3536">
        <v>327</v>
      </c>
      <c r="B328" s="3481" t="s">
        <v>5919</v>
      </c>
      <c r="C328" s="3481" t="s">
        <v>5305</v>
      </c>
      <c r="D328" s="3482">
        <v>73.05</v>
      </c>
    </row>
    <row r="329" spans="1:4">
      <c r="A329" s="3536">
        <v>328</v>
      </c>
      <c r="B329" s="3481" t="s">
        <v>5920</v>
      </c>
      <c r="C329" s="3481" t="s">
        <v>3338</v>
      </c>
      <c r="D329" s="3482">
        <v>97.01</v>
      </c>
    </row>
    <row r="330" spans="1:4">
      <c r="A330" s="3536">
        <v>329</v>
      </c>
      <c r="B330" s="3481" t="s">
        <v>5921</v>
      </c>
      <c r="C330" s="3481" t="s">
        <v>3338</v>
      </c>
      <c r="D330" s="3482">
        <v>186.74</v>
      </c>
    </row>
    <row r="331" spans="1:4">
      <c r="A331" s="3536">
        <v>330</v>
      </c>
      <c r="B331" s="3481" t="s">
        <v>5922</v>
      </c>
      <c r="C331" s="3481" t="s">
        <v>3338</v>
      </c>
      <c r="D331" s="3482">
        <v>186.74</v>
      </c>
    </row>
    <row r="332" spans="1:4">
      <c r="A332" s="3536">
        <v>331</v>
      </c>
      <c r="B332" s="3481" t="s">
        <v>6772</v>
      </c>
      <c r="C332" s="3481" t="s">
        <v>3395</v>
      </c>
      <c r="D332" s="3482">
        <v>83.54</v>
      </c>
    </row>
    <row r="333" spans="1:4">
      <c r="A333" s="3536">
        <v>332</v>
      </c>
      <c r="B333" s="3481" t="s">
        <v>6812</v>
      </c>
      <c r="C333" s="3481" t="s">
        <v>3395</v>
      </c>
      <c r="D333" s="3482">
        <v>83.54</v>
      </c>
    </row>
    <row r="334" spans="1:4">
      <c r="A334" s="3536">
        <v>333</v>
      </c>
      <c r="B334" s="3481" t="s">
        <v>5923</v>
      </c>
      <c r="C334" s="3481" t="s">
        <v>5305</v>
      </c>
      <c r="D334" s="3482">
        <v>73.05</v>
      </c>
    </row>
    <row r="335" spans="1:4">
      <c r="A335" s="3536">
        <v>334</v>
      </c>
      <c r="B335" s="3481" t="s">
        <v>5924</v>
      </c>
      <c r="C335" s="3481" t="s">
        <v>3338</v>
      </c>
      <c r="D335" s="3482">
        <v>97.11</v>
      </c>
    </row>
    <row r="336" spans="1:4">
      <c r="A336" s="3536">
        <v>335</v>
      </c>
      <c r="B336" s="3481" t="s">
        <v>5925</v>
      </c>
      <c r="C336" s="3481" t="s">
        <v>3338</v>
      </c>
      <c r="D336" s="3482">
        <v>181.83</v>
      </c>
    </row>
    <row r="337" spans="1:4">
      <c r="A337" s="3536">
        <v>336</v>
      </c>
      <c r="B337" s="3481" t="s">
        <v>6787</v>
      </c>
      <c r="C337" s="3481" t="s">
        <v>3395</v>
      </c>
      <c r="D337" s="3482">
        <v>83.54</v>
      </c>
    </row>
    <row r="338" spans="1:4">
      <c r="A338" s="3536">
        <v>337</v>
      </c>
      <c r="B338" s="3481" t="s">
        <v>6805</v>
      </c>
      <c r="C338" s="3481" t="s">
        <v>3395</v>
      </c>
      <c r="D338" s="3482">
        <v>83.92</v>
      </c>
    </row>
    <row r="339" spans="1:4">
      <c r="A339" s="3536">
        <v>338</v>
      </c>
      <c r="B339" s="3481" t="s">
        <v>5929</v>
      </c>
      <c r="C339" s="3481" t="s">
        <v>3395</v>
      </c>
      <c r="D339" s="3482">
        <v>83.47</v>
      </c>
    </row>
    <row r="340" spans="1:4">
      <c r="A340" s="3536">
        <v>339</v>
      </c>
      <c r="B340" s="3481" t="s">
        <v>5930</v>
      </c>
      <c r="C340" s="3481" t="s">
        <v>5305</v>
      </c>
      <c r="D340" s="3482">
        <v>73.05</v>
      </c>
    </row>
    <row r="341" spans="1:4">
      <c r="A341" s="3536">
        <v>340</v>
      </c>
      <c r="B341" s="3481" t="s">
        <v>5931</v>
      </c>
      <c r="C341" s="3481" t="s">
        <v>3338</v>
      </c>
      <c r="D341" s="3482">
        <v>96.96</v>
      </c>
    </row>
    <row r="342" spans="1:4">
      <c r="A342" s="3536">
        <v>341</v>
      </c>
      <c r="B342" s="3481" t="s">
        <v>5932</v>
      </c>
      <c r="C342" s="3481" t="s">
        <v>3338</v>
      </c>
      <c r="D342" s="3482">
        <v>186.64</v>
      </c>
    </row>
    <row r="343" spans="1:4">
      <c r="A343" s="3536">
        <v>342</v>
      </c>
      <c r="B343" s="3481" t="s">
        <v>5933</v>
      </c>
      <c r="C343" s="3481" t="s">
        <v>5305</v>
      </c>
      <c r="D343" s="3482">
        <v>73.05</v>
      </c>
    </row>
    <row r="344" spans="1:4">
      <c r="A344" s="3536">
        <v>343</v>
      </c>
      <c r="B344" s="3481" t="s">
        <v>5934</v>
      </c>
      <c r="C344" s="3481" t="s">
        <v>3338</v>
      </c>
      <c r="D344" s="3482">
        <v>96.96</v>
      </c>
    </row>
    <row r="345" spans="1:4">
      <c r="A345" s="3536">
        <v>344</v>
      </c>
      <c r="B345" s="3481" t="s">
        <v>5935</v>
      </c>
      <c r="C345" s="3481" t="s">
        <v>3338</v>
      </c>
      <c r="D345" s="3482">
        <v>186.64</v>
      </c>
    </row>
    <row r="346" spans="1:4">
      <c r="A346" s="3536">
        <v>345</v>
      </c>
      <c r="B346" s="3481" t="s">
        <v>5936</v>
      </c>
      <c r="C346" s="3481" t="s">
        <v>3395</v>
      </c>
      <c r="D346" s="3482">
        <v>83.54</v>
      </c>
    </row>
    <row r="347" spans="1:4">
      <c r="A347" s="3536">
        <v>346</v>
      </c>
      <c r="B347" s="3481" t="s">
        <v>6782</v>
      </c>
      <c r="C347" s="3481" t="s">
        <v>3395</v>
      </c>
      <c r="D347" s="3482">
        <v>83.54</v>
      </c>
    </row>
    <row r="348" spans="1:4">
      <c r="A348" s="3536">
        <v>347</v>
      </c>
      <c r="B348" s="3481" t="s">
        <v>6795</v>
      </c>
      <c r="C348" s="3481" t="s">
        <v>3395</v>
      </c>
      <c r="D348" s="3482">
        <v>83.54</v>
      </c>
    </row>
    <row r="349" spans="1:4">
      <c r="A349" s="3536">
        <v>348</v>
      </c>
      <c r="B349" s="3481" t="s">
        <v>5937</v>
      </c>
      <c r="C349" s="3481" t="s">
        <v>5318</v>
      </c>
      <c r="D349" s="3482">
        <v>154.09</v>
      </c>
    </row>
    <row r="350" spans="1:4">
      <c r="A350" s="3536">
        <v>349</v>
      </c>
      <c r="B350" s="3481" t="s">
        <v>5938</v>
      </c>
      <c r="C350" s="3481" t="s">
        <v>3338</v>
      </c>
      <c r="D350" s="3482">
        <v>18.059999999999999</v>
      </c>
    </row>
    <row r="351" spans="1:4">
      <c r="A351" s="3536">
        <v>350</v>
      </c>
      <c r="B351" s="3481" t="s">
        <v>5939</v>
      </c>
      <c r="C351" s="3481" t="s">
        <v>5305</v>
      </c>
      <c r="D351" s="3482">
        <v>73.05</v>
      </c>
    </row>
    <row r="352" spans="1:4">
      <c r="A352" s="3536">
        <v>351</v>
      </c>
      <c r="B352" s="3481" t="s">
        <v>5940</v>
      </c>
      <c r="C352" s="3481" t="s">
        <v>3338</v>
      </c>
      <c r="D352" s="3482">
        <v>98.21</v>
      </c>
    </row>
    <row r="353" spans="1:4">
      <c r="A353" s="3536">
        <v>352</v>
      </c>
      <c r="B353" s="3481" t="s">
        <v>5941</v>
      </c>
      <c r="C353" s="3481" t="s">
        <v>3338</v>
      </c>
      <c r="D353" s="3482">
        <v>189.12</v>
      </c>
    </row>
    <row r="354" spans="1:4">
      <c r="A354" s="3536">
        <v>353</v>
      </c>
      <c r="B354" s="3481" t="s">
        <v>6775</v>
      </c>
      <c r="C354" s="3481" t="s">
        <v>3395</v>
      </c>
      <c r="D354" s="3482">
        <v>83.54</v>
      </c>
    </row>
    <row r="355" spans="1:4">
      <c r="A355" s="3536">
        <v>354</v>
      </c>
      <c r="B355" s="3481" t="s">
        <v>5942</v>
      </c>
      <c r="C355" s="3481" t="s">
        <v>5305</v>
      </c>
      <c r="D355" s="3482">
        <v>73.05</v>
      </c>
    </row>
    <row r="356" spans="1:4">
      <c r="A356" s="3536">
        <v>355</v>
      </c>
      <c r="B356" s="3481" t="s">
        <v>5943</v>
      </c>
      <c r="C356" s="3481" t="s">
        <v>3338</v>
      </c>
      <c r="D356" s="3482">
        <v>98.32</v>
      </c>
    </row>
    <row r="357" spans="1:4">
      <c r="A357" s="3536">
        <v>356</v>
      </c>
      <c r="B357" s="3481" t="s">
        <v>5944</v>
      </c>
      <c r="C357" s="3481" t="s">
        <v>3338</v>
      </c>
      <c r="D357" s="3482">
        <v>184.15</v>
      </c>
    </row>
    <row r="358" spans="1:4">
      <c r="A358" s="3536">
        <v>357</v>
      </c>
      <c r="B358" s="3481" t="s">
        <v>5945</v>
      </c>
      <c r="C358" s="3481" t="s">
        <v>5305</v>
      </c>
      <c r="D358" s="3482">
        <v>72.989999999999995</v>
      </c>
    </row>
    <row r="359" spans="1:4">
      <c r="A359" s="3536">
        <v>358</v>
      </c>
      <c r="B359" s="3481" t="s">
        <v>5946</v>
      </c>
      <c r="C359" s="3481" t="s">
        <v>3338</v>
      </c>
      <c r="D359" s="3482">
        <v>96.74</v>
      </c>
    </row>
    <row r="360" spans="1:4">
      <c r="A360" s="3536">
        <v>359</v>
      </c>
      <c r="B360" s="3481" t="s">
        <v>5947</v>
      </c>
      <c r="C360" s="3481" t="s">
        <v>5305</v>
      </c>
      <c r="D360" s="3482">
        <v>72.989999999999995</v>
      </c>
    </row>
    <row r="361" spans="1:4">
      <c r="A361" s="3536">
        <v>360</v>
      </c>
      <c r="B361" s="3481" t="s">
        <v>5948</v>
      </c>
      <c r="C361" s="3481" t="s">
        <v>3338</v>
      </c>
      <c r="D361" s="3482">
        <v>98.78</v>
      </c>
    </row>
    <row r="362" spans="1:4">
      <c r="A362" s="3536">
        <v>361</v>
      </c>
      <c r="B362" s="3481" t="s">
        <v>5949</v>
      </c>
      <c r="C362" s="3481" t="s">
        <v>3338</v>
      </c>
      <c r="D362" s="3482">
        <v>186.21</v>
      </c>
    </row>
    <row r="363" spans="1:4">
      <c r="A363" s="3536">
        <v>362</v>
      </c>
      <c r="B363" s="3481" t="s">
        <v>5950</v>
      </c>
      <c r="C363" s="3481" t="s">
        <v>3338</v>
      </c>
      <c r="D363" s="3482">
        <v>190.07</v>
      </c>
    </row>
    <row r="364" spans="1:4">
      <c r="A364" s="3536">
        <v>363</v>
      </c>
      <c r="B364" s="3481" t="s">
        <v>5951</v>
      </c>
      <c r="C364" s="3481" t="s">
        <v>5305</v>
      </c>
      <c r="D364" s="3482">
        <v>72.989999999999995</v>
      </c>
    </row>
    <row r="365" spans="1:4">
      <c r="A365" s="3536">
        <v>364</v>
      </c>
      <c r="B365" s="3481" t="s">
        <v>5952</v>
      </c>
      <c r="C365" s="3481" t="s">
        <v>3338</v>
      </c>
      <c r="D365" s="3482">
        <v>98.78</v>
      </c>
    </row>
    <row r="366" spans="1:4">
      <c r="A366" s="3536">
        <v>365</v>
      </c>
      <c r="B366" s="3481" t="s">
        <v>5953</v>
      </c>
      <c r="C366" s="3481" t="s">
        <v>5305</v>
      </c>
      <c r="D366" s="3482">
        <v>72.989999999999995</v>
      </c>
    </row>
    <row r="367" spans="1:4">
      <c r="A367" s="3536">
        <v>366</v>
      </c>
      <c r="B367" s="3481" t="s">
        <v>5954</v>
      </c>
      <c r="C367" s="3481" t="s">
        <v>3338</v>
      </c>
      <c r="D367" s="3482">
        <v>96.74</v>
      </c>
    </row>
    <row r="368" spans="1:4">
      <c r="A368" s="3536">
        <v>367</v>
      </c>
      <c r="B368" s="3481" t="s">
        <v>5955</v>
      </c>
      <c r="C368" s="3481" t="s">
        <v>3338</v>
      </c>
      <c r="D368" s="3482">
        <v>190.07</v>
      </c>
    </row>
    <row r="369" spans="1:4">
      <c r="A369" s="3536">
        <v>368</v>
      </c>
      <c r="B369" s="3481" t="s">
        <v>5956</v>
      </c>
      <c r="C369" s="3481" t="s">
        <v>3338</v>
      </c>
      <c r="D369" s="3482">
        <v>186.21</v>
      </c>
    </row>
    <row r="370" spans="1:4">
      <c r="A370" s="3536">
        <v>369</v>
      </c>
      <c r="B370" s="3481" t="s">
        <v>5957</v>
      </c>
      <c r="C370" s="3481" t="s">
        <v>5305</v>
      </c>
      <c r="D370" s="3482">
        <v>72.989999999999995</v>
      </c>
    </row>
    <row r="371" spans="1:4">
      <c r="A371" s="3536">
        <v>370</v>
      </c>
      <c r="B371" s="3481" t="s">
        <v>5958</v>
      </c>
      <c r="C371" s="3481" t="s">
        <v>3338</v>
      </c>
      <c r="D371" s="3482">
        <v>96.85</v>
      </c>
    </row>
    <row r="372" spans="1:4">
      <c r="A372" s="3536">
        <v>371</v>
      </c>
      <c r="B372" s="3481" t="s">
        <v>5959</v>
      </c>
      <c r="C372" s="3481" t="s">
        <v>3338</v>
      </c>
      <c r="D372" s="3482">
        <v>181.32</v>
      </c>
    </row>
    <row r="373" spans="1:4">
      <c r="A373" s="3536">
        <v>372</v>
      </c>
      <c r="B373" s="3481" t="s">
        <v>5961</v>
      </c>
      <c r="C373" s="3481" t="s">
        <v>5305</v>
      </c>
      <c r="D373" s="3482">
        <v>73.05</v>
      </c>
    </row>
    <row r="374" spans="1:4">
      <c r="A374" s="3536">
        <v>373</v>
      </c>
      <c r="B374" s="3481" t="s">
        <v>5962</v>
      </c>
      <c r="C374" s="3481" t="s">
        <v>3338</v>
      </c>
      <c r="D374" s="3482">
        <v>97.24</v>
      </c>
    </row>
    <row r="375" spans="1:4">
      <c r="A375" s="3536">
        <v>374</v>
      </c>
      <c r="B375" s="3481" t="s">
        <v>5963</v>
      </c>
      <c r="C375" s="3481" t="s">
        <v>3338</v>
      </c>
      <c r="D375" s="3482">
        <v>182.08</v>
      </c>
    </row>
    <row r="376" spans="1:4">
      <c r="A376" s="3536">
        <v>375</v>
      </c>
      <c r="B376" s="3481" t="s">
        <v>5964</v>
      </c>
      <c r="C376" s="3481" t="s">
        <v>5305</v>
      </c>
      <c r="D376" s="3482">
        <v>73.05</v>
      </c>
    </row>
    <row r="377" spans="1:4">
      <c r="A377" s="3536">
        <v>376</v>
      </c>
      <c r="B377" s="3481" t="s">
        <v>5965</v>
      </c>
      <c r="C377" s="3481" t="s">
        <v>3338</v>
      </c>
      <c r="D377" s="3482">
        <v>97.12</v>
      </c>
    </row>
    <row r="378" spans="1:4">
      <c r="A378" s="3536">
        <v>377</v>
      </c>
      <c r="B378" s="3481" t="s">
        <v>5966</v>
      </c>
      <c r="C378" s="3481" t="s">
        <v>3338</v>
      </c>
      <c r="D378" s="3482">
        <v>186.96</v>
      </c>
    </row>
    <row r="379" spans="1:4">
      <c r="A379" s="3536">
        <v>378</v>
      </c>
      <c r="B379" s="3481" t="s">
        <v>5967</v>
      </c>
      <c r="C379" s="3481" t="s">
        <v>5305</v>
      </c>
      <c r="D379" s="3482">
        <v>73.05</v>
      </c>
    </row>
    <row r="380" spans="1:4">
      <c r="A380" s="3536">
        <v>379</v>
      </c>
      <c r="B380" s="3481" t="s">
        <v>5968</v>
      </c>
      <c r="C380" s="3481" t="s">
        <v>3338</v>
      </c>
      <c r="D380" s="3482">
        <v>97.22</v>
      </c>
    </row>
    <row r="381" spans="1:4">
      <c r="A381" s="3536">
        <v>380</v>
      </c>
      <c r="B381" s="3481" t="s">
        <v>5969</v>
      </c>
      <c r="C381" s="3481" t="s">
        <v>3338</v>
      </c>
      <c r="D381" s="3482">
        <v>182.05</v>
      </c>
    </row>
    <row r="382" spans="1:4">
      <c r="A382" s="3536">
        <v>381</v>
      </c>
      <c r="B382" s="3481" t="s">
        <v>5970</v>
      </c>
      <c r="C382" s="3481" t="s">
        <v>5318</v>
      </c>
      <c r="D382" s="3482">
        <v>189.95</v>
      </c>
    </row>
    <row r="383" spans="1:4">
      <c r="A383" s="3536">
        <v>382</v>
      </c>
      <c r="B383" s="3481" t="s">
        <v>5971</v>
      </c>
      <c r="C383" s="3481" t="s">
        <v>3338</v>
      </c>
      <c r="D383" s="3482">
        <v>12.64</v>
      </c>
    </row>
    <row r="384" spans="1:4">
      <c r="A384" s="3536">
        <v>383</v>
      </c>
      <c r="B384" s="3481" t="s">
        <v>5972</v>
      </c>
      <c r="C384" s="3481" t="s">
        <v>5305</v>
      </c>
      <c r="D384" s="3482">
        <v>73.42</v>
      </c>
    </row>
    <row r="385" spans="1:4">
      <c r="A385" s="3536">
        <v>384</v>
      </c>
      <c r="B385" s="3481" t="s">
        <v>5973</v>
      </c>
      <c r="C385" s="3481" t="s">
        <v>3338</v>
      </c>
      <c r="D385" s="3482">
        <v>99.22</v>
      </c>
    </row>
    <row r="386" spans="1:4">
      <c r="A386" s="3536">
        <v>385</v>
      </c>
      <c r="B386" s="3481" t="s">
        <v>5974</v>
      </c>
      <c r="C386" s="3481" t="s">
        <v>3338</v>
      </c>
      <c r="D386" s="3482">
        <v>54.07</v>
      </c>
    </row>
    <row r="387" spans="1:4">
      <c r="A387" s="3536">
        <v>386</v>
      </c>
      <c r="B387" s="3481" t="s">
        <v>5975</v>
      </c>
      <c r="C387" s="3481" t="s">
        <v>3338</v>
      </c>
      <c r="D387" s="3482">
        <v>189.73</v>
      </c>
    </row>
    <row r="388" spans="1:4">
      <c r="A388" s="3536">
        <v>387</v>
      </c>
      <c r="B388" s="3481" t="s">
        <v>6785</v>
      </c>
      <c r="C388" s="3481" t="s">
        <v>3395</v>
      </c>
      <c r="D388" s="3482">
        <v>83.53</v>
      </c>
    </row>
    <row r="389" spans="1:4">
      <c r="A389" s="3536">
        <v>388</v>
      </c>
      <c r="B389" s="3481" t="s">
        <v>5976</v>
      </c>
      <c r="C389" s="3481" t="s">
        <v>5305</v>
      </c>
      <c r="D389" s="3482">
        <v>73.040000000000006</v>
      </c>
    </row>
    <row r="390" spans="1:4">
      <c r="A390" s="3536">
        <v>389</v>
      </c>
      <c r="B390" s="3481" t="s">
        <v>5977</v>
      </c>
      <c r="C390" s="3481" t="s">
        <v>3338</v>
      </c>
      <c r="D390" s="3482">
        <v>97.92</v>
      </c>
    </row>
    <row r="391" spans="1:4">
      <c r="A391" s="3536">
        <v>390</v>
      </c>
      <c r="B391" s="3481" t="s">
        <v>5978</v>
      </c>
      <c r="C391" s="3481" t="s">
        <v>5305</v>
      </c>
      <c r="D391" s="3482">
        <v>73.040000000000006</v>
      </c>
    </row>
    <row r="392" spans="1:4">
      <c r="A392" s="3536">
        <v>391</v>
      </c>
      <c r="B392" s="3481" t="s">
        <v>5979</v>
      </c>
      <c r="C392" s="3481" t="s">
        <v>3338</v>
      </c>
      <c r="D392" s="3482">
        <v>99.87</v>
      </c>
    </row>
    <row r="393" spans="1:4">
      <c r="A393" s="3536">
        <v>392</v>
      </c>
      <c r="B393" s="3481" t="s">
        <v>5980</v>
      </c>
      <c r="C393" s="3481" t="s">
        <v>5318</v>
      </c>
      <c r="D393" s="3482">
        <v>179.5</v>
      </c>
    </row>
    <row r="394" spans="1:4">
      <c r="A394" s="3536">
        <v>393</v>
      </c>
      <c r="B394" s="3481" t="s">
        <v>5981</v>
      </c>
      <c r="C394" s="3481" t="s">
        <v>3338</v>
      </c>
      <c r="D394" s="3482">
        <v>24.24</v>
      </c>
    </row>
    <row r="395" spans="1:4">
      <c r="A395" s="3536">
        <v>394</v>
      </c>
      <c r="B395" s="3481" t="s">
        <v>5982</v>
      </c>
      <c r="C395" s="3481" t="s">
        <v>3338</v>
      </c>
      <c r="D395" s="3482">
        <v>183.38</v>
      </c>
    </row>
    <row r="396" spans="1:4">
      <c r="A396" s="3536">
        <v>395</v>
      </c>
      <c r="B396" s="3481" t="s">
        <v>5983</v>
      </c>
      <c r="C396" s="3481" t="s">
        <v>3338</v>
      </c>
      <c r="D396" s="3482">
        <v>192.23</v>
      </c>
    </row>
    <row r="397" spans="1:4">
      <c r="A397" s="3536">
        <v>396</v>
      </c>
      <c r="B397" s="3481" t="s">
        <v>5984</v>
      </c>
      <c r="C397" s="3481" t="s">
        <v>3338</v>
      </c>
      <c r="D397" s="3482">
        <v>28.53</v>
      </c>
    </row>
    <row r="398" spans="1:4">
      <c r="A398" s="3536">
        <v>397</v>
      </c>
      <c r="B398" s="3481" t="s">
        <v>6802</v>
      </c>
      <c r="C398" s="3481" t="s">
        <v>3395</v>
      </c>
      <c r="D398" s="3482">
        <v>83.53</v>
      </c>
    </row>
    <row r="399" spans="1:4">
      <c r="A399" s="3536">
        <v>398</v>
      </c>
      <c r="B399" s="3481" t="s">
        <v>6762</v>
      </c>
      <c r="C399" s="3481" t="s">
        <v>3395</v>
      </c>
      <c r="D399" s="3482">
        <v>83.53</v>
      </c>
    </row>
    <row r="400" spans="1:4">
      <c r="A400" s="3536">
        <v>399</v>
      </c>
      <c r="B400" s="3481" t="s">
        <v>6784</v>
      </c>
      <c r="C400" s="3481" t="s">
        <v>3395</v>
      </c>
      <c r="D400" s="3482">
        <v>83.53</v>
      </c>
    </row>
    <row r="401" spans="1:4">
      <c r="A401" s="3536">
        <v>400</v>
      </c>
      <c r="B401" s="3481" t="s">
        <v>5985</v>
      </c>
      <c r="C401" s="3481" t="s">
        <v>5305</v>
      </c>
      <c r="D401" s="3482">
        <v>73.040000000000006</v>
      </c>
    </row>
    <row r="402" spans="1:4">
      <c r="A402" s="3536">
        <v>401</v>
      </c>
      <c r="B402" s="3481" t="s">
        <v>5986</v>
      </c>
      <c r="C402" s="3481" t="s">
        <v>3338</v>
      </c>
      <c r="D402" s="3482">
        <v>99.87</v>
      </c>
    </row>
    <row r="403" spans="1:4">
      <c r="A403" s="3536">
        <v>402</v>
      </c>
      <c r="B403" s="3481" t="s">
        <v>5987</v>
      </c>
      <c r="C403" s="3481" t="s">
        <v>5305</v>
      </c>
      <c r="D403" s="3482">
        <v>73.040000000000006</v>
      </c>
    </row>
    <row r="404" spans="1:4">
      <c r="A404" s="3536">
        <v>403</v>
      </c>
      <c r="B404" s="3481" t="s">
        <v>5988</v>
      </c>
      <c r="C404" s="3481" t="s">
        <v>3338</v>
      </c>
      <c r="D404" s="3482">
        <v>97.81</v>
      </c>
    </row>
    <row r="405" spans="1:4">
      <c r="A405" s="3536">
        <v>404</v>
      </c>
      <c r="B405" s="3481" t="s">
        <v>5989</v>
      </c>
      <c r="C405" s="3481" t="s">
        <v>3338</v>
      </c>
      <c r="D405" s="3482">
        <v>192.23</v>
      </c>
    </row>
    <row r="406" spans="1:4">
      <c r="A406" s="3536">
        <v>405</v>
      </c>
      <c r="B406" s="3481" t="s">
        <v>5990</v>
      </c>
      <c r="C406" s="3481" t="s">
        <v>3338</v>
      </c>
      <c r="D406" s="3482">
        <v>188.33</v>
      </c>
    </row>
    <row r="407" spans="1:4">
      <c r="A407" s="3536">
        <v>406</v>
      </c>
      <c r="B407" s="3481" t="s">
        <v>5991</v>
      </c>
      <c r="C407" s="3481" t="s">
        <v>3395</v>
      </c>
      <c r="D407" s="3482">
        <v>83.53</v>
      </c>
    </row>
    <row r="408" spans="1:4">
      <c r="A408" s="3536">
        <v>407</v>
      </c>
      <c r="B408" s="3481" t="s">
        <v>5992</v>
      </c>
      <c r="C408" s="3481" t="s">
        <v>3395</v>
      </c>
      <c r="D408" s="3482">
        <v>83.53</v>
      </c>
    </row>
    <row r="409" spans="1:4">
      <c r="A409" s="3536">
        <v>408</v>
      </c>
      <c r="B409" s="3481" t="s">
        <v>6780</v>
      </c>
      <c r="C409" s="3481" t="s">
        <v>3395</v>
      </c>
      <c r="D409" s="3482">
        <v>83.53</v>
      </c>
    </row>
    <row r="410" spans="1:4">
      <c r="A410" s="3536">
        <v>409</v>
      </c>
      <c r="B410" s="3481" t="s">
        <v>5993</v>
      </c>
      <c r="C410" s="3481" t="s">
        <v>5318</v>
      </c>
      <c r="D410" s="3482">
        <v>178.25</v>
      </c>
    </row>
    <row r="411" spans="1:4">
      <c r="A411" s="3536">
        <v>410</v>
      </c>
      <c r="B411" s="3481" t="s">
        <v>5994</v>
      </c>
      <c r="C411" s="3481" t="s">
        <v>3338</v>
      </c>
      <c r="D411" s="3482">
        <v>23.83</v>
      </c>
    </row>
    <row r="412" spans="1:4">
      <c r="A412" s="3536">
        <v>411</v>
      </c>
      <c r="B412" s="3481" t="s">
        <v>5995</v>
      </c>
      <c r="C412" s="3481" t="s">
        <v>5305</v>
      </c>
      <c r="D412" s="3482">
        <v>73.040000000000006</v>
      </c>
    </row>
    <row r="413" spans="1:4">
      <c r="A413" s="3536">
        <v>412</v>
      </c>
      <c r="B413" s="3481" t="s">
        <v>5996</v>
      </c>
      <c r="C413" s="3481" t="s">
        <v>3338</v>
      </c>
      <c r="D413" s="3482">
        <v>97.92</v>
      </c>
    </row>
    <row r="414" spans="1:4">
      <c r="A414" s="3536">
        <v>413</v>
      </c>
      <c r="B414" s="3481" t="s">
        <v>5997</v>
      </c>
      <c r="C414" s="3481" t="s">
        <v>5305</v>
      </c>
      <c r="D414" s="3482">
        <v>73.040000000000006</v>
      </c>
    </row>
    <row r="415" spans="1:4">
      <c r="A415" s="3536">
        <v>414</v>
      </c>
      <c r="B415" s="3481" t="s">
        <v>5998</v>
      </c>
      <c r="C415" s="3481" t="s">
        <v>3338</v>
      </c>
      <c r="D415" s="3482">
        <v>97.81</v>
      </c>
    </row>
    <row r="416" spans="1:4">
      <c r="A416" s="3536">
        <v>415</v>
      </c>
      <c r="B416" s="3481" t="s">
        <v>5999</v>
      </c>
      <c r="C416" s="3481" t="s">
        <v>3338</v>
      </c>
      <c r="D416" s="3482">
        <v>28.53</v>
      </c>
    </row>
    <row r="417" spans="1:4">
      <c r="A417" s="3536">
        <v>416</v>
      </c>
      <c r="B417" s="3481" t="s">
        <v>6000</v>
      </c>
      <c r="C417" s="3481" t="s">
        <v>3338</v>
      </c>
      <c r="D417" s="3482">
        <v>183.38</v>
      </c>
    </row>
    <row r="418" spans="1:4">
      <c r="A418" s="3536">
        <v>417</v>
      </c>
      <c r="B418" s="3481" t="s">
        <v>6001</v>
      </c>
      <c r="C418" s="3481" t="s">
        <v>3338</v>
      </c>
      <c r="D418" s="3482">
        <v>188.33</v>
      </c>
    </row>
    <row r="419" spans="1:4">
      <c r="A419" s="3536">
        <v>418</v>
      </c>
      <c r="B419" s="3481" t="s">
        <v>6002</v>
      </c>
      <c r="C419" s="3481" t="s">
        <v>3395</v>
      </c>
      <c r="D419" s="3482">
        <v>83.53</v>
      </c>
    </row>
    <row r="420" spans="1:4">
      <c r="A420" s="3536">
        <v>419</v>
      </c>
      <c r="B420" s="3481" t="s">
        <v>6003</v>
      </c>
      <c r="C420" s="3481" t="s">
        <v>3395</v>
      </c>
      <c r="D420" s="3482">
        <v>83.53</v>
      </c>
    </row>
    <row r="421" spans="1:4">
      <c r="A421" s="3536">
        <v>420</v>
      </c>
      <c r="B421" s="3481" t="s">
        <v>6806</v>
      </c>
      <c r="C421" s="3481" t="s">
        <v>3395</v>
      </c>
      <c r="D421" s="3482">
        <v>83.53</v>
      </c>
    </row>
    <row r="422" spans="1:4">
      <c r="A422" s="3536">
        <v>421</v>
      </c>
      <c r="B422" s="3481" t="s">
        <v>6807</v>
      </c>
      <c r="C422" s="3481" t="s">
        <v>3395</v>
      </c>
      <c r="D422" s="3482">
        <v>83.53</v>
      </c>
    </row>
    <row r="423" spans="1:4">
      <c r="A423" s="3536">
        <v>422</v>
      </c>
      <c r="B423" s="3481" t="s">
        <v>6004</v>
      </c>
      <c r="C423" s="3481" t="s">
        <v>5305</v>
      </c>
      <c r="D423" s="3482">
        <v>73.040000000000006</v>
      </c>
    </row>
    <row r="424" spans="1:4">
      <c r="A424" s="3536">
        <v>423</v>
      </c>
      <c r="B424" s="3481" t="s">
        <v>6005</v>
      </c>
      <c r="C424" s="3481" t="s">
        <v>3338</v>
      </c>
      <c r="D424" s="3482">
        <v>97.81</v>
      </c>
    </row>
    <row r="425" spans="1:4">
      <c r="A425" s="3536">
        <v>424</v>
      </c>
      <c r="B425" s="3481" t="s">
        <v>6006</v>
      </c>
      <c r="C425" s="3481" t="s">
        <v>3338</v>
      </c>
      <c r="D425" s="3482">
        <v>188.33</v>
      </c>
    </row>
    <row r="426" spans="1:4">
      <c r="A426" s="3536">
        <v>425</v>
      </c>
      <c r="B426" s="3481" t="s">
        <v>6788</v>
      </c>
      <c r="C426" s="3481" t="s">
        <v>3395</v>
      </c>
      <c r="D426" s="3482">
        <v>83.53</v>
      </c>
    </row>
    <row r="427" spans="1:4">
      <c r="A427" s="3536">
        <v>426</v>
      </c>
      <c r="B427" s="3481" t="s">
        <v>6789</v>
      </c>
      <c r="C427" s="3481" t="s">
        <v>3395</v>
      </c>
      <c r="D427" s="3482">
        <v>83.53</v>
      </c>
    </row>
    <row r="428" spans="1:4">
      <c r="A428" s="3536">
        <v>427</v>
      </c>
      <c r="B428" s="3481" t="s">
        <v>6808</v>
      </c>
      <c r="C428" s="3481" t="s">
        <v>3395</v>
      </c>
      <c r="D428" s="3482">
        <v>83.91</v>
      </c>
    </row>
    <row r="429" spans="1:4">
      <c r="A429" s="3536">
        <v>428</v>
      </c>
      <c r="B429" s="3481" t="s">
        <v>6007</v>
      </c>
      <c r="C429" s="3481" t="s">
        <v>3395</v>
      </c>
      <c r="D429" s="3482">
        <v>97.69</v>
      </c>
    </row>
    <row r="430" spans="1:4">
      <c r="A430" s="3536">
        <v>429</v>
      </c>
      <c r="B430" s="3481" t="s">
        <v>6008</v>
      </c>
      <c r="C430" s="3481" t="s">
        <v>3338</v>
      </c>
      <c r="D430" s="3482">
        <v>29.72</v>
      </c>
    </row>
    <row r="431" spans="1:4">
      <c r="A431" s="3536">
        <v>430</v>
      </c>
      <c r="B431" s="3481" t="s">
        <v>6009</v>
      </c>
      <c r="C431" s="3481" t="s">
        <v>5305</v>
      </c>
      <c r="D431" s="3482">
        <v>97.31</v>
      </c>
    </row>
    <row r="432" spans="1:4">
      <c r="A432" s="3536">
        <v>431</v>
      </c>
      <c r="B432" s="3481" t="s">
        <v>6010</v>
      </c>
      <c r="C432" s="3481" t="s">
        <v>3338</v>
      </c>
      <c r="D432" s="3482">
        <v>29.2</v>
      </c>
    </row>
    <row r="433" spans="1:4">
      <c r="A433" s="3536">
        <v>432</v>
      </c>
      <c r="B433" s="3481" t="s">
        <v>6011</v>
      </c>
      <c r="C433" s="3481" t="s">
        <v>3395</v>
      </c>
      <c r="D433" s="3482">
        <v>86.14</v>
      </c>
    </row>
    <row r="434" spans="1:4">
      <c r="A434" s="3536">
        <v>433</v>
      </c>
      <c r="B434" s="3481" t="s">
        <v>6012</v>
      </c>
      <c r="C434" s="3481" t="s">
        <v>3338</v>
      </c>
      <c r="D434" s="3482">
        <v>247.49</v>
      </c>
    </row>
    <row r="435" spans="1:4">
      <c r="A435" s="3536">
        <v>434</v>
      </c>
      <c r="B435" s="3481" t="s">
        <v>6013</v>
      </c>
      <c r="C435" s="3481" t="s">
        <v>5305</v>
      </c>
      <c r="D435" s="3482">
        <v>85.76</v>
      </c>
    </row>
    <row r="436" spans="1:4">
      <c r="A436" s="3536">
        <v>435</v>
      </c>
      <c r="B436" s="3481" t="s">
        <v>6014</v>
      </c>
      <c r="C436" s="3481" t="s">
        <v>3338</v>
      </c>
      <c r="D436" s="3482">
        <v>270.77</v>
      </c>
    </row>
    <row r="437" spans="1:4">
      <c r="A437" s="3536">
        <v>436</v>
      </c>
      <c r="B437" s="3481" t="s">
        <v>6015</v>
      </c>
      <c r="C437" s="3481" t="s">
        <v>3395</v>
      </c>
      <c r="D437" s="3482">
        <v>86.14</v>
      </c>
    </row>
    <row r="438" spans="1:4">
      <c r="A438" s="3536">
        <v>437</v>
      </c>
      <c r="B438" s="3481" t="s">
        <v>6016</v>
      </c>
      <c r="C438" s="3481" t="s">
        <v>3395</v>
      </c>
      <c r="D438" s="3482">
        <v>85.76</v>
      </c>
    </row>
    <row r="439" spans="1:4">
      <c r="A439" s="3536">
        <v>438</v>
      </c>
      <c r="B439" s="3481" t="s">
        <v>6017</v>
      </c>
      <c r="C439" s="3481" t="s">
        <v>3395</v>
      </c>
      <c r="D439" s="3482">
        <v>86.14</v>
      </c>
    </row>
    <row r="440" spans="1:4">
      <c r="A440" s="3536">
        <v>439</v>
      </c>
      <c r="B440" s="3481" t="s">
        <v>6018</v>
      </c>
      <c r="C440" s="3481" t="s">
        <v>3395</v>
      </c>
      <c r="D440" s="3482">
        <v>85.76</v>
      </c>
    </row>
    <row r="441" spans="1:4">
      <c r="A441" s="3536">
        <v>440</v>
      </c>
      <c r="B441" s="3481" t="s">
        <v>6019</v>
      </c>
      <c r="C441" s="3481" t="s">
        <v>3395</v>
      </c>
      <c r="D441" s="3482">
        <v>86.14</v>
      </c>
    </row>
    <row r="442" spans="1:4">
      <c r="A442" s="3536">
        <v>441</v>
      </c>
      <c r="B442" s="3481" t="s">
        <v>6020</v>
      </c>
      <c r="C442" s="3481" t="s">
        <v>3395</v>
      </c>
      <c r="D442" s="3482">
        <v>85.76</v>
      </c>
    </row>
    <row r="443" spans="1:4">
      <c r="A443" s="3536">
        <v>442</v>
      </c>
      <c r="B443" s="3481" t="s">
        <v>6021</v>
      </c>
      <c r="C443" s="3481" t="s">
        <v>3395</v>
      </c>
      <c r="D443" s="3482">
        <v>86.14</v>
      </c>
    </row>
    <row r="444" spans="1:4">
      <c r="A444" s="3536">
        <v>443</v>
      </c>
      <c r="B444" s="3481" t="s">
        <v>6022</v>
      </c>
      <c r="C444" s="3481" t="s">
        <v>3395</v>
      </c>
      <c r="D444" s="3482">
        <v>85.76</v>
      </c>
    </row>
    <row r="445" spans="1:4">
      <c r="A445" s="3536">
        <v>444</v>
      </c>
      <c r="B445" s="3481" t="s">
        <v>6023</v>
      </c>
      <c r="C445" s="3481" t="s">
        <v>3395</v>
      </c>
      <c r="D445" s="3482">
        <v>97.31</v>
      </c>
    </row>
    <row r="446" spans="1:4">
      <c r="A446" s="3536">
        <v>445</v>
      </c>
      <c r="B446" s="3481" t="s">
        <v>6024</v>
      </c>
      <c r="C446" s="3481" t="s">
        <v>3338</v>
      </c>
      <c r="D446" s="3482">
        <v>29.2</v>
      </c>
    </row>
    <row r="447" spans="1:4">
      <c r="A447" s="3536">
        <v>446</v>
      </c>
      <c r="B447" s="3481" t="s">
        <v>6025</v>
      </c>
      <c r="C447" s="3481" t="s">
        <v>5305</v>
      </c>
      <c r="D447" s="3482">
        <v>97.69</v>
      </c>
    </row>
    <row r="448" spans="1:4">
      <c r="A448" s="3536">
        <v>447</v>
      </c>
      <c r="B448" s="3481" t="s">
        <v>6026</v>
      </c>
      <c r="C448" s="3481" t="s">
        <v>3338</v>
      </c>
      <c r="D448" s="3482">
        <v>29.72</v>
      </c>
    </row>
    <row r="449" spans="1:4">
      <c r="A449" s="3536">
        <v>448</v>
      </c>
      <c r="B449" s="3481" t="s">
        <v>6027</v>
      </c>
      <c r="C449" s="3481" t="s">
        <v>3395</v>
      </c>
      <c r="D449" s="3482">
        <v>85.76</v>
      </c>
    </row>
    <row r="450" spans="1:4">
      <c r="A450" s="3536">
        <v>449</v>
      </c>
      <c r="B450" s="3481" t="s">
        <v>6028</v>
      </c>
      <c r="C450" s="3481" t="s">
        <v>3338</v>
      </c>
      <c r="D450" s="3482">
        <v>246.84</v>
      </c>
    </row>
    <row r="451" spans="1:4">
      <c r="A451" s="3536">
        <v>450</v>
      </c>
      <c r="B451" s="3481" t="s">
        <v>6029</v>
      </c>
      <c r="C451" s="3481" t="s">
        <v>5305</v>
      </c>
      <c r="D451" s="3482">
        <v>86.14</v>
      </c>
    </row>
    <row r="452" spans="1:4">
      <c r="A452" s="3536">
        <v>451</v>
      </c>
      <c r="B452" s="3481" t="s">
        <v>6030</v>
      </c>
      <c r="C452" s="3481" t="s">
        <v>3338</v>
      </c>
      <c r="D452" s="3482">
        <v>284.29000000000002</v>
      </c>
    </row>
    <row r="453" spans="1:4">
      <c r="A453" s="3536">
        <v>452</v>
      </c>
      <c r="B453" s="3481" t="s">
        <v>6031</v>
      </c>
      <c r="C453" s="3481" t="s">
        <v>3395</v>
      </c>
      <c r="D453" s="3482">
        <v>85.76</v>
      </c>
    </row>
    <row r="454" spans="1:4">
      <c r="A454" s="3536">
        <v>453</v>
      </c>
      <c r="B454" s="3481" t="s">
        <v>6032</v>
      </c>
      <c r="C454" s="3481" t="s">
        <v>3395</v>
      </c>
      <c r="D454" s="3482">
        <v>86.14</v>
      </c>
    </row>
    <row r="455" spans="1:4">
      <c r="A455" s="3536">
        <v>454</v>
      </c>
      <c r="B455" s="3481" t="s">
        <v>6033</v>
      </c>
      <c r="C455" s="3481" t="s">
        <v>3395</v>
      </c>
      <c r="D455" s="3482">
        <v>85.76</v>
      </c>
    </row>
    <row r="456" spans="1:4">
      <c r="A456" s="3536">
        <v>455</v>
      </c>
      <c r="B456" s="3481" t="s">
        <v>6034</v>
      </c>
      <c r="C456" s="3481" t="s">
        <v>3395</v>
      </c>
      <c r="D456" s="3482">
        <v>86.14</v>
      </c>
    </row>
    <row r="457" spans="1:4">
      <c r="A457" s="3536">
        <v>456</v>
      </c>
      <c r="B457" s="3481" t="s">
        <v>6035</v>
      </c>
      <c r="C457" s="3481" t="s">
        <v>3395</v>
      </c>
      <c r="D457" s="3482">
        <v>85.76</v>
      </c>
    </row>
    <row r="458" spans="1:4">
      <c r="A458" s="3536">
        <v>457</v>
      </c>
      <c r="B458" s="3481" t="s">
        <v>6036</v>
      </c>
      <c r="C458" s="3481" t="s">
        <v>3395</v>
      </c>
      <c r="D458" s="3482">
        <v>86.14</v>
      </c>
    </row>
    <row r="459" spans="1:4">
      <c r="A459" s="3536">
        <v>458</v>
      </c>
      <c r="B459" s="3481" t="s">
        <v>6037</v>
      </c>
      <c r="C459" s="3481" t="s">
        <v>3395</v>
      </c>
      <c r="D459" s="3482">
        <v>85.76</v>
      </c>
    </row>
    <row r="460" spans="1:4">
      <c r="A460" s="3536">
        <v>459</v>
      </c>
      <c r="B460" s="3481" t="s">
        <v>6038</v>
      </c>
      <c r="C460" s="3481" t="s">
        <v>3395</v>
      </c>
      <c r="D460" s="3482">
        <v>86.14</v>
      </c>
    </row>
    <row r="461" spans="1:4">
      <c r="A461" s="3536">
        <v>460</v>
      </c>
      <c r="B461" s="3481" t="s">
        <v>6039</v>
      </c>
      <c r="C461" s="3481" t="s">
        <v>3395</v>
      </c>
      <c r="D461" s="3482">
        <v>97.49</v>
      </c>
    </row>
    <row r="462" spans="1:4">
      <c r="A462" s="3536">
        <v>461</v>
      </c>
      <c r="B462" s="3481" t="s">
        <v>6040</v>
      </c>
      <c r="C462" s="3481" t="s">
        <v>3338</v>
      </c>
      <c r="D462" s="3482">
        <v>29.61</v>
      </c>
    </row>
    <row r="463" spans="1:4">
      <c r="A463" s="3536">
        <v>462</v>
      </c>
      <c r="B463" s="3481" t="s">
        <v>6041</v>
      </c>
      <c r="C463" s="3481" t="s">
        <v>5305</v>
      </c>
      <c r="D463" s="3482">
        <v>97.11</v>
      </c>
    </row>
    <row r="464" spans="1:4">
      <c r="A464" s="3536">
        <v>463</v>
      </c>
      <c r="B464" s="3481" t="s">
        <v>6042</v>
      </c>
      <c r="C464" s="3481" t="s">
        <v>3338</v>
      </c>
      <c r="D464" s="3482">
        <v>29.09</v>
      </c>
    </row>
    <row r="465" spans="1:4">
      <c r="A465" s="3536">
        <v>464</v>
      </c>
      <c r="B465" s="3481" t="s">
        <v>6043</v>
      </c>
      <c r="C465" s="3481" t="s">
        <v>3395</v>
      </c>
      <c r="D465" s="3482">
        <v>85.94</v>
      </c>
    </row>
    <row r="466" spans="1:4">
      <c r="A466" s="3536">
        <v>465</v>
      </c>
      <c r="B466" s="3481" t="s">
        <v>6044</v>
      </c>
      <c r="C466" s="3481" t="s">
        <v>3338</v>
      </c>
      <c r="D466" s="3482">
        <v>246.61</v>
      </c>
    </row>
    <row r="467" spans="1:4">
      <c r="A467" s="3536">
        <v>466</v>
      </c>
      <c r="B467" s="3481" t="s">
        <v>6045</v>
      </c>
      <c r="C467" s="3481" t="s">
        <v>5305</v>
      </c>
      <c r="D467" s="3482">
        <v>85.56</v>
      </c>
    </row>
    <row r="468" spans="1:4">
      <c r="A468" s="3536">
        <v>467</v>
      </c>
      <c r="B468" s="3481" t="s">
        <v>6046</v>
      </c>
      <c r="C468" s="3481" t="s">
        <v>3338</v>
      </c>
      <c r="D468" s="3482">
        <v>269.77999999999997</v>
      </c>
    </row>
    <row r="469" spans="1:4">
      <c r="A469" s="3536">
        <v>468</v>
      </c>
      <c r="B469" s="3481" t="s">
        <v>6047</v>
      </c>
      <c r="C469" s="3481" t="s">
        <v>3395</v>
      </c>
      <c r="D469" s="3482">
        <v>85.56</v>
      </c>
    </row>
    <row r="470" spans="1:4">
      <c r="A470" s="3536">
        <v>469</v>
      </c>
      <c r="B470" s="3481" t="s">
        <v>6048</v>
      </c>
      <c r="C470" s="3481" t="s">
        <v>3395</v>
      </c>
      <c r="D470" s="3482">
        <v>85.94</v>
      </c>
    </row>
    <row r="471" spans="1:4">
      <c r="A471" s="3536">
        <v>470</v>
      </c>
      <c r="B471" s="3481" t="s">
        <v>6049</v>
      </c>
      <c r="C471" s="3481" t="s">
        <v>3395</v>
      </c>
      <c r="D471" s="3482">
        <v>85.56</v>
      </c>
    </row>
    <row r="472" spans="1:4">
      <c r="A472" s="3536">
        <v>471</v>
      </c>
      <c r="B472" s="3481" t="s">
        <v>6050</v>
      </c>
      <c r="C472" s="3481" t="s">
        <v>3395</v>
      </c>
      <c r="D472" s="3482">
        <v>97.11</v>
      </c>
    </row>
    <row r="473" spans="1:4">
      <c r="A473" s="3536">
        <v>472</v>
      </c>
      <c r="B473" s="3481" t="s">
        <v>6051</v>
      </c>
      <c r="C473" s="3481" t="s">
        <v>3338</v>
      </c>
      <c r="D473" s="3482">
        <v>29.09</v>
      </c>
    </row>
    <row r="474" spans="1:4">
      <c r="A474" s="3536">
        <v>473</v>
      </c>
      <c r="B474" s="3481" t="s">
        <v>6052</v>
      </c>
      <c r="C474" s="3481" t="s">
        <v>5305</v>
      </c>
      <c r="D474" s="3482">
        <v>97.11</v>
      </c>
    </row>
    <row r="475" spans="1:4">
      <c r="A475" s="3536">
        <v>474</v>
      </c>
      <c r="B475" s="3481" t="s">
        <v>6053</v>
      </c>
      <c r="C475" s="3481" t="s">
        <v>3338</v>
      </c>
      <c r="D475" s="3482">
        <v>29.09</v>
      </c>
    </row>
    <row r="476" spans="1:4">
      <c r="A476" s="3536">
        <v>475</v>
      </c>
      <c r="B476" s="3481" t="s">
        <v>6054</v>
      </c>
      <c r="C476" s="3481" t="s">
        <v>3395</v>
      </c>
      <c r="D476" s="3482">
        <v>85.56</v>
      </c>
    </row>
    <row r="477" spans="1:4">
      <c r="A477" s="3536">
        <v>476</v>
      </c>
      <c r="B477" s="3481" t="s">
        <v>6055</v>
      </c>
      <c r="C477" s="3481" t="s">
        <v>3338</v>
      </c>
      <c r="D477" s="3482">
        <v>245.96</v>
      </c>
    </row>
    <row r="478" spans="1:4">
      <c r="A478" s="3536">
        <v>477</v>
      </c>
      <c r="B478" s="3481" t="s">
        <v>6056</v>
      </c>
      <c r="C478" s="3481" t="s">
        <v>5305</v>
      </c>
      <c r="D478" s="3482">
        <v>85.56</v>
      </c>
    </row>
    <row r="479" spans="1:4">
      <c r="A479" s="3536">
        <v>478</v>
      </c>
      <c r="B479" s="3481" t="s">
        <v>6057</v>
      </c>
      <c r="C479" s="3481" t="s">
        <v>3338</v>
      </c>
      <c r="D479" s="3482">
        <v>269.77999999999997</v>
      </c>
    </row>
    <row r="480" spans="1:4">
      <c r="A480" s="3536">
        <v>479</v>
      </c>
      <c r="B480" s="3481" t="s">
        <v>6058</v>
      </c>
      <c r="C480" s="3481" t="s">
        <v>3395</v>
      </c>
      <c r="D480" s="3482">
        <v>85.56</v>
      </c>
    </row>
    <row r="481" spans="1:4">
      <c r="A481" s="3536">
        <v>480</v>
      </c>
      <c r="B481" s="3481" t="s">
        <v>6059</v>
      </c>
      <c r="C481" s="3481" t="s">
        <v>3395</v>
      </c>
      <c r="D481" s="3482">
        <v>85.56</v>
      </c>
    </row>
    <row r="482" spans="1:4">
      <c r="A482" s="3536">
        <v>481</v>
      </c>
      <c r="B482" s="3481" t="s">
        <v>6060</v>
      </c>
      <c r="C482" s="3481" t="s">
        <v>3395</v>
      </c>
      <c r="D482" s="3482">
        <v>97.11</v>
      </c>
    </row>
    <row r="483" spans="1:4">
      <c r="A483" s="3536">
        <v>482</v>
      </c>
      <c r="B483" s="3481" t="s">
        <v>6061</v>
      </c>
      <c r="C483" s="3481" t="s">
        <v>3338</v>
      </c>
      <c r="D483" s="3482">
        <v>29.09</v>
      </c>
    </row>
    <row r="484" spans="1:4">
      <c r="A484" s="3536">
        <v>483</v>
      </c>
      <c r="B484" s="3481" t="s">
        <v>6062</v>
      </c>
      <c r="C484" s="3481" t="s">
        <v>5305</v>
      </c>
      <c r="D484" s="3482">
        <v>97.11</v>
      </c>
    </row>
    <row r="485" spans="1:4">
      <c r="A485" s="3536">
        <v>484</v>
      </c>
      <c r="B485" s="3481" t="s">
        <v>6063</v>
      </c>
      <c r="C485" s="3481" t="s">
        <v>3338</v>
      </c>
      <c r="D485" s="3482">
        <v>29.88</v>
      </c>
    </row>
    <row r="486" spans="1:4">
      <c r="A486" s="3536">
        <v>485</v>
      </c>
      <c r="B486" s="3481" t="s">
        <v>6064</v>
      </c>
      <c r="C486" s="3481" t="s">
        <v>3395</v>
      </c>
      <c r="D486" s="3482">
        <v>85.56</v>
      </c>
    </row>
    <row r="487" spans="1:4">
      <c r="A487" s="3536">
        <v>486</v>
      </c>
      <c r="B487" s="3481" t="s">
        <v>6065</v>
      </c>
      <c r="C487" s="3481" t="s">
        <v>3338</v>
      </c>
      <c r="D487" s="3482">
        <v>245.96</v>
      </c>
    </row>
    <row r="488" spans="1:4">
      <c r="A488" s="3536">
        <v>487</v>
      </c>
      <c r="B488" s="3481" t="s">
        <v>6066</v>
      </c>
      <c r="C488" s="3481" t="s">
        <v>5305</v>
      </c>
      <c r="D488" s="3482">
        <v>85.56</v>
      </c>
    </row>
    <row r="489" spans="1:4">
      <c r="A489" s="3536">
        <v>488</v>
      </c>
      <c r="B489" s="3481" t="s">
        <v>6067</v>
      </c>
      <c r="C489" s="3481" t="s">
        <v>3338</v>
      </c>
      <c r="D489" s="3482">
        <v>274.07</v>
      </c>
    </row>
    <row r="490" spans="1:4">
      <c r="A490" s="3536">
        <v>489</v>
      </c>
      <c r="B490" s="3481" t="s">
        <v>6068</v>
      </c>
      <c r="C490" s="3481" t="s">
        <v>3395</v>
      </c>
      <c r="D490" s="3482">
        <v>85.56</v>
      </c>
    </row>
    <row r="491" spans="1:4">
      <c r="A491" s="3536">
        <v>490</v>
      </c>
      <c r="B491" s="3481" t="s">
        <v>6069</v>
      </c>
      <c r="C491" s="3481" t="s">
        <v>3395</v>
      </c>
      <c r="D491" s="3482">
        <v>85.56</v>
      </c>
    </row>
    <row r="492" spans="1:4">
      <c r="A492" s="3536">
        <v>491</v>
      </c>
      <c r="B492" s="3481" t="s">
        <v>6070</v>
      </c>
      <c r="C492" s="3481" t="s">
        <v>3395</v>
      </c>
      <c r="D492" s="3482">
        <v>97.11</v>
      </c>
    </row>
    <row r="493" spans="1:4">
      <c r="A493" s="3536">
        <v>492</v>
      </c>
      <c r="B493" s="3481" t="s">
        <v>6071</v>
      </c>
      <c r="C493" s="3481" t="s">
        <v>3338</v>
      </c>
      <c r="D493" s="3482">
        <v>29.88</v>
      </c>
    </row>
    <row r="494" spans="1:4">
      <c r="A494" s="3536">
        <v>493</v>
      </c>
      <c r="B494" s="3481" t="s">
        <v>6072</v>
      </c>
      <c r="C494" s="3481" t="s">
        <v>5305</v>
      </c>
      <c r="D494" s="3482">
        <v>97.11</v>
      </c>
    </row>
    <row r="495" spans="1:4">
      <c r="A495" s="3536">
        <v>494</v>
      </c>
      <c r="B495" s="3481" t="s">
        <v>6073</v>
      </c>
      <c r="C495" s="3481" t="s">
        <v>3338</v>
      </c>
      <c r="D495" s="3482">
        <v>29.09</v>
      </c>
    </row>
    <row r="496" spans="1:4">
      <c r="A496" s="3536">
        <v>495</v>
      </c>
      <c r="B496" s="3481" t="s">
        <v>6074</v>
      </c>
      <c r="C496" s="3481" t="s">
        <v>3395</v>
      </c>
      <c r="D496" s="3482">
        <v>85.56</v>
      </c>
    </row>
    <row r="497" spans="1:4">
      <c r="A497" s="3536">
        <v>496</v>
      </c>
      <c r="B497" s="3481" t="s">
        <v>6075</v>
      </c>
      <c r="C497" s="3481" t="s">
        <v>3338</v>
      </c>
      <c r="D497" s="3482">
        <v>250.26</v>
      </c>
    </row>
    <row r="498" spans="1:4">
      <c r="A498" s="3536">
        <v>497</v>
      </c>
      <c r="B498" s="3481" t="s">
        <v>6076</v>
      </c>
      <c r="C498" s="3481" t="s">
        <v>5305</v>
      </c>
      <c r="D498" s="3482">
        <v>85.56</v>
      </c>
    </row>
    <row r="499" spans="1:4">
      <c r="A499" s="3536">
        <v>498</v>
      </c>
      <c r="B499" s="3481" t="s">
        <v>6077</v>
      </c>
      <c r="C499" s="3481" t="s">
        <v>3338</v>
      </c>
      <c r="D499" s="3482">
        <v>269.77999999999997</v>
      </c>
    </row>
    <row r="500" spans="1:4">
      <c r="A500" s="3536">
        <v>499</v>
      </c>
      <c r="B500" s="3481" t="s">
        <v>6813</v>
      </c>
      <c r="C500" s="3481" t="s">
        <v>3395</v>
      </c>
      <c r="D500" s="3482">
        <v>85.56</v>
      </c>
    </row>
    <row r="501" spans="1:4">
      <c r="A501" s="3536">
        <v>500</v>
      </c>
      <c r="B501" s="3481" t="s">
        <v>6758</v>
      </c>
      <c r="C501" s="3481" t="s">
        <v>3395</v>
      </c>
      <c r="D501" s="3482">
        <v>85.56</v>
      </c>
    </row>
    <row r="502" spans="1:4">
      <c r="A502" s="3536">
        <v>501</v>
      </c>
      <c r="B502" s="3481" t="s">
        <v>6786</v>
      </c>
      <c r="C502" s="3481" t="s">
        <v>3395</v>
      </c>
      <c r="D502" s="3482">
        <v>85.56</v>
      </c>
    </row>
    <row r="503" spans="1:4">
      <c r="A503" s="3536">
        <v>502</v>
      </c>
      <c r="B503" s="3481" t="s">
        <v>6078</v>
      </c>
      <c r="C503" s="3481" t="s">
        <v>3395</v>
      </c>
      <c r="D503" s="3482">
        <v>85.56</v>
      </c>
    </row>
    <row r="504" spans="1:4">
      <c r="A504" s="3536">
        <v>503</v>
      </c>
      <c r="B504" s="3481" t="s">
        <v>6079</v>
      </c>
      <c r="C504" s="3481" t="s">
        <v>3395</v>
      </c>
      <c r="D504" s="3482">
        <v>85.56</v>
      </c>
    </row>
    <row r="505" spans="1:4">
      <c r="A505" s="3536">
        <v>504</v>
      </c>
      <c r="B505" s="3481" t="s">
        <v>6080</v>
      </c>
      <c r="C505" s="3481" t="s">
        <v>3395</v>
      </c>
      <c r="D505" s="3482">
        <v>97.11</v>
      </c>
    </row>
    <row r="506" spans="1:4">
      <c r="A506" s="3536">
        <v>505</v>
      </c>
      <c r="B506" s="3481" t="s">
        <v>6081</v>
      </c>
      <c r="C506" s="3481" t="s">
        <v>3338</v>
      </c>
      <c r="D506" s="3482">
        <v>29.09</v>
      </c>
    </row>
    <row r="507" spans="1:4">
      <c r="A507" s="3536">
        <v>506</v>
      </c>
      <c r="B507" s="3481" t="s">
        <v>6082</v>
      </c>
      <c r="C507" s="3481" t="s">
        <v>5305</v>
      </c>
      <c r="D507" s="3482">
        <v>97.11</v>
      </c>
    </row>
    <row r="508" spans="1:4">
      <c r="A508" s="3536">
        <v>507</v>
      </c>
      <c r="B508" s="3481" t="s">
        <v>6083</v>
      </c>
      <c r="C508" s="3481" t="s">
        <v>3338</v>
      </c>
      <c r="D508" s="3482">
        <v>29.09</v>
      </c>
    </row>
    <row r="509" spans="1:4">
      <c r="A509" s="3536">
        <v>508</v>
      </c>
      <c r="B509" s="3481" t="s">
        <v>6084</v>
      </c>
      <c r="C509" s="3481" t="s">
        <v>3395</v>
      </c>
      <c r="D509" s="3482">
        <v>85.56</v>
      </c>
    </row>
    <row r="510" spans="1:4">
      <c r="A510" s="3536">
        <v>509</v>
      </c>
      <c r="B510" s="3481" t="s">
        <v>6085</v>
      </c>
      <c r="C510" s="3481" t="s">
        <v>3338</v>
      </c>
      <c r="D510" s="3482">
        <v>245.96</v>
      </c>
    </row>
    <row r="511" spans="1:4">
      <c r="A511" s="3536">
        <v>510</v>
      </c>
      <c r="B511" s="3481" t="s">
        <v>6086</v>
      </c>
      <c r="C511" s="3481" t="s">
        <v>5305</v>
      </c>
      <c r="D511" s="3482">
        <v>85.56</v>
      </c>
    </row>
    <row r="512" spans="1:4">
      <c r="A512" s="3536">
        <v>511</v>
      </c>
      <c r="B512" s="3481" t="s">
        <v>6087</v>
      </c>
      <c r="C512" s="3481" t="s">
        <v>3338</v>
      </c>
      <c r="D512" s="3482">
        <v>269.77999999999997</v>
      </c>
    </row>
    <row r="513" spans="1:4">
      <c r="A513" s="3536">
        <v>512</v>
      </c>
      <c r="B513" s="3481" t="s">
        <v>6773</v>
      </c>
      <c r="C513" s="3481" t="s">
        <v>3395</v>
      </c>
      <c r="D513" s="3482">
        <v>85.56</v>
      </c>
    </row>
    <row r="514" spans="1:4">
      <c r="A514" s="3536">
        <v>513</v>
      </c>
      <c r="B514" s="3481" t="s">
        <v>6783</v>
      </c>
      <c r="C514" s="3481" t="s">
        <v>3395</v>
      </c>
      <c r="D514" s="3482">
        <v>85.56</v>
      </c>
    </row>
    <row r="515" spans="1:4">
      <c r="A515" s="3536">
        <v>514</v>
      </c>
      <c r="B515" s="3481" t="s">
        <v>6088</v>
      </c>
      <c r="C515" s="3481" t="s">
        <v>3395</v>
      </c>
      <c r="D515" s="3482">
        <v>85.56</v>
      </c>
    </row>
    <row r="516" spans="1:4">
      <c r="A516" s="3536">
        <v>515</v>
      </c>
      <c r="B516" s="3481" t="s">
        <v>6089</v>
      </c>
      <c r="C516" s="3481" t="s">
        <v>3395</v>
      </c>
      <c r="D516" s="3482">
        <v>85.56</v>
      </c>
    </row>
    <row r="517" spans="1:4">
      <c r="A517" s="3536">
        <v>516</v>
      </c>
      <c r="B517" s="3481" t="s">
        <v>6090</v>
      </c>
      <c r="C517" s="3481" t="s">
        <v>3395</v>
      </c>
      <c r="D517" s="3482">
        <v>97.11</v>
      </c>
    </row>
    <row r="518" spans="1:4">
      <c r="A518" s="3536">
        <v>517</v>
      </c>
      <c r="B518" s="3481" t="s">
        <v>6091</v>
      </c>
      <c r="C518" s="3481" t="s">
        <v>3338</v>
      </c>
      <c r="D518" s="3482">
        <v>29.09</v>
      </c>
    </row>
    <row r="519" spans="1:4">
      <c r="A519" s="3536">
        <v>518</v>
      </c>
      <c r="B519" s="3481" t="s">
        <v>6092</v>
      </c>
      <c r="C519" s="3481" t="s">
        <v>5305</v>
      </c>
      <c r="D519" s="3482">
        <v>97.49</v>
      </c>
    </row>
    <row r="520" spans="1:4">
      <c r="A520" s="3536">
        <v>519</v>
      </c>
      <c r="B520" s="3481" t="s">
        <v>6093</v>
      </c>
      <c r="C520" s="3481" t="s">
        <v>3338</v>
      </c>
      <c r="D520" s="3482">
        <v>29.61</v>
      </c>
    </row>
    <row r="521" spans="1:4">
      <c r="A521" s="3536">
        <v>520</v>
      </c>
      <c r="B521" s="3481" t="s">
        <v>6094</v>
      </c>
      <c r="C521" s="3481" t="s">
        <v>3395</v>
      </c>
      <c r="D521" s="3482">
        <v>85.46</v>
      </c>
    </row>
    <row r="522" spans="1:4">
      <c r="A522" s="3536">
        <v>521</v>
      </c>
      <c r="B522" s="3481" t="s">
        <v>6095</v>
      </c>
      <c r="C522" s="3481" t="s">
        <v>3338</v>
      </c>
      <c r="D522" s="3482">
        <v>245.96</v>
      </c>
    </row>
    <row r="523" spans="1:4">
      <c r="A523" s="3536">
        <v>522</v>
      </c>
      <c r="B523" s="3481" t="s">
        <v>6759</v>
      </c>
      <c r="C523" s="3481" t="s">
        <v>5305</v>
      </c>
      <c r="D523" s="3482">
        <v>85.94</v>
      </c>
    </row>
    <row r="524" spans="1:4">
      <c r="A524" s="3536">
        <v>523</v>
      </c>
      <c r="B524" s="3481" t="s">
        <v>6096</v>
      </c>
      <c r="C524" s="3481" t="s">
        <v>3338</v>
      </c>
      <c r="D524" s="3482">
        <v>270.41000000000003</v>
      </c>
    </row>
    <row r="525" spans="1:4">
      <c r="A525" s="3536">
        <v>524</v>
      </c>
      <c r="B525" s="3481" t="s">
        <v>6790</v>
      </c>
      <c r="C525" s="3481" t="s">
        <v>3395</v>
      </c>
      <c r="D525" s="3482">
        <v>85.56</v>
      </c>
    </row>
    <row r="526" spans="1:4">
      <c r="A526" s="3536">
        <v>525</v>
      </c>
      <c r="B526" s="3481" t="s">
        <v>6097</v>
      </c>
      <c r="C526" s="3481" t="s">
        <v>3395</v>
      </c>
      <c r="D526" s="3482">
        <v>85.56</v>
      </c>
    </row>
    <row r="527" spans="1:4">
      <c r="A527" s="3536">
        <v>526</v>
      </c>
      <c r="B527" s="3481" t="s">
        <v>6098</v>
      </c>
      <c r="C527" s="3481" t="s">
        <v>3395</v>
      </c>
      <c r="D527" s="3482">
        <v>97.54</v>
      </c>
    </row>
    <row r="528" spans="1:4">
      <c r="A528" s="3536">
        <v>527</v>
      </c>
      <c r="B528" s="3481" t="s">
        <v>6099</v>
      </c>
      <c r="C528" s="3481" t="s">
        <v>3338</v>
      </c>
      <c r="D528" s="3482">
        <v>29.62</v>
      </c>
    </row>
    <row r="529" spans="1:4">
      <c r="A529" s="3536">
        <v>528</v>
      </c>
      <c r="B529" s="3481" t="s">
        <v>6100</v>
      </c>
      <c r="C529" s="3481" t="s">
        <v>5305</v>
      </c>
      <c r="D529" s="3482">
        <v>97.16</v>
      </c>
    </row>
    <row r="530" spans="1:4">
      <c r="A530" s="3536">
        <v>529</v>
      </c>
      <c r="B530" s="3481" t="s">
        <v>6101</v>
      </c>
      <c r="C530" s="3481" t="s">
        <v>3338</v>
      </c>
      <c r="D530" s="3482">
        <v>29.09</v>
      </c>
    </row>
    <row r="531" spans="1:4">
      <c r="A531" s="3536">
        <v>530</v>
      </c>
      <c r="B531" s="3481" t="s">
        <v>6102</v>
      </c>
      <c r="C531" s="3481" t="s">
        <v>3395</v>
      </c>
      <c r="D531" s="3482">
        <v>85.99</v>
      </c>
    </row>
    <row r="532" spans="1:4">
      <c r="A532" s="3536">
        <v>531</v>
      </c>
      <c r="B532" s="3481" t="s">
        <v>6103</v>
      </c>
      <c r="C532" s="3481" t="s">
        <v>3338</v>
      </c>
      <c r="D532" s="3482">
        <v>246.65</v>
      </c>
    </row>
    <row r="533" spans="1:4">
      <c r="A533" s="3536">
        <v>532</v>
      </c>
      <c r="B533" s="3481" t="s">
        <v>6104</v>
      </c>
      <c r="C533" s="3481" t="s">
        <v>5305</v>
      </c>
      <c r="D533" s="3482">
        <v>85.61</v>
      </c>
    </row>
    <row r="534" spans="1:4">
      <c r="A534" s="3536">
        <v>533</v>
      </c>
      <c r="B534" s="3481" t="s">
        <v>6105</v>
      </c>
      <c r="C534" s="3481" t="s">
        <v>3338</v>
      </c>
      <c r="D534" s="3482">
        <v>269.81</v>
      </c>
    </row>
    <row r="535" spans="1:4">
      <c r="A535" s="3536">
        <v>534</v>
      </c>
      <c r="B535" s="3481" t="s">
        <v>6106</v>
      </c>
      <c r="C535" s="3481" t="s">
        <v>3395</v>
      </c>
      <c r="D535" s="3482">
        <v>85.99</v>
      </c>
    </row>
    <row r="536" spans="1:4">
      <c r="A536" s="3536">
        <v>535</v>
      </c>
      <c r="B536" s="3481" t="s">
        <v>6107</v>
      </c>
      <c r="C536" s="3481" t="s">
        <v>3395</v>
      </c>
      <c r="D536" s="3482">
        <v>85.61</v>
      </c>
    </row>
    <row r="537" spans="1:4">
      <c r="A537" s="3536">
        <v>536</v>
      </c>
      <c r="B537" s="3481" t="s">
        <v>6108</v>
      </c>
      <c r="C537" s="3481" t="s">
        <v>3395</v>
      </c>
      <c r="D537" s="3482">
        <v>97.16</v>
      </c>
    </row>
    <row r="538" spans="1:4">
      <c r="A538" s="3536">
        <v>537</v>
      </c>
      <c r="B538" s="3481" t="s">
        <v>6109</v>
      </c>
      <c r="C538" s="3481" t="s">
        <v>3338</v>
      </c>
      <c r="D538" s="3482">
        <v>29.09</v>
      </c>
    </row>
    <row r="539" spans="1:4">
      <c r="A539" s="3536">
        <v>538</v>
      </c>
      <c r="B539" s="3481" t="s">
        <v>6110</v>
      </c>
      <c r="C539" s="3481" t="s">
        <v>5305</v>
      </c>
      <c r="D539" s="3482">
        <v>97.16</v>
      </c>
    </row>
    <row r="540" spans="1:4">
      <c r="A540" s="3536">
        <v>539</v>
      </c>
      <c r="B540" s="3481" t="s">
        <v>6111</v>
      </c>
      <c r="C540" s="3481" t="s">
        <v>3338</v>
      </c>
      <c r="D540" s="3482">
        <v>29.88</v>
      </c>
    </row>
    <row r="541" spans="1:4">
      <c r="A541" s="3536">
        <v>540</v>
      </c>
      <c r="B541" s="3481" t="s">
        <v>6112</v>
      </c>
      <c r="C541" s="3481" t="s">
        <v>3395</v>
      </c>
      <c r="D541" s="3482">
        <v>85.61</v>
      </c>
    </row>
    <row r="542" spans="1:4">
      <c r="A542" s="3536">
        <v>541</v>
      </c>
      <c r="B542" s="3481" t="s">
        <v>6113</v>
      </c>
      <c r="C542" s="3481" t="s">
        <v>3338</v>
      </c>
      <c r="D542" s="3482">
        <v>246</v>
      </c>
    </row>
    <row r="543" spans="1:4">
      <c r="A543" s="3536">
        <v>542</v>
      </c>
      <c r="B543" s="3481" t="s">
        <v>6114</v>
      </c>
      <c r="C543" s="3481" t="s">
        <v>5305</v>
      </c>
      <c r="D543" s="3482">
        <v>85.61</v>
      </c>
    </row>
    <row r="544" spans="1:4">
      <c r="A544" s="3536">
        <v>543</v>
      </c>
      <c r="B544" s="3481" t="s">
        <v>6115</v>
      </c>
      <c r="C544" s="3481" t="s">
        <v>3338</v>
      </c>
      <c r="D544" s="3482">
        <v>274.11</v>
      </c>
    </row>
    <row r="545" spans="1:4">
      <c r="A545" s="3536">
        <v>544</v>
      </c>
      <c r="B545" s="3481" t="s">
        <v>6116</v>
      </c>
      <c r="C545" s="3481" t="s">
        <v>3395</v>
      </c>
      <c r="D545" s="3482">
        <v>85.61</v>
      </c>
    </row>
    <row r="546" spans="1:4">
      <c r="A546" s="3536">
        <v>545</v>
      </c>
      <c r="B546" s="3481" t="s">
        <v>6117</v>
      </c>
      <c r="C546" s="3481" t="s">
        <v>3395</v>
      </c>
      <c r="D546" s="3482">
        <v>85.61</v>
      </c>
    </row>
    <row r="547" spans="1:4">
      <c r="A547" s="3536">
        <v>546</v>
      </c>
      <c r="B547" s="3481" t="s">
        <v>6118</v>
      </c>
      <c r="C547" s="3481" t="s">
        <v>3395</v>
      </c>
      <c r="D547" s="3482">
        <v>97.16</v>
      </c>
    </row>
    <row r="548" spans="1:4">
      <c r="A548" s="3536">
        <v>547</v>
      </c>
      <c r="B548" s="3481" t="s">
        <v>6119</v>
      </c>
      <c r="C548" s="3481" t="s">
        <v>3338</v>
      </c>
      <c r="D548" s="3482">
        <v>29.88</v>
      </c>
    </row>
    <row r="549" spans="1:4">
      <c r="A549" s="3536">
        <v>548</v>
      </c>
      <c r="B549" s="3481" t="s">
        <v>6120</v>
      </c>
      <c r="C549" s="3481" t="s">
        <v>5305</v>
      </c>
      <c r="D549" s="3482">
        <v>97.16</v>
      </c>
    </row>
    <row r="550" spans="1:4">
      <c r="A550" s="3536">
        <v>549</v>
      </c>
      <c r="B550" s="3481" t="s">
        <v>6121</v>
      </c>
      <c r="C550" s="3481" t="s">
        <v>3338</v>
      </c>
      <c r="D550" s="3482">
        <v>29.09</v>
      </c>
    </row>
    <row r="551" spans="1:4">
      <c r="A551" s="3536">
        <v>550</v>
      </c>
      <c r="B551" s="3481" t="s">
        <v>6122</v>
      </c>
      <c r="C551" s="3481" t="s">
        <v>3395</v>
      </c>
      <c r="D551" s="3482">
        <v>85.61</v>
      </c>
    </row>
    <row r="552" spans="1:4">
      <c r="A552" s="3536">
        <v>551</v>
      </c>
      <c r="B552" s="3481" t="s">
        <v>6123</v>
      </c>
      <c r="C552" s="3481" t="s">
        <v>3338</v>
      </c>
      <c r="D552" s="3482">
        <v>250.29</v>
      </c>
    </row>
    <row r="553" spans="1:4">
      <c r="A553" s="3536">
        <v>552</v>
      </c>
      <c r="B553" s="3481" t="s">
        <v>6124</v>
      </c>
      <c r="C553" s="3481" t="s">
        <v>5305</v>
      </c>
      <c r="D553" s="3482">
        <v>85.61</v>
      </c>
    </row>
    <row r="554" spans="1:4">
      <c r="A554" s="3536">
        <v>553</v>
      </c>
      <c r="B554" s="3481" t="s">
        <v>6125</v>
      </c>
      <c r="C554" s="3481" t="s">
        <v>3338</v>
      </c>
      <c r="D554" s="3482">
        <v>269.81</v>
      </c>
    </row>
    <row r="555" spans="1:4">
      <c r="A555" s="3536">
        <v>554</v>
      </c>
      <c r="B555" s="3481" t="s">
        <v>6126</v>
      </c>
      <c r="C555" s="3481" t="s">
        <v>3395</v>
      </c>
      <c r="D555" s="3482">
        <v>85.61</v>
      </c>
    </row>
    <row r="556" spans="1:4">
      <c r="A556" s="3536">
        <v>555</v>
      </c>
      <c r="B556" s="3481" t="s">
        <v>6127</v>
      </c>
      <c r="C556" s="3481" t="s">
        <v>3395</v>
      </c>
      <c r="D556" s="3482">
        <v>97.16</v>
      </c>
    </row>
    <row r="557" spans="1:4">
      <c r="A557" s="3536">
        <v>556</v>
      </c>
      <c r="B557" s="3481" t="s">
        <v>6128</v>
      </c>
      <c r="C557" s="3481" t="s">
        <v>3338</v>
      </c>
      <c r="D557" s="3482">
        <v>29.09</v>
      </c>
    </row>
    <row r="558" spans="1:4">
      <c r="A558" s="3536">
        <v>557</v>
      </c>
      <c r="B558" s="3481" t="s">
        <v>6129</v>
      </c>
      <c r="C558" s="3481" t="s">
        <v>5305</v>
      </c>
      <c r="D558" s="3482">
        <v>97.16</v>
      </c>
    </row>
    <row r="559" spans="1:4">
      <c r="A559" s="3536">
        <v>558</v>
      </c>
      <c r="B559" s="3481" t="s">
        <v>6130</v>
      </c>
      <c r="C559" s="3481" t="s">
        <v>3338</v>
      </c>
      <c r="D559" s="3482">
        <v>29.09</v>
      </c>
    </row>
    <row r="560" spans="1:4">
      <c r="A560" s="3536">
        <v>559</v>
      </c>
      <c r="B560" s="3481" t="s">
        <v>6131</v>
      </c>
      <c r="C560" s="3481" t="s">
        <v>3338</v>
      </c>
      <c r="D560" s="3482">
        <v>246</v>
      </c>
    </row>
    <row r="561" spans="1:4">
      <c r="A561" s="3536">
        <v>560</v>
      </c>
      <c r="B561" s="3481" t="s">
        <v>6132</v>
      </c>
      <c r="C561" s="3481" t="s">
        <v>5305</v>
      </c>
      <c r="D561" s="3482">
        <v>85.61</v>
      </c>
    </row>
    <row r="562" spans="1:4">
      <c r="A562" s="3536">
        <v>561</v>
      </c>
      <c r="B562" s="3481" t="s">
        <v>6133</v>
      </c>
      <c r="C562" s="3481" t="s">
        <v>3338</v>
      </c>
      <c r="D562" s="3482">
        <v>269.81</v>
      </c>
    </row>
    <row r="563" spans="1:4">
      <c r="A563" s="3536">
        <v>562</v>
      </c>
      <c r="B563" s="3481" t="s">
        <v>6134</v>
      </c>
      <c r="C563" s="3481" t="s">
        <v>3395</v>
      </c>
      <c r="D563" s="3482">
        <v>85.61</v>
      </c>
    </row>
    <row r="564" spans="1:4">
      <c r="A564" s="3536">
        <v>563</v>
      </c>
      <c r="B564" s="3481" t="s">
        <v>6135</v>
      </c>
      <c r="C564" s="3481" t="s">
        <v>3395</v>
      </c>
      <c r="D564" s="3482">
        <v>85.61</v>
      </c>
    </row>
    <row r="565" spans="1:4">
      <c r="A565" s="3536">
        <v>564</v>
      </c>
      <c r="B565" s="3481" t="s">
        <v>6136</v>
      </c>
      <c r="C565" s="3481" t="s">
        <v>3395</v>
      </c>
      <c r="D565" s="3482">
        <v>97.16</v>
      </c>
    </row>
    <row r="566" spans="1:4">
      <c r="A566" s="3536">
        <v>565</v>
      </c>
      <c r="B566" s="3481" t="s">
        <v>6137</v>
      </c>
      <c r="C566" s="3481" t="s">
        <v>3338</v>
      </c>
      <c r="D566" s="3482">
        <v>29.09</v>
      </c>
    </row>
    <row r="567" spans="1:4">
      <c r="A567" s="3536">
        <v>566</v>
      </c>
      <c r="B567" s="3481" t="s">
        <v>6138</v>
      </c>
      <c r="C567" s="3481" t="s">
        <v>5305</v>
      </c>
      <c r="D567" s="3482">
        <v>97.54</v>
      </c>
    </row>
    <row r="568" spans="1:4">
      <c r="A568" s="3536">
        <v>567</v>
      </c>
      <c r="B568" s="3481" t="s">
        <v>6139</v>
      </c>
      <c r="C568" s="3481" t="s">
        <v>3338</v>
      </c>
      <c r="D568" s="3482">
        <v>29.62</v>
      </c>
    </row>
    <row r="569" spans="1:4">
      <c r="A569" s="3536">
        <v>568</v>
      </c>
      <c r="B569" s="3481" t="s">
        <v>6140</v>
      </c>
      <c r="C569" s="3481" t="s">
        <v>3395</v>
      </c>
      <c r="D569" s="3482">
        <v>85.61</v>
      </c>
    </row>
    <row r="570" spans="1:4">
      <c r="A570" s="3536">
        <v>569</v>
      </c>
      <c r="B570" s="3481" t="s">
        <v>6141</v>
      </c>
      <c r="C570" s="3481" t="s">
        <v>3338</v>
      </c>
      <c r="D570" s="3482">
        <v>246</v>
      </c>
    </row>
    <row r="571" spans="1:4">
      <c r="A571" s="3536">
        <v>570</v>
      </c>
      <c r="B571" s="3481" t="s">
        <v>6142</v>
      </c>
      <c r="C571" s="3481" t="s">
        <v>5305</v>
      </c>
      <c r="D571" s="3482">
        <v>85.99</v>
      </c>
    </row>
    <row r="572" spans="1:4">
      <c r="A572" s="3536">
        <v>571</v>
      </c>
      <c r="B572" s="3481" t="s">
        <v>6143</v>
      </c>
      <c r="C572" s="3481" t="s">
        <v>3338</v>
      </c>
      <c r="D572" s="3482">
        <v>270.44</v>
      </c>
    </row>
    <row r="573" spans="1:4">
      <c r="A573" s="3536">
        <v>572</v>
      </c>
      <c r="B573" s="3481" t="s">
        <v>6144</v>
      </c>
      <c r="C573" s="3481" t="s">
        <v>3395</v>
      </c>
      <c r="D573" s="3482">
        <v>97.49</v>
      </c>
    </row>
    <row r="574" spans="1:4">
      <c r="A574" s="3536">
        <v>573</v>
      </c>
      <c r="B574" s="3481" t="s">
        <v>6145</v>
      </c>
      <c r="C574" s="3481" t="s">
        <v>3338</v>
      </c>
      <c r="D574" s="3482">
        <v>29.63</v>
      </c>
    </row>
    <row r="575" spans="1:4">
      <c r="A575" s="3536">
        <v>574</v>
      </c>
      <c r="B575" s="3481" t="s">
        <v>6146</v>
      </c>
      <c r="C575" s="3481" t="s">
        <v>5305</v>
      </c>
      <c r="D575" s="3482">
        <v>97.11</v>
      </c>
    </row>
    <row r="576" spans="1:4">
      <c r="A576" s="3536">
        <v>575</v>
      </c>
      <c r="B576" s="3481" t="s">
        <v>6147</v>
      </c>
      <c r="C576" s="3481" t="s">
        <v>3338</v>
      </c>
      <c r="D576" s="3482">
        <v>29.1</v>
      </c>
    </row>
    <row r="577" spans="1:4">
      <c r="A577" s="3536">
        <v>576</v>
      </c>
      <c r="B577" s="3481" t="s">
        <v>6148</v>
      </c>
      <c r="C577" s="3481" t="s">
        <v>3338</v>
      </c>
      <c r="D577" s="3482">
        <v>246.73</v>
      </c>
    </row>
    <row r="578" spans="1:4">
      <c r="A578" s="3536">
        <v>577</v>
      </c>
      <c r="B578" s="3481" t="s">
        <v>6149</v>
      </c>
      <c r="C578" s="3481" t="s">
        <v>3338</v>
      </c>
      <c r="D578" s="3482">
        <v>269.91000000000003</v>
      </c>
    </row>
    <row r="579" spans="1:4">
      <c r="A579" s="3536">
        <v>578</v>
      </c>
      <c r="B579" s="3481" t="s">
        <v>6150</v>
      </c>
      <c r="C579" s="3481" t="s">
        <v>3395</v>
      </c>
      <c r="D579" s="3482">
        <v>97.11</v>
      </c>
    </row>
    <row r="580" spans="1:4">
      <c r="A580" s="3536">
        <v>579</v>
      </c>
      <c r="B580" s="3481" t="s">
        <v>6151</v>
      </c>
      <c r="C580" s="3481" t="s">
        <v>3338</v>
      </c>
      <c r="D580" s="3482">
        <v>29.1</v>
      </c>
    </row>
    <row r="581" spans="1:4">
      <c r="A581" s="3536">
        <v>580</v>
      </c>
      <c r="B581" s="3481" t="s">
        <v>6152</v>
      </c>
      <c r="C581" s="3481" t="s">
        <v>5305</v>
      </c>
      <c r="D581" s="3482">
        <v>97.11</v>
      </c>
    </row>
    <row r="582" spans="1:4">
      <c r="A582" s="3536">
        <v>581</v>
      </c>
      <c r="B582" s="3481" t="s">
        <v>6153</v>
      </c>
      <c r="C582" s="3481" t="s">
        <v>3338</v>
      </c>
      <c r="D582" s="3482">
        <v>29.1</v>
      </c>
    </row>
    <row r="583" spans="1:4">
      <c r="A583" s="3536">
        <v>582</v>
      </c>
      <c r="B583" s="3481" t="s">
        <v>6154</v>
      </c>
      <c r="C583" s="3481" t="s">
        <v>3338</v>
      </c>
      <c r="D583" s="3482">
        <v>246.08</v>
      </c>
    </row>
    <row r="584" spans="1:4">
      <c r="A584" s="3536">
        <v>583</v>
      </c>
      <c r="B584" s="3481" t="s">
        <v>6155</v>
      </c>
      <c r="C584" s="3481" t="s">
        <v>3338</v>
      </c>
      <c r="D584" s="3482">
        <v>269.91000000000003</v>
      </c>
    </row>
    <row r="585" spans="1:4">
      <c r="A585" s="3536">
        <v>584</v>
      </c>
      <c r="B585" s="3481" t="s">
        <v>6156</v>
      </c>
      <c r="C585" s="3481" t="s">
        <v>3395</v>
      </c>
      <c r="D585" s="3482">
        <v>97.11</v>
      </c>
    </row>
    <row r="586" spans="1:4">
      <c r="A586" s="3536">
        <v>585</v>
      </c>
      <c r="B586" s="3481" t="s">
        <v>6157</v>
      </c>
      <c r="C586" s="3481" t="s">
        <v>3338</v>
      </c>
      <c r="D586" s="3482">
        <v>29.1</v>
      </c>
    </row>
    <row r="587" spans="1:4">
      <c r="A587" s="3536">
        <v>586</v>
      </c>
      <c r="B587" s="3481" t="s">
        <v>6158</v>
      </c>
      <c r="C587" s="3481" t="s">
        <v>5305</v>
      </c>
      <c r="D587" s="3482">
        <v>97.11</v>
      </c>
    </row>
    <row r="588" spans="1:4">
      <c r="A588" s="3536">
        <v>587</v>
      </c>
      <c r="B588" s="3481" t="s">
        <v>6159</v>
      </c>
      <c r="C588" s="3481" t="s">
        <v>3338</v>
      </c>
      <c r="D588" s="3482">
        <v>29.89</v>
      </c>
    </row>
    <row r="589" spans="1:4">
      <c r="A589" s="3536">
        <v>588</v>
      </c>
      <c r="B589" s="3481" t="s">
        <v>6160</v>
      </c>
      <c r="C589" s="3481" t="s">
        <v>3338</v>
      </c>
      <c r="D589" s="3482">
        <v>246.08</v>
      </c>
    </row>
    <row r="590" spans="1:4">
      <c r="A590" s="3536">
        <v>589</v>
      </c>
      <c r="B590" s="3481" t="s">
        <v>6161</v>
      </c>
      <c r="C590" s="3481" t="s">
        <v>3338</v>
      </c>
      <c r="D590" s="3482">
        <v>274.2</v>
      </c>
    </row>
    <row r="591" spans="1:4">
      <c r="A591" s="3536">
        <v>590</v>
      </c>
      <c r="B591" s="3481" t="s">
        <v>6162</v>
      </c>
      <c r="C591" s="3481" t="s">
        <v>3395</v>
      </c>
      <c r="D591" s="3482">
        <v>97.11</v>
      </c>
    </row>
    <row r="592" spans="1:4">
      <c r="A592" s="3536">
        <v>591</v>
      </c>
      <c r="B592" s="3481" t="s">
        <v>6163</v>
      </c>
      <c r="C592" s="3481" t="s">
        <v>3338</v>
      </c>
      <c r="D592" s="3482">
        <v>29.89</v>
      </c>
    </row>
    <row r="593" spans="1:4">
      <c r="A593" s="3536">
        <v>592</v>
      </c>
      <c r="B593" s="3481" t="s">
        <v>6164</v>
      </c>
      <c r="C593" s="3481" t="s">
        <v>5305</v>
      </c>
      <c r="D593" s="3482">
        <v>97.11</v>
      </c>
    </row>
    <row r="594" spans="1:4">
      <c r="A594" s="3536">
        <v>593</v>
      </c>
      <c r="B594" s="3481" t="s">
        <v>6165</v>
      </c>
      <c r="C594" s="3481" t="s">
        <v>3338</v>
      </c>
      <c r="D594" s="3482">
        <v>29.1</v>
      </c>
    </row>
    <row r="595" spans="1:4">
      <c r="A595" s="3536">
        <v>594</v>
      </c>
      <c r="B595" s="3481" t="s">
        <v>6166</v>
      </c>
      <c r="C595" s="3481" t="s">
        <v>3338</v>
      </c>
      <c r="D595" s="3482">
        <v>250.37</v>
      </c>
    </row>
    <row r="596" spans="1:4">
      <c r="A596" s="3536">
        <v>595</v>
      </c>
      <c r="B596" s="3481" t="s">
        <v>6167</v>
      </c>
      <c r="C596" s="3481" t="s">
        <v>5305</v>
      </c>
      <c r="D596" s="3482">
        <v>85.56</v>
      </c>
    </row>
    <row r="597" spans="1:4">
      <c r="A597" s="3536">
        <v>596</v>
      </c>
      <c r="B597" s="3481" t="s">
        <v>6168</v>
      </c>
      <c r="C597" s="3481" t="s">
        <v>3338</v>
      </c>
      <c r="D597" s="3482">
        <v>269.91000000000003</v>
      </c>
    </row>
    <row r="598" spans="1:4">
      <c r="A598" s="3536">
        <v>597</v>
      </c>
      <c r="B598" s="3481" t="s">
        <v>6767</v>
      </c>
      <c r="C598" s="3481" t="s">
        <v>3395</v>
      </c>
      <c r="D598" s="3482">
        <v>85.56</v>
      </c>
    </row>
    <row r="599" spans="1:4">
      <c r="A599" s="3536">
        <v>598</v>
      </c>
      <c r="B599" s="3481" t="s">
        <v>6169</v>
      </c>
      <c r="C599" s="3481" t="s">
        <v>3395</v>
      </c>
      <c r="D599" s="3482">
        <v>85.56</v>
      </c>
    </row>
    <row r="600" spans="1:4">
      <c r="A600" s="3536">
        <v>599</v>
      </c>
      <c r="B600" s="3481" t="s">
        <v>6170</v>
      </c>
      <c r="C600" s="3481" t="s">
        <v>3395</v>
      </c>
      <c r="D600" s="3482">
        <v>97.11</v>
      </c>
    </row>
    <row r="601" spans="1:4">
      <c r="A601" s="3536">
        <v>600</v>
      </c>
      <c r="B601" s="3481" t="s">
        <v>6171</v>
      </c>
      <c r="C601" s="3481" t="s">
        <v>3338</v>
      </c>
      <c r="D601" s="3482">
        <v>29.1</v>
      </c>
    </row>
    <row r="602" spans="1:4">
      <c r="A602" s="3536">
        <v>601</v>
      </c>
      <c r="B602" s="3481" t="s">
        <v>6172</v>
      </c>
      <c r="C602" s="3481" t="s">
        <v>5305</v>
      </c>
      <c r="D602" s="3482">
        <v>97.11</v>
      </c>
    </row>
    <row r="603" spans="1:4">
      <c r="A603" s="3536">
        <v>602</v>
      </c>
      <c r="B603" s="3481" t="s">
        <v>6173</v>
      </c>
      <c r="C603" s="3481" t="s">
        <v>3338</v>
      </c>
      <c r="D603" s="3482">
        <v>29.1</v>
      </c>
    </row>
    <row r="604" spans="1:4">
      <c r="A604" s="3536">
        <v>603</v>
      </c>
      <c r="B604" s="3481" t="s">
        <v>6174</v>
      </c>
      <c r="C604" s="3481" t="s">
        <v>3338</v>
      </c>
      <c r="D604" s="3482">
        <v>246.08</v>
      </c>
    </row>
    <row r="605" spans="1:4">
      <c r="A605" s="3536">
        <v>604</v>
      </c>
      <c r="B605" s="3481" t="s">
        <v>6175</v>
      </c>
      <c r="C605" s="3481" t="s">
        <v>3338</v>
      </c>
      <c r="D605" s="3482">
        <v>269.91000000000003</v>
      </c>
    </row>
    <row r="606" spans="1:4">
      <c r="A606" s="3536">
        <v>605</v>
      </c>
      <c r="B606" s="3481" t="s">
        <v>6768</v>
      </c>
      <c r="C606" s="3481" t="s">
        <v>3395</v>
      </c>
      <c r="D606" s="3482">
        <v>85.56</v>
      </c>
    </row>
    <row r="607" spans="1:4">
      <c r="A607" s="3536">
        <v>606</v>
      </c>
      <c r="B607" s="3481" t="s">
        <v>6769</v>
      </c>
      <c r="C607" s="3481" t="s">
        <v>3395</v>
      </c>
      <c r="D607" s="3482">
        <v>85.56</v>
      </c>
    </row>
    <row r="608" spans="1:4">
      <c r="A608" s="3536">
        <v>607</v>
      </c>
      <c r="B608" s="3481" t="s">
        <v>6176</v>
      </c>
      <c r="C608" s="3481" t="s">
        <v>3395</v>
      </c>
      <c r="D608" s="3482">
        <v>97.11</v>
      </c>
    </row>
    <row r="609" spans="1:4">
      <c r="A609" s="3536">
        <v>608</v>
      </c>
      <c r="B609" s="3481" t="s">
        <v>6177</v>
      </c>
      <c r="C609" s="3481" t="s">
        <v>3338</v>
      </c>
      <c r="D609" s="3482">
        <v>29.1</v>
      </c>
    </row>
    <row r="610" spans="1:4">
      <c r="A610" s="3536">
        <v>609</v>
      </c>
      <c r="B610" s="3481" t="s">
        <v>6178</v>
      </c>
      <c r="C610" s="3481" t="s">
        <v>5305</v>
      </c>
      <c r="D610" s="3482">
        <v>97.49</v>
      </c>
    </row>
    <row r="611" spans="1:4">
      <c r="A611" s="3536">
        <v>610</v>
      </c>
      <c r="B611" s="3481" t="s">
        <v>6179</v>
      </c>
      <c r="C611" s="3481" t="s">
        <v>3338</v>
      </c>
      <c r="D611" s="3482">
        <v>29.63</v>
      </c>
    </row>
    <row r="612" spans="1:4">
      <c r="A612" s="3536">
        <v>611</v>
      </c>
      <c r="B612" s="3481" t="s">
        <v>6180</v>
      </c>
      <c r="C612" s="3481" t="s">
        <v>3338</v>
      </c>
      <c r="D612" s="3482">
        <v>246.08</v>
      </c>
    </row>
    <row r="613" spans="1:4">
      <c r="A613" s="3536">
        <v>612</v>
      </c>
      <c r="B613" s="3481" t="s">
        <v>6181</v>
      </c>
      <c r="C613" s="3481" t="s">
        <v>3338</v>
      </c>
      <c r="D613" s="3482">
        <v>270.54000000000002</v>
      </c>
    </row>
    <row r="614" spans="1:4">
      <c r="A614" s="3536">
        <v>613</v>
      </c>
      <c r="B614" s="3481" t="s">
        <v>6182</v>
      </c>
      <c r="C614" s="3481" t="s">
        <v>5318</v>
      </c>
      <c r="D614" s="3482">
        <v>193.69</v>
      </c>
    </row>
    <row r="615" spans="1:4">
      <c r="A615" s="3536">
        <v>614</v>
      </c>
      <c r="B615" s="3481" t="s">
        <v>6183</v>
      </c>
      <c r="C615" s="3481" t="s">
        <v>3338</v>
      </c>
      <c r="D615" s="3482">
        <v>12.79</v>
      </c>
    </row>
    <row r="616" spans="1:4">
      <c r="A616" s="3536">
        <v>615</v>
      </c>
      <c r="B616" s="3481" t="s">
        <v>6184</v>
      </c>
      <c r="C616" s="3481" t="s">
        <v>5305</v>
      </c>
      <c r="D616" s="3482">
        <v>73.400000000000006</v>
      </c>
    </row>
    <row r="617" spans="1:4">
      <c r="A617" s="3536">
        <v>616</v>
      </c>
      <c r="B617" s="3481" t="s">
        <v>6185</v>
      </c>
      <c r="C617" s="3481" t="s">
        <v>3338</v>
      </c>
      <c r="D617" s="3482">
        <v>100.23</v>
      </c>
    </row>
    <row r="618" spans="1:4">
      <c r="A618" s="3536">
        <v>617</v>
      </c>
      <c r="B618" s="3481" t="s">
        <v>6186</v>
      </c>
      <c r="C618" s="3481" t="s">
        <v>5305</v>
      </c>
      <c r="D618" s="3482">
        <v>73.02</v>
      </c>
    </row>
    <row r="619" spans="1:4">
      <c r="A619" s="3536">
        <v>618</v>
      </c>
      <c r="B619" s="3481" t="s">
        <v>6187</v>
      </c>
      <c r="C619" s="3481" t="s">
        <v>3338</v>
      </c>
      <c r="D619" s="3482">
        <v>98.81</v>
      </c>
    </row>
    <row r="620" spans="1:4">
      <c r="A620" s="3536">
        <v>619</v>
      </c>
      <c r="B620" s="3481" t="s">
        <v>6188</v>
      </c>
      <c r="C620" s="3481" t="s">
        <v>5318</v>
      </c>
      <c r="D620" s="3482">
        <v>192.75</v>
      </c>
    </row>
    <row r="621" spans="1:4">
      <c r="A621" s="3536">
        <v>620</v>
      </c>
      <c r="B621" s="3481" t="s">
        <v>6189</v>
      </c>
      <c r="C621" s="3481" t="s">
        <v>3338</v>
      </c>
      <c r="D621" s="3482">
        <v>12.79</v>
      </c>
    </row>
    <row r="622" spans="1:4">
      <c r="A622" s="3536">
        <v>621</v>
      </c>
      <c r="B622" s="3481" t="s">
        <v>6190</v>
      </c>
      <c r="C622" s="3481" t="s">
        <v>3338</v>
      </c>
      <c r="D622" s="3482">
        <v>54.63</v>
      </c>
    </row>
    <row r="623" spans="1:4">
      <c r="A623" s="3536">
        <v>622</v>
      </c>
      <c r="B623" s="3481" t="s">
        <v>6191</v>
      </c>
      <c r="C623" s="3481" t="s">
        <v>3338</v>
      </c>
      <c r="D623" s="3482">
        <v>191.71</v>
      </c>
    </row>
    <row r="624" spans="1:4">
      <c r="A624" s="3536">
        <v>623</v>
      </c>
      <c r="B624" s="3481" t="s">
        <v>6192</v>
      </c>
      <c r="C624" s="3481" t="s">
        <v>3338</v>
      </c>
      <c r="D624" s="3482">
        <v>190.29</v>
      </c>
    </row>
    <row r="625" spans="1:4">
      <c r="A625" s="3536">
        <v>624</v>
      </c>
      <c r="B625" s="3481" t="s">
        <v>6193</v>
      </c>
      <c r="C625" s="3481" t="s">
        <v>3338</v>
      </c>
      <c r="D625" s="3482">
        <v>54.08</v>
      </c>
    </row>
    <row r="626" spans="1:4">
      <c r="A626" s="3536">
        <v>625</v>
      </c>
      <c r="B626" s="3481" t="s">
        <v>6809</v>
      </c>
      <c r="C626" s="3481" t="s">
        <v>3395</v>
      </c>
      <c r="D626" s="3482">
        <v>83.5</v>
      </c>
    </row>
    <row r="627" spans="1:4">
      <c r="A627" s="3536">
        <v>626</v>
      </c>
      <c r="B627" s="3481" t="s">
        <v>6194</v>
      </c>
      <c r="C627" s="3481" t="s">
        <v>5318</v>
      </c>
      <c r="D627" s="3482">
        <v>178.21</v>
      </c>
    </row>
    <row r="628" spans="1:4">
      <c r="A628" s="3536">
        <v>627</v>
      </c>
      <c r="B628" s="3481" t="s">
        <v>6195</v>
      </c>
      <c r="C628" s="3481" t="s">
        <v>3338</v>
      </c>
      <c r="D628" s="3482">
        <v>26.11</v>
      </c>
    </row>
    <row r="629" spans="1:4">
      <c r="A629" s="3536">
        <v>628</v>
      </c>
      <c r="B629" s="3481" t="s">
        <v>6196</v>
      </c>
      <c r="C629" s="3481" t="s">
        <v>5305</v>
      </c>
      <c r="D629" s="3482">
        <v>73.02</v>
      </c>
    </row>
    <row r="630" spans="1:4">
      <c r="A630" s="3536">
        <v>629</v>
      </c>
      <c r="B630" s="3481" t="s">
        <v>6197</v>
      </c>
      <c r="C630" s="3481" t="s">
        <v>3338</v>
      </c>
      <c r="D630" s="3482">
        <v>98.91</v>
      </c>
    </row>
    <row r="631" spans="1:4">
      <c r="A631" s="3536">
        <v>630</v>
      </c>
      <c r="B631" s="3481" t="s">
        <v>6198</v>
      </c>
      <c r="C631" s="3481" t="s">
        <v>5305</v>
      </c>
      <c r="D631" s="3482">
        <v>73.02</v>
      </c>
    </row>
    <row r="632" spans="1:4">
      <c r="A632" s="3536">
        <v>631</v>
      </c>
      <c r="B632" s="3481" t="s">
        <v>6199</v>
      </c>
      <c r="C632" s="3481" t="s">
        <v>3338</v>
      </c>
      <c r="D632" s="3482">
        <v>100.88</v>
      </c>
    </row>
    <row r="633" spans="1:4">
      <c r="A633" s="3536">
        <v>632</v>
      </c>
      <c r="B633" s="3481" t="s">
        <v>6200</v>
      </c>
      <c r="C633" s="3481" t="s">
        <v>5318</v>
      </c>
      <c r="D633" s="3482">
        <v>179.46</v>
      </c>
    </row>
    <row r="634" spans="1:4">
      <c r="A634" s="3536">
        <v>633</v>
      </c>
      <c r="B634" s="3481" t="s">
        <v>6201</v>
      </c>
      <c r="C634" s="3481" t="s">
        <v>3338</v>
      </c>
      <c r="D634" s="3482">
        <v>26.59</v>
      </c>
    </row>
    <row r="635" spans="1:4">
      <c r="A635" s="3536">
        <v>634</v>
      </c>
      <c r="B635" s="3481" t="s">
        <v>6202</v>
      </c>
      <c r="C635" s="3481" t="s">
        <v>3338</v>
      </c>
      <c r="D635" s="3482">
        <v>28.8</v>
      </c>
    </row>
    <row r="636" spans="1:4">
      <c r="A636" s="3536">
        <v>635</v>
      </c>
      <c r="B636" s="3481" t="s">
        <v>6203</v>
      </c>
      <c r="C636" s="3481" t="s">
        <v>3338</v>
      </c>
      <c r="D636" s="3482">
        <v>185.29</v>
      </c>
    </row>
    <row r="637" spans="1:4">
      <c r="A637" s="3536">
        <v>636</v>
      </c>
      <c r="B637" s="3481" t="s">
        <v>6204</v>
      </c>
      <c r="C637" s="3481" t="s">
        <v>3338</v>
      </c>
      <c r="D637" s="3482">
        <v>194.23</v>
      </c>
    </row>
    <row r="638" spans="1:4">
      <c r="A638" s="3536">
        <v>637</v>
      </c>
      <c r="B638" s="3481" t="s">
        <v>6205</v>
      </c>
      <c r="C638" s="3481" t="s">
        <v>3338</v>
      </c>
      <c r="D638" s="3482">
        <v>28.8</v>
      </c>
    </row>
    <row r="639" spans="1:4">
      <c r="A639" s="3536">
        <v>638</v>
      </c>
      <c r="B639" s="3481" t="s">
        <v>6206</v>
      </c>
      <c r="C639" s="3481" t="s">
        <v>5318</v>
      </c>
      <c r="D639" s="3482">
        <v>193.22</v>
      </c>
    </row>
    <row r="640" spans="1:4">
      <c r="A640" s="3536">
        <v>639</v>
      </c>
      <c r="B640" s="3481" t="s">
        <v>6207</v>
      </c>
      <c r="C640" s="3481" t="s">
        <v>3338</v>
      </c>
      <c r="D640" s="3482">
        <v>12.79</v>
      </c>
    </row>
    <row r="641" spans="1:4">
      <c r="A641" s="3536">
        <v>640</v>
      </c>
      <c r="B641" s="3481" t="s">
        <v>6208</v>
      </c>
      <c r="C641" s="3481" t="s">
        <v>5305</v>
      </c>
      <c r="D641" s="3482">
        <v>73.02</v>
      </c>
    </row>
    <row r="642" spans="1:4">
      <c r="A642" s="3536">
        <v>641</v>
      </c>
      <c r="B642" s="3481" t="s">
        <v>6209</v>
      </c>
      <c r="C642" s="3481" t="s">
        <v>3338</v>
      </c>
      <c r="D642" s="3482">
        <v>100.88</v>
      </c>
    </row>
    <row r="643" spans="1:4">
      <c r="A643" s="3536">
        <v>642</v>
      </c>
      <c r="B643" s="3481" t="s">
        <v>6210</v>
      </c>
      <c r="C643" s="3481" t="s">
        <v>5305</v>
      </c>
      <c r="D643" s="3482">
        <v>73.02</v>
      </c>
    </row>
    <row r="644" spans="1:4">
      <c r="A644" s="3536">
        <v>643</v>
      </c>
      <c r="B644" s="3481" t="s">
        <v>6211</v>
      </c>
      <c r="C644" s="3481" t="s">
        <v>3338</v>
      </c>
      <c r="D644" s="3482">
        <v>98.81</v>
      </c>
    </row>
    <row r="645" spans="1:4">
      <c r="A645" s="3536">
        <v>644</v>
      </c>
      <c r="B645" s="3481" t="s">
        <v>6212</v>
      </c>
      <c r="C645" s="3481" t="s">
        <v>5318</v>
      </c>
      <c r="D645" s="3482">
        <v>192.75</v>
      </c>
    </row>
    <row r="646" spans="1:4">
      <c r="A646" s="3536">
        <v>645</v>
      </c>
      <c r="B646" s="3481" t="s">
        <v>6213</v>
      </c>
      <c r="C646" s="3481" t="s">
        <v>3338</v>
      </c>
      <c r="D646" s="3482">
        <v>12.79</v>
      </c>
    </row>
    <row r="647" spans="1:4">
      <c r="A647" s="3536">
        <v>646</v>
      </c>
      <c r="B647" s="3481" t="s">
        <v>6214</v>
      </c>
      <c r="C647" s="3481" t="s">
        <v>3338</v>
      </c>
      <c r="D647" s="3482">
        <v>55.75</v>
      </c>
    </row>
    <row r="648" spans="1:4">
      <c r="A648" s="3536">
        <v>647</v>
      </c>
      <c r="B648" s="3481" t="s">
        <v>6215</v>
      </c>
      <c r="C648" s="3481" t="s">
        <v>3338</v>
      </c>
      <c r="D648" s="3482">
        <v>194.23</v>
      </c>
    </row>
    <row r="649" spans="1:4">
      <c r="A649" s="3536">
        <v>648</v>
      </c>
      <c r="B649" s="3481" t="s">
        <v>6216</v>
      </c>
      <c r="C649" s="3481" t="s">
        <v>3338</v>
      </c>
      <c r="D649" s="3482">
        <v>190.29</v>
      </c>
    </row>
    <row r="650" spans="1:4">
      <c r="A650" s="3536">
        <v>649</v>
      </c>
      <c r="B650" s="3481" t="s">
        <v>6217</v>
      </c>
      <c r="C650" s="3481" t="s">
        <v>3338</v>
      </c>
      <c r="D650" s="3482">
        <v>54.08</v>
      </c>
    </row>
    <row r="651" spans="1:4">
      <c r="A651" s="3536">
        <v>650</v>
      </c>
      <c r="B651" s="3481" t="s">
        <v>6218</v>
      </c>
      <c r="C651" s="3481" t="s">
        <v>5318</v>
      </c>
      <c r="D651" s="3482">
        <v>178.21</v>
      </c>
    </row>
    <row r="652" spans="1:4">
      <c r="A652" s="3536">
        <v>651</v>
      </c>
      <c r="B652" s="3481" t="s">
        <v>6219</v>
      </c>
      <c r="C652" s="3481" t="s">
        <v>3338</v>
      </c>
      <c r="D652" s="3482">
        <v>26.11</v>
      </c>
    </row>
    <row r="653" spans="1:4">
      <c r="A653" s="3536">
        <v>652</v>
      </c>
      <c r="B653" s="3481" t="s">
        <v>6220</v>
      </c>
      <c r="C653" s="3481" t="s">
        <v>5305</v>
      </c>
      <c r="D653" s="3482">
        <v>73.02</v>
      </c>
    </row>
    <row r="654" spans="1:4">
      <c r="A654" s="3536">
        <v>653</v>
      </c>
      <c r="B654" s="3481" t="s">
        <v>6221</v>
      </c>
      <c r="C654" s="3481" t="s">
        <v>3338</v>
      </c>
      <c r="D654" s="3482">
        <v>98.91</v>
      </c>
    </row>
    <row r="655" spans="1:4">
      <c r="A655" s="3536">
        <v>654</v>
      </c>
      <c r="B655" s="3481" t="s">
        <v>6222</v>
      </c>
      <c r="C655" s="3481" t="s">
        <v>5305</v>
      </c>
      <c r="D655" s="3482">
        <v>73.02</v>
      </c>
    </row>
    <row r="656" spans="1:4">
      <c r="A656" s="3536">
        <v>655</v>
      </c>
      <c r="B656" s="3481" t="s">
        <v>6223</v>
      </c>
      <c r="C656" s="3481" t="s">
        <v>3338</v>
      </c>
      <c r="D656" s="3482">
        <v>98.81</v>
      </c>
    </row>
    <row r="657" spans="1:4">
      <c r="A657" s="3536">
        <v>656</v>
      </c>
      <c r="B657" s="3481" t="s">
        <v>6224</v>
      </c>
      <c r="C657" s="3481" t="s">
        <v>5318</v>
      </c>
      <c r="D657" s="3482">
        <v>178.21</v>
      </c>
    </row>
    <row r="658" spans="1:4">
      <c r="A658" s="3536">
        <v>657</v>
      </c>
      <c r="B658" s="3481" t="s">
        <v>6225</v>
      </c>
      <c r="C658" s="3481" t="s">
        <v>3338</v>
      </c>
      <c r="D658" s="3482">
        <v>26.11</v>
      </c>
    </row>
    <row r="659" spans="1:4">
      <c r="A659" s="3536">
        <v>658</v>
      </c>
      <c r="B659" s="3481" t="s">
        <v>6226</v>
      </c>
      <c r="C659" s="3481" t="s">
        <v>3338</v>
      </c>
      <c r="D659" s="3482">
        <v>28.8</v>
      </c>
    </row>
    <row r="660" spans="1:4">
      <c r="A660" s="3536">
        <v>659</v>
      </c>
      <c r="B660" s="3481" t="s">
        <v>6227</v>
      </c>
      <c r="C660" s="3481" t="s">
        <v>3338</v>
      </c>
      <c r="D660" s="3482">
        <v>185.29</v>
      </c>
    </row>
    <row r="661" spans="1:4">
      <c r="A661" s="3536">
        <v>660</v>
      </c>
      <c r="B661" s="3481" t="s">
        <v>6228</v>
      </c>
      <c r="C661" s="3481" t="s">
        <v>3338</v>
      </c>
      <c r="D661" s="3482">
        <v>190.29</v>
      </c>
    </row>
    <row r="662" spans="1:4">
      <c r="A662" s="3536">
        <v>661</v>
      </c>
      <c r="B662" s="3481" t="s">
        <v>6229</v>
      </c>
      <c r="C662" s="3481" t="s">
        <v>3338</v>
      </c>
      <c r="D662" s="3482">
        <v>28.8</v>
      </c>
    </row>
    <row r="663" spans="1:4">
      <c r="A663" s="3536">
        <v>662</v>
      </c>
      <c r="B663" s="3481" t="s">
        <v>6230</v>
      </c>
      <c r="C663" s="3481" t="s">
        <v>5318</v>
      </c>
      <c r="D663" s="3482">
        <v>222.58</v>
      </c>
    </row>
    <row r="664" spans="1:4">
      <c r="A664" s="3536">
        <v>663</v>
      </c>
      <c r="B664" s="3481" t="s">
        <v>6231</v>
      </c>
      <c r="C664" s="3481" t="s">
        <v>3338</v>
      </c>
      <c r="D664" s="3482">
        <v>18.149999999999999</v>
      </c>
    </row>
    <row r="665" spans="1:4">
      <c r="A665" s="3536">
        <v>664</v>
      </c>
      <c r="B665" s="3481" t="s">
        <v>6232</v>
      </c>
      <c r="C665" s="3481" t="s">
        <v>5305</v>
      </c>
      <c r="D665" s="3482">
        <v>73.02</v>
      </c>
    </row>
    <row r="666" spans="1:4">
      <c r="A666" s="3536">
        <v>665</v>
      </c>
      <c r="B666" s="3481" t="s">
        <v>6233</v>
      </c>
      <c r="C666" s="3481" t="s">
        <v>3338</v>
      </c>
      <c r="D666" s="3482">
        <v>98.81</v>
      </c>
    </row>
    <row r="667" spans="1:4">
      <c r="A667" s="3536">
        <v>666</v>
      </c>
      <c r="B667" s="3481" t="s">
        <v>6234</v>
      </c>
      <c r="C667" s="3481" t="s">
        <v>5305</v>
      </c>
      <c r="D667" s="3482">
        <v>73.400000000000006</v>
      </c>
    </row>
    <row r="668" spans="1:4">
      <c r="A668" s="3536">
        <v>667</v>
      </c>
      <c r="B668" s="3481" t="s">
        <v>6235</v>
      </c>
      <c r="C668" s="3481" t="s">
        <v>3338</v>
      </c>
      <c r="D668" s="3482">
        <v>100.23</v>
      </c>
    </row>
    <row r="669" spans="1:4">
      <c r="A669" s="3536">
        <v>668</v>
      </c>
      <c r="B669" s="3481" t="s">
        <v>6236</v>
      </c>
      <c r="C669" s="3481" t="s">
        <v>5318</v>
      </c>
      <c r="D669" s="3482">
        <v>179.41</v>
      </c>
    </row>
    <row r="670" spans="1:4">
      <c r="A670" s="3536">
        <v>669</v>
      </c>
      <c r="B670" s="3481" t="s">
        <v>6237</v>
      </c>
      <c r="C670" s="3481" t="s">
        <v>3338</v>
      </c>
      <c r="D670" s="3482">
        <v>12.79</v>
      </c>
    </row>
    <row r="671" spans="1:4">
      <c r="A671" s="3536">
        <v>670</v>
      </c>
      <c r="B671" s="3481" t="s">
        <v>6238</v>
      </c>
      <c r="C671" s="3481" t="s">
        <v>3338</v>
      </c>
      <c r="D671" s="3482">
        <v>190.29</v>
      </c>
    </row>
    <row r="672" spans="1:4">
      <c r="A672" s="3536">
        <v>671</v>
      </c>
      <c r="B672" s="3481" t="s">
        <v>6239</v>
      </c>
      <c r="C672" s="3481" t="s">
        <v>3338</v>
      </c>
      <c r="D672" s="3482">
        <v>191.71</v>
      </c>
    </row>
    <row r="673" spans="1:4">
      <c r="A673" s="3536">
        <v>672</v>
      </c>
      <c r="B673" s="3481" t="s">
        <v>6240</v>
      </c>
      <c r="C673" s="3481" t="s">
        <v>3338</v>
      </c>
      <c r="D673" s="3482">
        <v>28.8</v>
      </c>
    </row>
    <row r="674" spans="1:4">
      <c r="A674" s="3536">
        <v>673</v>
      </c>
      <c r="B674" s="3481" t="s">
        <v>6241</v>
      </c>
      <c r="C674" s="3481" t="s">
        <v>5305</v>
      </c>
      <c r="D674" s="3482">
        <v>72.989999999999995</v>
      </c>
    </row>
    <row r="675" spans="1:4">
      <c r="A675" s="3536">
        <v>674</v>
      </c>
      <c r="B675" s="3481" t="s">
        <v>6242</v>
      </c>
      <c r="C675" s="3481" t="s">
        <v>3338</v>
      </c>
      <c r="D675" s="3482">
        <v>97.25</v>
      </c>
    </row>
    <row r="676" spans="1:4">
      <c r="A676" s="3536">
        <v>675</v>
      </c>
      <c r="B676" s="3481" t="s">
        <v>6243</v>
      </c>
      <c r="C676" s="3481" t="s">
        <v>3338</v>
      </c>
      <c r="D676" s="3482">
        <v>182.11</v>
      </c>
    </row>
    <row r="677" spans="1:4">
      <c r="A677" s="3536">
        <v>676</v>
      </c>
      <c r="B677" s="3481" t="s">
        <v>6244</v>
      </c>
      <c r="C677" s="3481" t="s">
        <v>5305</v>
      </c>
      <c r="D677" s="3482">
        <v>72.989999999999995</v>
      </c>
    </row>
    <row r="678" spans="1:4">
      <c r="A678" s="3536">
        <v>677</v>
      </c>
      <c r="B678" s="3481" t="s">
        <v>6245</v>
      </c>
      <c r="C678" s="3481" t="s">
        <v>3338</v>
      </c>
      <c r="D678" s="3482">
        <v>99.19</v>
      </c>
    </row>
    <row r="679" spans="1:4">
      <c r="A679" s="3536">
        <v>678</v>
      </c>
      <c r="B679" s="3481" t="s">
        <v>6246</v>
      </c>
      <c r="C679" s="3481" t="s">
        <v>3338</v>
      </c>
      <c r="D679" s="3482">
        <v>190.89</v>
      </c>
    </row>
    <row r="680" spans="1:4">
      <c r="A680" s="3536">
        <v>679</v>
      </c>
      <c r="B680" s="3481" t="s">
        <v>6247</v>
      </c>
      <c r="C680" s="3481" t="s">
        <v>5318</v>
      </c>
      <c r="D680" s="3482">
        <v>193.15</v>
      </c>
    </row>
    <row r="681" spans="1:4">
      <c r="A681" s="3536">
        <v>680</v>
      </c>
      <c r="B681" s="3481" t="s">
        <v>6248</v>
      </c>
      <c r="C681" s="3481" t="s">
        <v>3338</v>
      </c>
      <c r="D681" s="3482">
        <v>12.54</v>
      </c>
    </row>
    <row r="682" spans="1:4">
      <c r="A682" s="3536">
        <v>681</v>
      </c>
      <c r="B682" s="3481" t="s">
        <v>6249</v>
      </c>
      <c r="C682" s="3481" t="s">
        <v>5305</v>
      </c>
      <c r="D682" s="3482">
        <v>72.989999999999995</v>
      </c>
    </row>
    <row r="683" spans="1:4">
      <c r="A683" s="3536">
        <v>682</v>
      </c>
      <c r="B683" s="3481" t="s">
        <v>6250</v>
      </c>
      <c r="C683" s="3481" t="s">
        <v>3338</v>
      </c>
      <c r="D683" s="3482">
        <v>99.19</v>
      </c>
    </row>
    <row r="684" spans="1:4">
      <c r="A684" s="3536">
        <v>683</v>
      </c>
      <c r="B684" s="3481" t="s">
        <v>6251</v>
      </c>
      <c r="C684" s="3481" t="s">
        <v>5305</v>
      </c>
      <c r="D684" s="3482">
        <v>72.989999999999995</v>
      </c>
    </row>
    <row r="685" spans="1:4">
      <c r="A685" s="3536">
        <v>684</v>
      </c>
      <c r="B685" s="3481" t="s">
        <v>6252</v>
      </c>
      <c r="C685" s="3481" t="s">
        <v>3338</v>
      </c>
      <c r="D685" s="3482">
        <v>97.15</v>
      </c>
    </row>
    <row r="686" spans="1:4">
      <c r="A686" s="3536">
        <v>685</v>
      </c>
      <c r="B686" s="3481" t="s">
        <v>6253</v>
      </c>
      <c r="C686" s="3481" t="s">
        <v>5318</v>
      </c>
      <c r="D686" s="3482">
        <v>192.68</v>
      </c>
    </row>
    <row r="687" spans="1:4">
      <c r="A687" s="3536">
        <v>686</v>
      </c>
      <c r="B687" s="3481" t="s">
        <v>6254</v>
      </c>
      <c r="C687" s="3481" t="s">
        <v>3338</v>
      </c>
      <c r="D687" s="3482">
        <v>12.54</v>
      </c>
    </row>
    <row r="688" spans="1:4">
      <c r="A688" s="3536">
        <v>687</v>
      </c>
      <c r="B688" s="3481" t="s">
        <v>6255</v>
      </c>
      <c r="C688" s="3481" t="s">
        <v>3338</v>
      </c>
      <c r="D688" s="3482">
        <v>54.8</v>
      </c>
    </row>
    <row r="689" spans="1:4">
      <c r="A689" s="3536">
        <v>688</v>
      </c>
      <c r="B689" s="3481" t="s">
        <v>6256</v>
      </c>
      <c r="C689" s="3481" t="s">
        <v>3338</v>
      </c>
      <c r="D689" s="3482">
        <v>190.89</v>
      </c>
    </row>
    <row r="690" spans="1:4">
      <c r="A690" s="3536">
        <v>689</v>
      </c>
      <c r="B690" s="3481" t="s">
        <v>6257</v>
      </c>
      <c r="C690" s="3481" t="s">
        <v>3338</v>
      </c>
      <c r="D690" s="3482">
        <v>187.02</v>
      </c>
    </row>
    <row r="691" spans="1:4">
      <c r="A691" s="3536">
        <v>690</v>
      </c>
      <c r="B691" s="3481" t="s">
        <v>6258</v>
      </c>
      <c r="C691" s="3481" t="s">
        <v>3338</v>
      </c>
      <c r="D691" s="3482">
        <v>53.15</v>
      </c>
    </row>
    <row r="692" spans="1:4">
      <c r="A692" s="3536">
        <v>691</v>
      </c>
      <c r="B692" s="3481" t="s">
        <v>6259</v>
      </c>
      <c r="C692" s="3481" t="s">
        <v>3395</v>
      </c>
      <c r="D692" s="3482">
        <v>83.46</v>
      </c>
    </row>
    <row r="693" spans="1:4">
      <c r="A693" s="3536">
        <v>692</v>
      </c>
      <c r="B693" s="3481" t="s">
        <v>6260</v>
      </c>
      <c r="C693" s="3481" t="s">
        <v>5318</v>
      </c>
      <c r="D693" s="3482">
        <v>178.14</v>
      </c>
    </row>
    <row r="694" spans="1:4">
      <c r="A694" s="3536">
        <v>693</v>
      </c>
      <c r="B694" s="3481" t="s">
        <v>6261</v>
      </c>
      <c r="C694" s="3481" t="s">
        <v>3338</v>
      </c>
      <c r="D694" s="3482">
        <v>25.8</v>
      </c>
    </row>
    <row r="695" spans="1:4">
      <c r="A695" s="3536">
        <v>694</v>
      </c>
      <c r="B695" s="3481" t="s">
        <v>6262</v>
      </c>
      <c r="C695" s="3481" t="s">
        <v>5305</v>
      </c>
      <c r="D695" s="3482">
        <v>72.989999999999995</v>
      </c>
    </row>
    <row r="696" spans="1:4">
      <c r="A696" s="3536">
        <v>695</v>
      </c>
      <c r="B696" s="3481" t="s">
        <v>6263</v>
      </c>
      <c r="C696" s="3481" t="s">
        <v>3338</v>
      </c>
      <c r="D696" s="3482">
        <v>97.25</v>
      </c>
    </row>
    <row r="697" spans="1:4">
      <c r="A697" s="3536">
        <v>696</v>
      </c>
      <c r="B697" s="3481" t="s">
        <v>6264</v>
      </c>
      <c r="C697" s="3481" t="s">
        <v>5305</v>
      </c>
      <c r="D697" s="3482">
        <v>72.989999999999995</v>
      </c>
    </row>
    <row r="698" spans="1:4">
      <c r="A698" s="3536">
        <v>697</v>
      </c>
      <c r="B698" s="3481" t="s">
        <v>6265</v>
      </c>
      <c r="C698" s="3481" t="s">
        <v>3338</v>
      </c>
      <c r="D698" s="3482">
        <v>97.15</v>
      </c>
    </row>
    <row r="699" spans="1:4">
      <c r="A699" s="3536">
        <v>698</v>
      </c>
      <c r="B699" s="3481" t="s">
        <v>6266</v>
      </c>
      <c r="C699" s="3481" t="s">
        <v>5318</v>
      </c>
      <c r="D699" s="3482">
        <v>178.14</v>
      </c>
    </row>
    <row r="700" spans="1:4">
      <c r="A700" s="3536">
        <v>699</v>
      </c>
      <c r="B700" s="3481" t="s">
        <v>6267</v>
      </c>
      <c r="C700" s="3481" t="s">
        <v>3338</v>
      </c>
      <c r="D700" s="3482">
        <v>25.8</v>
      </c>
    </row>
    <row r="701" spans="1:4">
      <c r="A701" s="3536">
        <v>700</v>
      </c>
      <c r="B701" s="3481" t="s">
        <v>6268</v>
      </c>
      <c r="C701" s="3481" t="s">
        <v>3338</v>
      </c>
      <c r="D701" s="3482">
        <v>28.36</v>
      </c>
    </row>
    <row r="702" spans="1:4">
      <c r="A702" s="3536">
        <v>701</v>
      </c>
      <c r="B702" s="3481" t="s">
        <v>6269</v>
      </c>
      <c r="C702" s="3481" t="s">
        <v>3338</v>
      </c>
      <c r="D702" s="3482">
        <v>182.11</v>
      </c>
    </row>
    <row r="703" spans="1:4">
      <c r="A703" s="3536">
        <v>702</v>
      </c>
      <c r="B703" s="3481" t="s">
        <v>6270</v>
      </c>
      <c r="C703" s="3481" t="s">
        <v>3338</v>
      </c>
      <c r="D703" s="3482">
        <v>187.02</v>
      </c>
    </row>
    <row r="704" spans="1:4">
      <c r="A704" s="3536">
        <v>703</v>
      </c>
      <c r="B704" s="3481" t="s">
        <v>6271</v>
      </c>
      <c r="C704" s="3481" t="s">
        <v>3338</v>
      </c>
      <c r="D704" s="3482">
        <v>28.36</v>
      </c>
    </row>
    <row r="705" spans="1:4">
      <c r="A705" s="3536">
        <v>704</v>
      </c>
      <c r="B705" s="3481" t="s">
        <v>6272</v>
      </c>
      <c r="C705" s="3481" t="s">
        <v>5318</v>
      </c>
      <c r="D705" s="3482">
        <v>192.68</v>
      </c>
    </row>
    <row r="706" spans="1:4">
      <c r="A706" s="3536">
        <v>705</v>
      </c>
      <c r="B706" s="3481" t="s">
        <v>6273</v>
      </c>
      <c r="C706" s="3481" t="s">
        <v>3338</v>
      </c>
      <c r="D706" s="3482">
        <v>12.54</v>
      </c>
    </row>
    <row r="707" spans="1:4">
      <c r="A707" s="3536">
        <v>706</v>
      </c>
      <c r="B707" s="3481" t="s">
        <v>6274</v>
      </c>
      <c r="C707" s="3481" t="s">
        <v>5305</v>
      </c>
      <c r="D707" s="3482">
        <v>72.989999999999995</v>
      </c>
    </row>
    <row r="708" spans="1:4">
      <c r="A708" s="3536">
        <v>707</v>
      </c>
      <c r="B708" s="3481" t="s">
        <v>6275</v>
      </c>
      <c r="C708" s="3481" t="s">
        <v>3338</v>
      </c>
      <c r="D708" s="3482">
        <v>97.15</v>
      </c>
    </row>
    <row r="709" spans="1:4">
      <c r="A709" s="3536">
        <v>708</v>
      </c>
      <c r="B709" s="3481" t="s">
        <v>6276</v>
      </c>
      <c r="C709" s="3481" t="s">
        <v>5318</v>
      </c>
      <c r="D709" s="3482">
        <v>168.96</v>
      </c>
    </row>
    <row r="710" spans="1:4">
      <c r="A710" s="3536">
        <v>709</v>
      </c>
      <c r="B710" s="3481" t="s">
        <v>6277</v>
      </c>
      <c r="C710" s="3481" t="s">
        <v>3338</v>
      </c>
      <c r="D710" s="3482">
        <v>12.54</v>
      </c>
    </row>
    <row r="711" spans="1:4">
      <c r="A711" s="3536">
        <v>710</v>
      </c>
      <c r="B711" s="3481" t="s">
        <v>6278</v>
      </c>
      <c r="C711" s="3481" t="s">
        <v>3338</v>
      </c>
      <c r="D711" s="3482">
        <v>53.15</v>
      </c>
    </row>
    <row r="712" spans="1:4">
      <c r="A712" s="3536">
        <v>711</v>
      </c>
      <c r="B712" s="3481" t="s">
        <v>6279</v>
      </c>
      <c r="C712" s="3481" t="s">
        <v>3338</v>
      </c>
      <c r="D712" s="3482">
        <v>187.02</v>
      </c>
    </row>
    <row r="713" spans="1:4">
      <c r="A713" s="3536">
        <v>712</v>
      </c>
      <c r="B713" s="3481" t="s">
        <v>6280</v>
      </c>
      <c r="C713" s="3481" t="s">
        <v>3338</v>
      </c>
      <c r="D713" s="3482">
        <v>45.1</v>
      </c>
    </row>
    <row r="714" spans="1:4">
      <c r="A714" s="3536">
        <v>713</v>
      </c>
      <c r="B714" s="3481" t="s">
        <v>6281</v>
      </c>
      <c r="C714" s="3481" t="s">
        <v>5305</v>
      </c>
      <c r="D714" s="3482">
        <v>73.42</v>
      </c>
    </row>
    <row r="715" spans="1:4">
      <c r="A715" s="3536">
        <v>714</v>
      </c>
      <c r="B715" s="3481" t="s">
        <v>6282</v>
      </c>
      <c r="C715" s="3481" t="s">
        <v>3338</v>
      </c>
      <c r="D715" s="3482">
        <v>99.39</v>
      </c>
    </row>
    <row r="716" spans="1:4">
      <c r="A716" s="3536">
        <v>715</v>
      </c>
      <c r="B716" s="3481" t="s">
        <v>6283</v>
      </c>
      <c r="C716" s="3481" t="s">
        <v>5305</v>
      </c>
      <c r="D716" s="3482">
        <v>73.040000000000006</v>
      </c>
    </row>
    <row r="717" spans="1:4">
      <c r="A717" s="3536">
        <v>716</v>
      </c>
      <c r="B717" s="3481" t="s">
        <v>6284</v>
      </c>
      <c r="C717" s="3481" t="s">
        <v>3338</v>
      </c>
      <c r="D717" s="3482">
        <v>97.98</v>
      </c>
    </row>
    <row r="718" spans="1:4">
      <c r="A718" s="3536">
        <v>717</v>
      </c>
      <c r="B718" s="3481" t="s">
        <v>6792</v>
      </c>
      <c r="C718" s="3481" t="s">
        <v>5318</v>
      </c>
      <c r="D718" s="3482">
        <v>192.79</v>
      </c>
    </row>
    <row r="719" spans="1:4">
      <c r="A719" s="3536">
        <v>718</v>
      </c>
      <c r="B719" s="3481" t="s">
        <v>3412</v>
      </c>
      <c r="C719" s="3481" t="s">
        <v>3338</v>
      </c>
      <c r="D719" s="3482">
        <v>12.67</v>
      </c>
    </row>
    <row r="720" spans="1:4">
      <c r="A720" s="3536">
        <v>719</v>
      </c>
      <c r="B720" s="3481" t="s">
        <v>6285</v>
      </c>
      <c r="C720" s="3481" t="s">
        <v>3338</v>
      </c>
      <c r="D720" s="3482">
        <v>190.07</v>
      </c>
    </row>
    <row r="721" spans="1:4">
      <c r="A721" s="3536">
        <v>720</v>
      </c>
      <c r="B721" s="3481" t="s">
        <v>6286</v>
      </c>
      <c r="C721" s="3481" t="s">
        <v>3338</v>
      </c>
      <c r="D721" s="3482">
        <v>188.66</v>
      </c>
    </row>
    <row r="722" spans="1:4">
      <c r="A722" s="3536">
        <v>721</v>
      </c>
      <c r="B722" s="3481" t="s">
        <v>3413</v>
      </c>
      <c r="C722" s="3481" t="s">
        <v>3338</v>
      </c>
      <c r="D722" s="3482">
        <v>53.62</v>
      </c>
    </row>
    <row r="723" spans="1:4">
      <c r="A723" s="3536">
        <v>722</v>
      </c>
      <c r="B723" s="3481" t="s">
        <v>6763</v>
      </c>
      <c r="C723" s="3481" t="s">
        <v>5318</v>
      </c>
      <c r="D723" s="3482">
        <v>179.5</v>
      </c>
    </row>
    <row r="724" spans="1:4">
      <c r="A724" s="3536">
        <v>723</v>
      </c>
      <c r="B724" s="3481" t="s">
        <v>3409</v>
      </c>
      <c r="C724" s="3481" t="s">
        <v>3338</v>
      </c>
      <c r="D724" s="3482">
        <v>26.47</v>
      </c>
    </row>
    <row r="725" spans="1:4">
      <c r="A725" s="3536">
        <v>724</v>
      </c>
      <c r="B725" s="3481" t="s">
        <v>3410</v>
      </c>
      <c r="C725" s="3481" t="s">
        <v>3338</v>
      </c>
      <c r="D725" s="3482">
        <v>28.58</v>
      </c>
    </row>
    <row r="726" spans="1:4">
      <c r="A726" s="3536">
        <v>725</v>
      </c>
      <c r="B726" s="3481" t="s">
        <v>6287</v>
      </c>
      <c r="C726" s="3481" t="s">
        <v>5305</v>
      </c>
      <c r="D726" s="3482">
        <v>73.040000000000006</v>
      </c>
    </row>
    <row r="727" spans="1:4">
      <c r="A727" s="3536">
        <v>726</v>
      </c>
      <c r="B727" s="3481" t="s">
        <v>6288</v>
      </c>
      <c r="C727" s="3481" t="s">
        <v>3338</v>
      </c>
      <c r="D727" s="3482">
        <v>100.04</v>
      </c>
    </row>
    <row r="728" spans="1:4">
      <c r="A728" s="3536">
        <v>727</v>
      </c>
      <c r="B728" s="3481" t="s">
        <v>6289</v>
      </c>
      <c r="C728" s="3481" t="s">
        <v>5305</v>
      </c>
      <c r="D728" s="3482">
        <v>73.040000000000006</v>
      </c>
    </row>
    <row r="729" spans="1:4">
      <c r="A729" s="3536">
        <v>728</v>
      </c>
      <c r="B729" s="3481" t="s">
        <v>6290</v>
      </c>
      <c r="C729" s="3481" t="s">
        <v>3338</v>
      </c>
      <c r="D729" s="3482">
        <v>97.98</v>
      </c>
    </row>
    <row r="730" spans="1:4">
      <c r="A730" s="3536">
        <v>729</v>
      </c>
      <c r="B730" s="3481" t="s">
        <v>6291</v>
      </c>
      <c r="C730" s="3481" t="s">
        <v>5318</v>
      </c>
      <c r="D730" s="3482">
        <v>192.79</v>
      </c>
    </row>
    <row r="731" spans="1:4">
      <c r="A731" s="3536">
        <v>730</v>
      </c>
      <c r="B731" s="3481" t="s">
        <v>6292</v>
      </c>
      <c r="C731" s="3481" t="s">
        <v>3338</v>
      </c>
      <c r="D731" s="3482">
        <v>12.67</v>
      </c>
    </row>
    <row r="732" spans="1:4">
      <c r="A732" s="3536">
        <v>731</v>
      </c>
      <c r="B732" s="3481" t="s">
        <v>6293</v>
      </c>
      <c r="C732" s="3481" t="s">
        <v>3338</v>
      </c>
      <c r="D732" s="3482">
        <v>192.57</v>
      </c>
    </row>
    <row r="733" spans="1:4">
      <c r="A733" s="3536">
        <v>732</v>
      </c>
      <c r="B733" s="3481" t="s">
        <v>6294</v>
      </c>
      <c r="C733" s="3481" t="s">
        <v>3338</v>
      </c>
      <c r="D733" s="3482">
        <v>188.66</v>
      </c>
    </row>
    <row r="734" spans="1:4">
      <c r="A734" s="3536">
        <v>733</v>
      </c>
      <c r="B734" s="3481" t="s">
        <v>6295</v>
      </c>
      <c r="C734" s="3481" t="s">
        <v>3338</v>
      </c>
      <c r="D734" s="3482">
        <v>53.62</v>
      </c>
    </row>
    <row r="735" spans="1:4">
      <c r="A735" s="3536">
        <v>734</v>
      </c>
      <c r="B735" s="3481" t="s">
        <v>6296</v>
      </c>
      <c r="C735" s="3481" t="s">
        <v>5318</v>
      </c>
      <c r="D735" s="3482">
        <v>179.34</v>
      </c>
    </row>
    <row r="736" spans="1:4">
      <c r="A736" s="3536">
        <v>735</v>
      </c>
      <c r="B736" s="3481" t="s">
        <v>6297</v>
      </c>
      <c r="C736" s="3481" t="s">
        <v>3338</v>
      </c>
      <c r="D736" s="3482">
        <v>12.64</v>
      </c>
    </row>
    <row r="737" spans="1:4">
      <c r="A737" s="3536">
        <v>736</v>
      </c>
      <c r="B737" s="3481" t="s">
        <v>6298</v>
      </c>
      <c r="C737" s="3481" t="s">
        <v>5305</v>
      </c>
      <c r="D737" s="3482">
        <v>73.37</v>
      </c>
    </row>
    <row r="738" spans="1:4">
      <c r="A738" s="3536">
        <v>737</v>
      </c>
      <c r="B738" s="3481" t="s">
        <v>6299</v>
      </c>
      <c r="C738" s="3481" t="s">
        <v>3338</v>
      </c>
      <c r="D738" s="3482">
        <v>97.4</v>
      </c>
    </row>
    <row r="739" spans="1:4">
      <c r="A739" s="3536">
        <v>738</v>
      </c>
      <c r="B739" s="3481" t="s">
        <v>6300</v>
      </c>
      <c r="C739" s="3481" t="s">
        <v>5305</v>
      </c>
      <c r="D739" s="3482">
        <v>72.989999999999995</v>
      </c>
    </row>
    <row r="740" spans="1:4">
      <c r="A740" s="3536">
        <v>739</v>
      </c>
      <c r="B740" s="3481" t="s">
        <v>6301</v>
      </c>
      <c r="C740" s="3481" t="s">
        <v>3338</v>
      </c>
      <c r="D740" s="3482">
        <v>97.79</v>
      </c>
    </row>
    <row r="741" spans="1:4">
      <c r="A741" s="3536">
        <v>740</v>
      </c>
      <c r="B741" s="3481" t="s">
        <v>6302</v>
      </c>
      <c r="C741" s="3481" t="s">
        <v>5318</v>
      </c>
      <c r="D741" s="3482">
        <v>192.09</v>
      </c>
    </row>
    <row r="742" spans="1:4">
      <c r="A742" s="3536">
        <v>741</v>
      </c>
      <c r="B742" s="3481" t="s">
        <v>6303</v>
      </c>
      <c r="C742" s="3481" t="s">
        <v>3338</v>
      </c>
      <c r="D742" s="3482">
        <v>48.42</v>
      </c>
    </row>
    <row r="743" spans="1:4">
      <c r="A743" s="3536">
        <v>742</v>
      </c>
      <c r="B743" s="3481" t="s">
        <v>6304</v>
      </c>
      <c r="C743" s="3481" t="s">
        <v>3338</v>
      </c>
      <c r="D743" s="3482">
        <v>28.53</v>
      </c>
    </row>
    <row r="744" spans="1:4">
      <c r="A744" s="3536">
        <v>743</v>
      </c>
      <c r="B744" s="3481" t="s">
        <v>6305</v>
      </c>
      <c r="C744" s="3481" t="s">
        <v>3338</v>
      </c>
      <c r="D744" s="3482">
        <v>188.01</v>
      </c>
    </row>
    <row r="745" spans="1:4">
      <c r="A745" s="3536">
        <v>744</v>
      </c>
      <c r="B745" s="3481" t="s">
        <v>6306</v>
      </c>
      <c r="C745" s="3481" t="s">
        <v>3338</v>
      </c>
      <c r="D745" s="3482">
        <v>188.28</v>
      </c>
    </row>
    <row r="746" spans="1:4">
      <c r="A746" s="3536">
        <v>745</v>
      </c>
      <c r="B746" s="3481" t="s">
        <v>6307</v>
      </c>
      <c r="C746" s="3481" t="s">
        <v>5318</v>
      </c>
      <c r="D746" s="3482">
        <v>178.14</v>
      </c>
    </row>
    <row r="747" spans="1:4">
      <c r="A747" s="3536">
        <v>746</v>
      </c>
      <c r="B747" s="3481" t="s">
        <v>6308</v>
      </c>
      <c r="C747" s="3481" t="s">
        <v>3338</v>
      </c>
      <c r="D747" s="3482">
        <v>25.89</v>
      </c>
    </row>
    <row r="748" spans="1:4">
      <c r="A748" s="3536">
        <v>747</v>
      </c>
      <c r="B748" s="3481" t="s">
        <v>6309</v>
      </c>
      <c r="C748" s="3481" t="s">
        <v>5305</v>
      </c>
      <c r="D748" s="3482">
        <v>72.989999999999995</v>
      </c>
    </row>
    <row r="749" spans="1:4">
      <c r="A749" s="3536">
        <v>748</v>
      </c>
      <c r="B749" s="3481" t="s">
        <v>6310</v>
      </c>
      <c r="C749" s="3481" t="s">
        <v>3338</v>
      </c>
      <c r="D749" s="3482">
        <v>97.89</v>
      </c>
    </row>
    <row r="750" spans="1:4">
      <c r="A750" s="3536">
        <v>749</v>
      </c>
      <c r="B750" s="3481" t="s">
        <v>6311</v>
      </c>
      <c r="C750" s="3481" t="s">
        <v>5305</v>
      </c>
      <c r="D750" s="3482">
        <v>72.989999999999995</v>
      </c>
    </row>
    <row r="751" spans="1:4">
      <c r="A751" s="3536">
        <v>750</v>
      </c>
      <c r="B751" s="3481" t="s">
        <v>6312</v>
      </c>
      <c r="C751" s="3481" t="s">
        <v>3338</v>
      </c>
      <c r="D751" s="3482">
        <v>97.79</v>
      </c>
    </row>
    <row r="752" spans="1:4">
      <c r="A752" s="3536">
        <v>751</v>
      </c>
      <c r="B752" s="3481" t="s">
        <v>6313</v>
      </c>
      <c r="C752" s="3481" t="s">
        <v>5318</v>
      </c>
      <c r="D752" s="3482">
        <v>178.14</v>
      </c>
    </row>
    <row r="753" spans="1:4">
      <c r="A753" s="3536">
        <v>752</v>
      </c>
      <c r="B753" s="3481" t="s">
        <v>6314</v>
      </c>
      <c r="C753" s="3481" t="s">
        <v>3338</v>
      </c>
      <c r="D753" s="3482">
        <v>25.89</v>
      </c>
    </row>
    <row r="754" spans="1:4">
      <c r="A754" s="3536">
        <v>753</v>
      </c>
      <c r="B754" s="3481" t="s">
        <v>6315</v>
      </c>
      <c r="C754" s="3481" t="s">
        <v>3338</v>
      </c>
      <c r="D754" s="3482">
        <v>28.53</v>
      </c>
    </row>
    <row r="755" spans="1:4">
      <c r="A755" s="3536">
        <v>754</v>
      </c>
      <c r="B755" s="3481" t="s">
        <v>6316</v>
      </c>
      <c r="C755" s="3481" t="s">
        <v>3338</v>
      </c>
      <c r="D755" s="3482">
        <v>183.33</v>
      </c>
    </row>
    <row r="756" spans="1:4">
      <c r="A756" s="3536">
        <v>755</v>
      </c>
      <c r="B756" s="3481" t="s">
        <v>6317</v>
      </c>
      <c r="C756" s="3481" t="s">
        <v>3338</v>
      </c>
      <c r="D756" s="3482">
        <v>188.28</v>
      </c>
    </row>
    <row r="757" spans="1:4">
      <c r="A757" s="3536">
        <v>756</v>
      </c>
      <c r="B757" s="3481" t="s">
        <v>6318</v>
      </c>
      <c r="C757" s="3481" t="s">
        <v>3338</v>
      </c>
      <c r="D757" s="3482">
        <v>28.53</v>
      </c>
    </row>
    <row r="758" spans="1:4">
      <c r="A758" s="3536">
        <v>757</v>
      </c>
      <c r="B758" s="3481" t="s">
        <v>6319</v>
      </c>
      <c r="C758" s="3481" t="s">
        <v>5318</v>
      </c>
      <c r="D758" s="3482">
        <v>192.68</v>
      </c>
    </row>
    <row r="759" spans="1:4">
      <c r="A759" s="3536">
        <v>758</v>
      </c>
      <c r="B759" s="3481" t="s">
        <v>6320</v>
      </c>
      <c r="C759" s="3481" t="s">
        <v>3338</v>
      </c>
      <c r="D759" s="3482">
        <v>12.64</v>
      </c>
    </row>
    <row r="760" spans="1:4">
      <c r="A760" s="3536">
        <v>759</v>
      </c>
      <c r="B760" s="3481" t="s">
        <v>6321</v>
      </c>
      <c r="C760" s="3481" t="s">
        <v>5305</v>
      </c>
      <c r="D760" s="3482">
        <v>72.989999999999995</v>
      </c>
    </row>
    <row r="761" spans="1:4">
      <c r="A761" s="3536">
        <v>760</v>
      </c>
      <c r="B761" s="3481" t="s">
        <v>6322</v>
      </c>
      <c r="C761" s="3481" t="s">
        <v>3338</v>
      </c>
      <c r="D761" s="3482">
        <v>97.79</v>
      </c>
    </row>
    <row r="762" spans="1:4">
      <c r="A762" s="3536">
        <v>761</v>
      </c>
      <c r="B762" s="3481" t="s">
        <v>6323</v>
      </c>
      <c r="C762" s="3481" t="s">
        <v>5305</v>
      </c>
      <c r="D762" s="3482">
        <v>72.989999999999995</v>
      </c>
    </row>
    <row r="763" spans="1:4">
      <c r="A763" s="3536">
        <v>762</v>
      </c>
      <c r="B763" s="3481" t="s">
        <v>6324</v>
      </c>
      <c r="C763" s="3481" t="s">
        <v>3338</v>
      </c>
      <c r="D763" s="3482">
        <v>99.84</v>
      </c>
    </row>
    <row r="764" spans="1:4">
      <c r="A764" s="3536">
        <v>763</v>
      </c>
      <c r="B764" s="3481" t="s">
        <v>6325</v>
      </c>
      <c r="C764" s="3481" t="s">
        <v>5318</v>
      </c>
      <c r="D764" s="3482">
        <v>193.15</v>
      </c>
    </row>
    <row r="765" spans="1:4">
      <c r="A765" s="3536">
        <v>764</v>
      </c>
      <c r="B765" s="3481" t="s">
        <v>6326</v>
      </c>
      <c r="C765" s="3481" t="s">
        <v>3338</v>
      </c>
      <c r="D765" s="3482">
        <v>12.64</v>
      </c>
    </row>
    <row r="766" spans="1:4">
      <c r="A766" s="3536">
        <v>765</v>
      </c>
      <c r="B766" s="3481" t="s">
        <v>6327</v>
      </c>
      <c r="C766" s="3481" t="s">
        <v>3338</v>
      </c>
      <c r="D766" s="3482">
        <v>53.51</v>
      </c>
    </row>
    <row r="767" spans="1:4">
      <c r="A767" s="3536">
        <v>766</v>
      </c>
      <c r="B767" s="3481" t="s">
        <v>6328</v>
      </c>
      <c r="C767" s="3481" t="s">
        <v>3338</v>
      </c>
      <c r="D767" s="3482">
        <v>188.28</v>
      </c>
    </row>
    <row r="768" spans="1:4">
      <c r="A768" s="3536">
        <v>767</v>
      </c>
      <c r="B768" s="3481" t="s">
        <v>6329</v>
      </c>
      <c r="C768" s="3481" t="s">
        <v>3338</v>
      </c>
      <c r="D768" s="3482">
        <v>192.17</v>
      </c>
    </row>
    <row r="769" spans="1:4">
      <c r="A769" s="3536">
        <v>768</v>
      </c>
      <c r="B769" s="3481" t="s">
        <v>6330</v>
      </c>
      <c r="C769" s="3481" t="s">
        <v>3338</v>
      </c>
      <c r="D769" s="3482">
        <v>55.16</v>
      </c>
    </row>
    <row r="770" spans="1:4">
      <c r="A770" s="3536">
        <v>769</v>
      </c>
      <c r="B770" s="3481" t="s">
        <v>6331</v>
      </c>
      <c r="C770" s="3481" t="s">
        <v>5318</v>
      </c>
      <c r="D770" s="3482">
        <v>193.15</v>
      </c>
    </row>
    <row r="771" spans="1:4">
      <c r="A771" s="3536">
        <v>770</v>
      </c>
      <c r="B771" s="3481" t="s">
        <v>6332</v>
      </c>
      <c r="C771" s="3481" t="s">
        <v>3338</v>
      </c>
      <c r="D771" s="3482">
        <v>12.64</v>
      </c>
    </row>
    <row r="772" spans="1:4">
      <c r="A772" s="3536">
        <v>771</v>
      </c>
      <c r="B772" s="3481" t="s">
        <v>6333</v>
      </c>
      <c r="C772" s="3481" t="s">
        <v>5305</v>
      </c>
      <c r="D772" s="3482">
        <v>72.989999999999995</v>
      </c>
    </row>
    <row r="773" spans="1:4">
      <c r="A773" s="3536">
        <v>772</v>
      </c>
      <c r="B773" s="3481" t="s">
        <v>6334</v>
      </c>
      <c r="C773" s="3481" t="s">
        <v>3338</v>
      </c>
      <c r="D773" s="3482">
        <v>99.84</v>
      </c>
    </row>
    <row r="774" spans="1:4">
      <c r="A774" s="3536">
        <v>773</v>
      </c>
      <c r="B774" s="3481" t="s">
        <v>6335</v>
      </c>
      <c r="C774" s="3481" t="s">
        <v>5305</v>
      </c>
      <c r="D774" s="3482">
        <v>72.989999999999995</v>
      </c>
    </row>
    <row r="775" spans="1:4">
      <c r="A775" s="3536">
        <v>774</v>
      </c>
      <c r="B775" s="3481" t="s">
        <v>6336</v>
      </c>
      <c r="C775" s="3481" t="s">
        <v>3338</v>
      </c>
      <c r="D775" s="3482">
        <v>97.79</v>
      </c>
    </row>
    <row r="776" spans="1:4">
      <c r="A776" s="3536">
        <v>775</v>
      </c>
      <c r="B776" s="3481" t="s">
        <v>6337</v>
      </c>
      <c r="C776" s="3481" t="s">
        <v>5318</v>
      </c>
      <c r="D776" s="3482">
        <v>192.68</v>
      </c>
    </row>
    <row r="777" spans="1:4">
      <c r="A777" s="3536">
        <v>776</v>
      </c>
      <c r="B777" s="3481" t="s">
        <v>6338</v>
      </c>
      <c r="C777" s="3481" t="s">
        <v>3338</v>
      </c>
      <c r="D777" s="3482">
        <v>12.64</v>
      </c>
    </row>
    <row r="778" spans="1:4">
      <c r="A778" s="3536">
        <v>777</v>
      </c>
      <c r="B778" s="3481" t="s">
        <v>6339</v>
      </c>
      <c r="C778" s="3481" t="s">
        <v>3338</v>
      </c>
      <c r="D778" s="3482">
        <v>55.16</v>
      </c>
    </row>
    <row r="779" spans="1:4">
      <c r="A779" s="3536">
        <v>778</v>
      </c>
      <c r="B779" s="3481" t="s">
        <v>6340</v>
      </c>
      <c r="C779" s="3481" t="s">
        <v>3338</v>
      </c>
      <c r="D779" s="3482">
        <v>192.17</v>
      </c>
    </row>
    <row r="780" spans="1:4">
      <c r="A780" s="3536">
        <v>779</v>
      </c>
      <c r="B780" s="3481" t="s">
        <v>6341</v>
      </c>
      <c r="C780" s="3481" t="s">
        <v>3338</v>
      </c>
      <c r="D780" s="3482">
        <v>188.28</v>
      </c>
    </row>
    <row r="781" spans="1:4">
      <c r="A781" s="3536">
        <v>780</v>
      </c>
      <c r="B781" s="3481" t="s">
        <v>6342</v>
      </c>
      <c r="C781" s="3481" t="s">
        <v>3338</v>
      </c>
      <c r="D781" s="3482">
        <v>53.51</v>
      </c>
    </row>
    <row r="782" spans="1:4">
      <c r="A782" s="3536">
        <v>781</v>
      </c>
      <c r="B782" s="3481" t="s">
        <v>6343</v>
      </c>
      <c r="C782" s="3481" t="s">
        <v>5318</v>
      </c>
      <c r="D782" s="3482">
        <v>178.14</v>
      </c>
    </row>
    <row r="783" spans="1:4">
      <c r="A783" s="3536">
        <v>782</v>
      </c>
      <c r="B783" s="3481" t="s">
        <v>6344</v>
      </c>
      <c r="C783" s="3481" t="s">
        <v>3338</v>
      </c>
      <c r="D783" s="3482">
        <v>25.89</v>
      </c>
    </row>
    <row r="784" spans="1:4">
      <c r="A784" s="3536">
        <v>783</v>
      </c>
      <c r="B784" s="3481" t="s">
        <v>6345</v>
      </c>
      <c r="C784" s="3481" t="s">
        <v>5305</v>
      </c>
      <c r="D784" s="3482">
        <v>72.989999999999995</v>
      </c>
    </row>
    <row r="785" spans="1:4">
      <c r="A785" s="3536">
        <v>784</v>
      </c>
      <c r="B785" s="3481" t="s">
        <v>6346</v>
      </c>
      <c r="C785" s="3481" t="s">
        <v>3338</v>
      </c>
      <c r="D785" s="3482">
        <v>97.89</v>
      </c>
    </row>
    <row r="786" spans="1:4">
      <c r="A786" s="3536">
        <v>785</v>
      </c>
      <c r="B786" s="3481" t="s">
        <v>6347</v>
      </c>
      <c r="C786" s="3481" t="s">
        <v>5305</v>
      </c>
      <c r="D786" s="3482">
        <v>72.989999999999995</v>
      </c>
    </row>
    <row r="787" spans="1:4">
      <c r="A787" s="3536">
        <v>786</v>
      </c>
      <c r="B787" s="3481" t="s">
        <v>6348</v>
      </c>
      <c r="C787" s="3481" t="s">
        <v>3338</v>
      </c>
      <c r="D787" s="3482">
        <v>97.79</v>
      </c>
    </row>
    <row r="788" spans="1:4">
      <c r="A788" s="3536">
        <v>787</v>
      </c>
      <c r="B788" s="3481" t="s">
        <v>6349</v>
      </c>
      <c r="C788" s="3481" t="s">
        <v>5318</v>
      </c>
      <c r="D788" s="3482">
        <v>178.14</v>
      </c>
    </row>
    <row r="789" spans="1:4">
      <c r="A789" s="3536">
        <v>788</v>
      </c>
      <c r="B789" s="3481" t="s">
        <v>6350</v>
      </c>
      <c r="C789" s="3481" t="s">
        <v>3338</v>
      </c>
      <c r="D789" s="3482">
        <v>25.89</v>
      </c>
    </row>
    <row r="790" spans="1:4">
      <c r="A790" s="3536">
        <v>789</v>
      </c>
      <c r="B790" s="3481" t="s">
        <v>6351</v>
      </c>
      <c r="C790" s="3481" t="s">
        <v>3338</v>
      </c>
      <c r="D790" s="3482">
        <v>28.53</v>
      </c>
    </row>
    <row r="791" spans="1:4">
      <c r="A791" s="3536">
        <v>790</v>
      </c>
      <c r="B791" s="3481" t="s">
        <v>6352</v>
      </c>
      <c r="C791" s="3481" t="s">
        <v>3338</v>
      </c>
      <c r="D791" s="3482">
        <v>183.33</v>
      </c>
    </row>
    <row r="792" spans="1:4">
      <c r="A792" s="3536">
        <v>791</v>
      </c>
      <c r="B792" s="3481" t="s">
        <v>6353</v>
      </c>
      <c r="C792" s="3481" t="s">
        <v>3338</v>
      </c>
      <c r="D792" s="3482">
        <v>188.28</v>
      </c>
    </row>
    <row r="793" spans="1:4">
      <c r="A793" s="3536">
        <v>792</v>
      </c>
      <c r="B793" s="3481" t="s">
        <v>6354</v>
      </c>
      <c r="C793" s="3481" t="s">
        <v>3338</v>
      </c>
      <c r="D793" s="3482">
        <v>28.53</v>
      </c>
    </row>
    <row r="794" spans="1:4">
      <c r="A794" s="3536">
        <v>793</v>
      </c>
      <c r="B794" s="3481" t="s">
        <v>6355</v>
      </c>
      <c r="C794" s="3481" t="s">
        <v>5318</v>
      </c>
      <c r="D794" s="3482">
        <v>192.68</v>
      </c>
    </row>
    <row r="795" spans="1:4">
      <c r="A795" s="3536">
        <v>794</v>
      </c>
      <c r="B795" s="3481" t="s">
        <v>6356</v>
      </c>
      <c r="C795" s="3481" t="s">
        <v>3338</v>
      </c>
      <c r="D795" s="3482">
        <v>12.64</v>
      </c>
    </row>
    <row r="796" spans="1:4">
      <c r="A796" s="3536">
        <v>795</v>
      </c>
      <c r="B796" s="3481" t="s">
        <v>6357</v>
      </c>
      <c r="C796" s="3481" t="s">
        <v>5305</v>
      </c>
      <c r="D796" s="3482">
        <v>72.989999999999995</v>
      </c>
    </row>
    <row r="797" spans="1:4">
      <c r="A797" s="3536">
        <v>796</v>
      </c>
      <c r="B797" s="3481" t="s">
        <v>6358</v>
      </c>
      <c r="C797" s="3481" t="s">
        <v>3338</v>
      </c>
      <c r="D797" s="3482">
        <v>97.79</v>
      </c>
    </row>
    <row r="798" spans="1:4">
      <c r="A798" s="3536">
        <v>797</v>
      </c>
      <c r="B798" s="3481" t="s">
        <v>6359</v>
      </c>
      <c r="C798" s="3481" t="s">
        <v>5305</v>
      </c>
      <c r="D798" s="3482">
        <v>73.37</v>
      </c>
    </row>
    <row r="799" spans="1:4">
      <c r="A799" s="3536">
        <v>798</v>
      </c>
      <c r="B799" s="3481" t="s">
        <v>6360</v>
      </c>
      <c r="C799" s="3481" t="s">
        <v>3338</v>
      </c>
      <c r="D799" s="3482">
        <v>99.2</v>
      </c>
    </row>
    <row r="800" spans="1:4">
      <c r="A800" s="3536">
        <v>799</v>
      </c>
      <c r="B800" s="3481" t="s">
        <v>6361</v>
      </c>
      <c r="C800" s="3481" t="s">
        <v>5318</v>
      </c>
      <c r="D800" s="3482">
        <v>193.62</v>
      </c>
    </row>
    <row r="801" spans="1:4">
      <c r="A801" s="3536">
        <v>800</v>
      </c>
      <c r="B801" s="3481" t="s">
        <v>6362</v>
      </c>
      <c r="C801" s="3481" t="s">
        <v>3338</v>
      </c>
      <c r="D801" s="3482">
        <v>12.64</v>
      </c>
    </row>
    <row r="802" spans="1:4">
      <c r="A802" s="3536">
        <v>801</v>
      </c>
      <c r="B802" s="3481" t="s">
        <v>6363</v>
      </c>
      <c r="C802" s="3481" t="s">
        <v>3338</v>
      </c>
      <c r="D802" s="3482">
        <v>53.51</v>
      </c>
    </row>
    <row r="803" spans="1:4">
      <c r="A803" s="3536">
        <v>802</v>
      </c>
      <c r="B803" s="3481" t="s">
        <v>6364</v>
      </c>
      <c r="C803" s="3481" t="s">
        <v>3338</v>
      </c>
      <c r="D803" s="3482">
        <v>188.28</v>
      </c>
    </row>
    <row r="804" spans="1:4">
      <c r="A804" s="3536">
        <v>803</v>
      </c>
      <c r="B804" s="3481" t="s">
        <v>6365</v>
      </c>
      <c r="C804" s="3481" t="s">
        <v>3338</v>
      </c>
      <c r="D804" s="3482">
        <v>189.68</v>
      </c>
    </row>
    <row r="805" spans="1:4">
      <c r="A805" s="3536">
        <v>804</v>
      </c>
      <c r="B805" s="3481" t="s">
        <v>6366</v>
      </c>
      <c r="C805" s="3481" t="s">
        <v>3338</v>
      </c>
      <c r="D805" s="3482">
        <v>54.06</v>
      </c>
    </row>
    <row r="806" spans="1:4">
      <c r="A806" s="3536">
        <v>805</v>
      </c>
      <c r="B806" s="3481" t="s">
        <v>6367</v>
      </c>
      <c r="C806" s="3481" t="s">
        <v>5305</v>
      </c>
      <c r="D806" s="3482">
        <v>73.05</v>
      </c>
    </row>
    <row r="807" spans="1:4">
      <c r="A807" s="3536">
        <v>806</v>
      </c>
      <c r="B807" s="3481" t="s">
        <v>6368</v>
      </c>
      <c r="C807" s="3481" t="s">
        <v>3338</v>
      </c>
      <c r="D807" s="3482">
        <v>98.73</v>
      </c>
    </row>
    <row r="808" spans="1:4">
      <c r="A808" s="3536">
        <v>807</v>
      </c>
      <c r="B808" s="3481" t="s">
        <v>6369</v>
      </c>
      <c r="C808" s="3481" t="s">
        <v>3338</v>
      </c>
      <c r="D808" s="3482">
        <v>190.13</v>
      </c>
    </row>
    <row r="809" spans="1:4">
      <c r="A809" s="3536">
        <v>808</v>
      </c>
      <c r="B809" s="3481" t="s">
        <v>6791</v>
      </c>
      <c r="C809" s="3481" t="s">
        <v>3395</v>
      </c>
      <c r="D809" s="3482">
        <v>83.92</v>
      </c>
    </row>
    <row r="810" spans="1:4">
      <c r="A810" s="3536">
        <v>809</v>
      </c>
      <c r="B810" s="3481" t="s">
        <v>6370</v>
      </c>
      <c r="C810" s="3481" t="s">
        <v>5305</v>
      </c>
      <c r="D810" s="3482">
        <v>73.05</v>
      </c>
    </row>
    <row r="811" spans="1:4">
      <c r="A811" s="3536">
        <v>810</v>
      </c>
      <c r="B811" s="3481" t="s">
        <v>6371</v>
      </c>
      <c r="C811" s="3481" t="s">
        <v>3338</v>
      </c>
      <c r="D811" s="3482">
        <v>98.83</v>
      </c>
    </row>
    <row r="812" spans="1:4">
      <c r="A812" s="3536">
        <v>811</v>
      </c>
      <c r="B812" s="3481" t="s">
        <v>6372</v>
      </c>
      <c r="C812" s="3481" t="s">
        <v>3338</v>
      </c>
      <c r="D812" s="3482">
        <v>185.13</v>
      </c>
    </row>
    <row r="813" spans="1:4">
      <c r="A813" s="3536">
        <v>812</v>
      </c>
      <c r="B813" s="3481" t="s">
        <v>6373</v>
      </c>
      <c r="C813" s="3481" t="s">
        <v>5305</v>
      </c>
      <c r="D813" s="3482">
        <v>73.430000000000007</v>
      </c>
    </row>
    <row r="814" spans="1:4">
      <c r="A814" s="3536">
        <v>813</v>
      </c>
      <c r="B814" s="3481" t="s">
        <v>6374</v>
      </c>
      <c r="C814" s="3481" t="s">
        <v>3338</v>
      </c>
      <c r="D814" s="3482">
        <v>100.15</v>
      </c>
    </row>
    <row r="815" spans="1:4">
      <c r="A815" s="3536">
        <v>814</v>
      </c>
      <c r="B815" s="3481" t="s">
        <v>6375</v>
      </c>
      <c r="C815" s="3481" t="s">
        <v>3338</v>
      </c>
      <c r="D815" s="3482">
        <v>191.55</v>
      </c>
    </row>
    <row r="816" spans="1:4">
      <c r="A816" s="3536">
        <v>815</v>
      </c>
      <c r="B816" s="3481" t="s">
        <v>4365</v>
      </c>
      <c r="C816" s="3481" t="s">
        <v>3400</v>
      </c>
      <c r="D816" s="3482">
        <v>46.52</v>
      </c>
    </row>
    <row r="817" spans="1:4">
      <c r="A817" s="3536">
        <v>816</v>
      </c>
      <c r="B817" s="3481" t="s">
        <v>4366</v>
      </c>
      <c r="C817" s="3481" t="s">
        <v>3400</v>
      </c>
      <c r="D817" s="3482">
        <v>46.52</v>
      </c>
    </row>
    <row r="818" spans="1:4">
      <c r="A818" s="3536">
        <v>817</v>
      </c>
      <c r="B818" s="3481" t="s">
        <v>4367</v>
      </c>
      <c r="C818" s="3481" t="s">
        <v>3400</v>
      </c>
      <c r="D818" s="3482">
        <v>46.52</v>
      </c>
    </row>
    <row r="819" spans="1:4">
      <c r="A819" s="3536">
        <v>818</v>
      </c>
      <c r="B819" s="3481" t="s">
        <v>4368</v>
      </c>
      <c r="C819" s="3481" t="s">
        <v>3400</v>
      </c>
      <c r="D819" s="3482">
        <v>46.52</v>
      </c>
    </row>
    <row r="820" spans="1:4">
      <c r="A820" s="3536">
        <v>819</v>
      </c>
      <c r="B820" s="3481" t="s">
        <v>4369</v>
      </c>
      <c r="C820" s="3481" t="s">
        <v>3400</v>
      </c>
      <c r="D820" s="3482">
        <v>46.52</v>
      </c>
    </row>
    <row r="821" spans="1:4">
      <c r="A821" s="3536">
        <v>820</v>
      </c>
      <c r="B821" s="3481" t="s">
        <v>4370</v>
      </c>
      <c r="C821" s="3481" t="s">
        <v>3400</v>
      </c>
      <c r="D821" s="3482">
        <v>46.52</v>
      </c>
    </row>
    <row r="822" spans="1:4">
      <c r="A822" s="3536">
        <v>821</v>
      </c>
      <c r="B822" s="3481" t="s">
        <v>4371</v>
      </c>
      <c r="C822" s="3481" t="s">
        <v>3400</v>
      </c>
      <c r="D822" s="3482">
        <v>46.52</v>
      </c>
    </row>
    <row r="823" spans="1:4">
      <c r="A823" s="3536">
        <v>822</v>
      </c>
      <c r="B823" s="3481" t="s">
        <v>4372</v>
      </c>
      <c r="C823" s="3481" t="s">
        <v>3400</v>
      </c>
      <c r="D823" s="3482">
        <v>46.52</v>
      </c>
    </row>
    <row r="824" spans="1:4">
      <c r="A824" s="3536">
        <v>823</v>
      </c>
      <c r="B824" s="3481" t="s">
        <v>4373</v>
      </c>
      <c r="C824" s="3481" t="s">
        <v>3400</v>
      </c>
      <c r="D824" s="3482">
        <v>46.52</v>
      </c>
    </row>
    <row r="825" spans="1:4">
      <c r="A825" s="3536">
        <v>824</v>
      </c>
      <c r="B825" s="3481" t="s">
        <v>4374</v>
      </c>
      <c r="C825" s="3481" t="s">
        <v>3400</v>
      </c>
      <c r="D825" s="3482">
        <v>46.52</v>
      </c>
    </row>
    <row r="826" spans="1:4">
      <c r="A826" s="3536">
        <v>825</v>
      </c>
      <c r="B826" s="3481" t="s">
        <v>4375</v>
      </c>
      <c r="C826" s="3481" t="s">
        <v>3400</v>
      </c>
      <c r="D826" s="3482">
        <v>46.52</v>
      </c>
    </row>
    <row r="827" spans="1:4">
      <c r="A827" s="3536">
        <v>826</v>
      </c>
      <c r="B827" s="3481" t="s">
        <v>4376</v>
      </c>
      <c r="C827" s="3481" t="s">
        <v>3400</v>
      </c>
      <c r="D827" s="3482">
        <v>46.52</v>
      </c>
    </row>
    <row r="828" spans="1:4">
      <c r="A828" s="3536">
        <v>827</v>
      </c>
      <c r="B828" s="3481" t="s">
        <v>4377</v>
      </c>
      <c r="C828" s="3481" t="s">
        <v>3400</v>
      </c>
      <c r="D828" s="3482">
        <v>33.619999999999997</v>
      </c>
    </row>
    <row r="829" spans="1:4">
      <c r="A829" s="3536">
        <v>828</v>
      </c>
      <c r="B829" s="3481" t="s">
        <v>4378</v>
      </c>
      <c r="C829" s="3481" t="s">
        <v>3400</v>
      </c>
      <c r="D829" s="3482">
        <v>33.619999999999997</v>
      </c>
    </row>
    <row r="830" spans="1:4">
      <c r="A830" s="3536">
        <v>829</v>
      </c>
      <c r="B830" s="3481" t="s">
        <v>4379</v>
      </c>
      <c r="C830" s="3481" t="s">
        <v>3400</v>
      </c>
      <c r="D830" s="3482">
        <v>33.619999999999997</v>
      </c>
    </row>
    <row r="831" spans="1:4">
      <c r="A831" s="3536">
        <v>830</v>
      </c>
      <c r="B831" s="3481" t="s">
        <v>4380</v>
      </c>
      <c r="C831" s="3481" t="s">
        <v>3400</v>
      </c>
      <c r="D831" s="3482">
        <v>33.619999999999997</v>
      </c>
    </row>
    <row r="832" spans="1:4">
      <c r="A832" s="3536">
        <v>831</v>
      </c>
      <c r="B832" s="3481" t="s">
        <v>4381</v>
      </c>
      <c r="C832" s="3481" t="s">
        <v>3400</v>
      </c>
      <c r="D832" s="3482">
        <v>33.619999999999997</v>
      </c>
    </row>
    <row r="833" spans="1:4">
      <c r="A833" s="3536">
        <v>832</v>
      </c>
      <c r="B833" s="3481" t="s">
        <v>4382</v>
      </c>
      <c r="C833" s="3481" t="s">
        <v>3400</v>
      </c>
      <c r="D833" s="3482">
        <v>33.619999999999997</v>
      </c>
    </row>
    <row r="834" spans="1:4">
      <c r="A834" s="3536">
        <v>833</v>
      </c>
      <c r="B834" s="3481" t="s">
        <v>4383</v>
      </c>
      <c r="C834" s="3481" t="s">
        <v>3400</v>
      </c>
      <c r="D834" s="3482">
        <v>33.619999999999997</v>
      </c>
    </row>
    <row r="835" spans="1:4">
      <c r="A835" s="3536">
        <v>834</v>
      </c>
      <c r="B835" s="3481" t="s">
        <v>4384</v>
      </c>
      <c r="C835" s="3481" t="s">
        <v>3400</v>
      </c>
      <c r="D835" s="3482">
        <v>33.619999999999997</v>
      </c>
    </row>
    <row r="836" spans="1:4">
      <c r="A836" s="3536">
        <v>835</v>
      </c>
      <c r="B836" s="3481" t="s">
        <v>4385</v>
      </c>
      <c r="C836" s="3481" t="s">
        <v>3400</v>
      </c>
      <c r="D836" s="3482">
        <v>33.619999999999997</v>
      </c>
    </row>
    <row r="837" spans="1:4">
      <c r="A837" s="3536">
        <v>836</v>
      </c>
      <c r="B837" s="3481" t="s">
        <v>4386</v>
      </c>
      <c r="C837" s="3481" t="s">
        <v>3400</v>
      </c>
      <c r="D837" s="3482">
        <v>33.619999999999997</v>
      </c>
    </row>
    <row r="838" spans="1:4">
      <c r="A838" s="3536">
        <v>837</v>
      </c>
      <c r="B838" s="3481" t="s">
        <v>4387</v>
      </c>
      <c r="C838" s="3481" t="s">
        <v>3400</v>
      </c>
      <c r="D838" s="3482">
        <v>33.619999999999997</v>
      </c>
    </row>
    <row r="839" spans="1:4">
      <c r="A839" s="3536">
        <v>838</v>
      </c>
      <c r="B839" s="3481" t="s">
        <v>4388</v>
      </c>
      <c r="C839" s="3481" t="s">
        <v>3400</v>
      </c>
      <c r="D839" s="3482">
        <v>33.619999999999997</v>
      </c>
    </row>
    <row r="840" spans="1:4">
      <c r="A840" s="3536">
        <v>839</v>
      </c>
      <c r="B840" s="3481" t="s">
        <v>4389</v>
      </c>
      <c r="C840" s="3481" t="s">
        <v>3400</v>
      </c>
      <c r="D840" s="3482">
        <v>33.619999999999997</v>
      </c>
    </row>
    <row r="841" spans="1:4">
      <c r="A841" s="3536">
        <v>840</v>
      </c>
      <c r="B841" s="3481" t="s">
        <v>4390</v>
      </c>
      <c r="C841" s="3481" t="s">
        <v>3400</v>
      </c>
      <c r="D841" s="3482">
        <v>33.619999999999997</v>
      </c>
    </row>
    <row r="842" spans="1:4">
      <c r="A842" s="3536">
        <v>841</v>
      </c>
      <c r="B842" s="3481" t="s">
        <v>4391</v>
      </c>
      <c r="C842" s="3481" t="s">
        <v>3400</v>
      </c>
      <c r="D842" s="3482">
        <v>33.619999999999997</v>
      </c>
    </row>
    <row r="843" spans="1:4">
      <c r="A843" s="3536">
        <v>842</v>
      </c>
      <c r="B843" s="3481" t="s">
        <v>4392</v>
      </c>
      <c r="C843" s="3481" t="s">
        <v>3400</v>
      </c>
      <c r="D843" s="3482">
        <v>33.619999999999997</v>
      </c>
    </row>
    <row r="844" spans="1:4">
      <c r="A844" s="3536">
        <v>843</v>
      </c>
      <c r="B844" s="3481" t="s">
        <v>4393</v>
      </c>
      <c r="C844" s="3481" t="s">
        <v>3400</v>
      </c>
      <c r="D844" s="3482">
        <v>33.619999999999997</v>
      </c>
    </row>
    <row r="845" spans="1:4">
      <c r="A845" s="3536">
        <v>844</v>
      </c>
      <c r="B845" s="3481" t="s">
        <v>4394</v>
      </c>
      <c r="C845" s="3481" t="s">
        <v>3400</v>
      </c>
      <c r="D845" s="3482">
        <v>33.619999999999997</v>
      </c>
    </row>
    <row r="846" spans="1:4">
      <c r="A846" s="3536">
        <v>845</v>
      </c>
      <c r="B846" s="3481" t="s">
        <v>4395</v>
      </c>
      <c r="C846" s="3481" t="s">
        <v>3400</v>
      </c>
      <c r="D846" s="3482">
        <v>33.619999999999997</v>
      </c>
    </row>
    <row r="847" spans="1:4">
      <c r="A847" s="3536">
        <v>846</v>
      </c>
      <c r="B847" s="3481" t="s">
        <v>4396</v>
      </c>
      <c r="C847" s="3481" t="s">
        <v>3400</v>
      </c>
      <c r="D847" s="3482">
        <v>33.619999999999997</v>
      </c>
    </row>
    <row r="848" spans="1:4">
      <c r="A848" s="3536">
        <v>847</v>
      </c>
      <c r="B848" s="3481" t="s">
        <v>4397</v>
      </c>
      <c r="C848" s="3481" t="s">
        <v>3400</v>
      </c>
      <c r="D848" s="3482">
        <v>33.619999999999997</v>
      </c>
    </row>
    <row r="849" spans="1:4">
      <c r="A849" s="3536">
        <v>848</v>
      </c>
      <c r="B849" s="3481" t="s">
        <v>4398</v>
      </c>
      <c r="C849" s="3481" t="s">
        <v>3400</v>
      </c>
      <c r="D849" s="3482">
        <v>33.619999999999997</v>
      </c>
    </row>
    <row r="850" spans="1:4">
      <c r="A850" s="3536">
        <v>849</v>
      </c>
      <c r="B850" s="3481" t="s">
        <v>4399</v>
      </c>
      <c r="C850" s="3481" t="s">
        <v>3400</v>
      </c>
      <c r="D850" s="3482">
        <v>33.619999999999997</v>
      </c>
    </row>
    <row r="851" spans="1:4">
      <c r="A851" s="3536">
        <v>850</v>
      </c>
      <c r="B851" s="3481" t="s">
        <v>4400</v>
      </c>
      <c r="C851" s="3481" t="s">
        <v>3400</v>
      </c>
      <c r="D851" s="3482">
        <v>33.619999999999997</v>
      </c>
    </row>
    <row r="852" spans="1:4">
      <c r="A852" s="3536">
        <v>851</v>
      </c>
      <c r="B852" s="3481" t="s">
        <v>4401</v>
      </c>
      <c r="C852" s="3481" t="s">
        <v>3400</v>
      </c>
      <c r="D852" s="3482">
        <v>33.619999999999997</v>
      </c>
    </row>
    <row r="853" spans="1:4">
      <c r="A853" s="3536">
        <v>852</v>
      </c>
      <c r="B853" s="3481" t="s">
        <v>4402</v>
      </c>
      <c r="C853" s="3481" t="s">
        <v>3400</v>
      </c>
      <c r="D853" s="3482">
        <v>33.619999999999997</v>
      </c>
    </row>
    <row r="854" spans="1:4">
      <c r="A854" s="3536">
        <v>853</v>
      </c>
      <c r="B854" s="3481" t="s">
        <v>4403</v>
      </c>
      <c r="C854" s="3481" t="s">
        <v>3400</v>
      </c>
      <c r="D854" s="3482">
        <v>50.43</v>
      </c>
    </row>
    <row r="855" spans="1:4">
      <c r="A855" s="3536">
        <v>854</v>
      </c>
      <c r="B855" s="3481" t="s">
        <v>4404</v>
      </c>
      <c r="C855" s="3481" t="s">
        <v>3400</v>
      </c>
      <c r="D855" s="3482">
        <v>46.52</v>
      </c>
    </row>
    <row r="856" spans="1:4">
      <c r="A856" s="3536">
        <v>855</v>
      </c>
      <c r="B856" s="3481" t="s">
        <v>4405</v>
      </c>
      <c r="C856" s="3481" t="s">
        <v>3400</v>
      </c>
      <c r="D856" s="3482">
        <v>46.52</v>
      </c>
    </row>
    <row r="857" spans="1:4">
      <c r="A857" s="3536">
        <v>856</v>
      </c>
      <c r="B857" s="3481" t="s">
        <v>4406</v>
      </c>
      <c r="C857" s="3481" t="s">
        <v>3400</v>
      </c>
      <c r="D857" s="3482">
        <v>46.52</v>
      </c>
    </row>
    <row r="858" spans="1:4">
      <c r="A858" s="3536">
        <v>857</v>
      </c>
      <c r="B858" s="3481" t="s">
        <v>4407</v>
      </c>
      <c r="C858" s="3481" t="s">
        <v>3400</v>
      </c>
      <c r="D858" s="3482">
        <v>46.52</v>
      </c>
    </row>
    <row r="859" spans="1:4">
      <c r="A859" s="3536">
        <v>858</v>
      </c>
      <c r="B859" s="3481" t="s">
        <v>4408</v>
      </c>
      <c r="C859" s="3481" t="s">
        <v>3400</v>
      </c>
      <c r="D859" s="3482">
        <v>46.52</v>
      </c>
    </row>
    <row r="860" spans="1:4">
      <c r="A860" s="3536">
        <v>859</v>
      </c>
      <c r="B860" s="3481" t="s">
        <v>4409</v>
      </c>
      <c r="C860" s="3481" t="s">
        <v>3400</v>
      </c>
      <c r="D860" s="3482">
        <v>46.52</v>
      </c>
    </row>
    <row r="861" spans="1:4">
      <c r="A861" s="3536">
        <v>860</v>
      </c>
      <c r="B861" s="3481" t="s">
        <v>4410</v>
      </c>
      <c r="C861" s="3481" t="s">
        <v>3400</v>
      </c>
      <c r="D861" s="3482">
        <v>46.52</v>
      </c>
    </row>
    <row r="862" spans="1:4">
      <c r="A862" s="3536">
        <v>861</v>
      </c>
      <c r="B862" s="3481" t="s">
        <v>4411</v>
      </c>
      <c r="C862" s="3481" t="s">
        <v>3400</v>
      </c>
      <c r="D862" s="3482">
        <v>46.52</v>
      </c>
    </row>
    <row r="863" spans="1:4">
      <c r="A863" s="3536">
        <v>862</v>
      </c>
      <c r="B863" s="3481" t="s">
        <v>4412</v>
      </c>
      <c r="C863" s="3481" t="s">
        <v>3400</v>
      </c>
      <c r="D863" s="3482">
        <v>46.52</v>
      </c>
    </row>
    <row r="864" spans="1:4">
      <c r="A864" s="3536">
        <v>863</v>
      </c>
      <c r="B864" s="3481" t="s">
        <v>4413</v>
      </c>
      <c r="C864" s="3481" t="s">
        <v>3400</v>
      </c>
      <c r="D864" s="3482">
        <v>46.52</v>
      </c>
    </row>
    <row r="865" spans="1:4">
      <c r="A865" s="3536">
        <v>864</v>
      </c>
      <c r="B865" s="3481" t="s">
        <v>4414</v>
      </c>
      <c r="C865" s="3481" t="s">
        <v>3400</v>
      </c>
      <c r="D865" s="3482">
        <v>50.43</v>
      </c>
    </row>
    <row r="866" spans="1:4">
      <c r="A866" s="3536">
        <v>865</v>
      </c>
      <c r="B866" s="3481" t="s">
        <v>4415</v>
      </c>
      <c r="C866" s="3481" t="s">
        <v>3400</v>
      </c>
      <c r="D866" s="3482">
        <v>33.619999999999997</v>
      </c>
    </row>
    <row r="867" spans="1:4">
      <c r="A867" s="3536">
        <v>866</v>
      </c>
      <c r="B867" s="3481" t="s">
        <v>4416</v>
      </c>
      <c r="C867" s="3481" t="s">
        <v>3400</v>
      </c>
      <c r="D867" s="3482">
        <v>33.619999999999997</v>
      </c>
    </row>
    <row r="868" spans="1:4">
      <c r="A868" s="3536">
        <v>867</v>
      </c>
      <c r="B868" s="3481" t="s">
        <v>4417</v>
      </c>
      <c r="C868" s="3481" t="s">
        <v>3400</v>
      </c>
      <c r="D868" s="3482">
        <v>33.619999999999997</v>
      </c>
    </row>
    <row r="869" spans="1:4">
      <c r="A869" s="3536">
        <v>868</v>
      </c>
      <c r="B869" s="3481" t="s">
        <v>4418</v>
      </c>
      <c r="C869" s="3481" t="s">
        <v>3400</v>
      </c>
      <c r="D869" s="3482">
        <v>33.619999999999997</v>
      </c>
    </row>
    <row r="870" spans="1:4">
      <c r="A870" s="3536">
        <v>869</v>
      </c>
      <c r="B870" s="3481" t="s">
        <v>4419</v>
      </c>
      <c r="C870" s="3481" t="s">
        <v>3400</v>
      </c>
      <c r="D870" s="3482">
        <v>33.619999999999997</v>
      </c>
    </row>
    <row r="871" spans="1:4">
      <c r="A871" s="3536">
        <v>870</v>
      </c>
      <c r="B871" s="3481" t="s">
        <v>4420</v>
      </c>
      <c r="C871" s="3481" t="s">
        <v>3400</v>
      </c>
      <c r="D871" s="3482">
        <v>33.619999999999997</v>
      </c>
    </row>
    <row r="872" spans="1:4">
      <c r="A872" s="3536">
        <v>871</v>
      </c>
      <c r="B872" s="3481" t="s">
        <v>4421</v>
      </c>
      <c r="C872" s="3481" t="s">
        <v>3400</v>
      </c>
      <c r="D872" s="3482">
        <v>33.619999999999997</v>
      </c>
    </row>
    <row r="873" spans="1:4">
      <c r="A873" s="3536">
        <v>872</v>
      </c>
      <c r="B873" s="3481" t="s">
        <v>4422</v>
      </c>
      <c r="C873" s="3481" t="s">
        <v>3400</v>
      </c>
      <c r="D873" s="3482">
        <v>33.619999999999997</v>
      </c>
    </row>
    <row r="874" spans="1:4">
      <c r="A874" s="3536">
        <v>873</v>
      </c>
      <c r="B874" s="3481" t="s">
        <v>4423</v>
      </c>
      <c r="C874" s="3481" t="s">
        <v>3400</v>
      </c>
      <c r="D874" s="3482">
        <v>33.619999999999997</v>
      </c>
    </row>
    <row r="875" spans="1:4">
      <c r="A875" s="3536">
        <v>874</v>
      </c>
      <c r="B875" s="3481" t="s">
        <v>4424</v>
      </c>
      <c r="C875" s="3481" t="s">
        <v>3400</v>
      </c>
      <c r="D875" s="3482">
        <v>33.619999999999997</v>
      </c>
    </row>
    <row r="876" spans="1:4">
      <c r="A876" s="3536">
        <v>875</v>
      </c>
      <c r="B876" s="3481" t="s">
        <v>4425</v>
      </c>
      <c r="C876" s="3481" t="s">
        <v>3400</v>
      </c>
      <c r="D876" s="3482">
        <v>33.619999999999997</v>
      </c>
    </row>
    <row r="877" spans="1:4">
      <c r="A877" s="3536">
        <v>876</v>
      </c>
      <c r="B877" s="3481" t="s">
        <v>4426</v>
      </c>
      <c r="C877" s="3481" t="s">
        <v>3400</v>
      </c>
      <c r="D877" s="3482">
        <v>33.619999999999997</v>
      </c>
    </row>
    <row r="878" spans="1:4">
      <c r="A878" s="3536">
        <v>877</v>
      </c>
      <c r="B878" s="3481" t="s">
        <v>4427</v>
      </c>
      <c r="C878" s="3481" t="s">
        <v>3400</v>
      </c>
      <c r="D878" s="3482">
        <v>33.619999999999997</v>
      </c>
    </row>
    <row r="879" spans="1:4">
      <c r="A879" s="3536">
        <v>878</v>
      </c>
      <c r="B879" s="3481" t="s">
        <v>4428</v>
      </c>
      <c r="C879" s="3481" t="s">
        <v>3400</v>
      </c>
      <c r="D879" s="3482">
        <v>33.619999999999997</v>
      </c>
    </row>
    <row r="880" spans="1:4">
      <c r="A880" s="3536">
        <v>879</v>
      </c>
      <c r="B880" s="3481" t="s">
        <v>4429</v>
      </c>
      <c r="C880" s="3481" t="s">
        <v>3400</v>
      </c>
      <c r="D880" s="3482">
        <v>33.619999999999997</v>
      </c>
    </row>
    <row r="881" spans="1:4">
      <c r="A881" s="3536">
        <v>880</v>
      </c>
      <c r="B881" s="3481" t="s">
        <v>4430</v>
      </c>
      <c r="C881" s="3481" t="s">
        <v>3400</v>
      </c>
      <c r="D881" s="3482">
        <v>33.619999999999997</v>
      </c>
    </row>
    <row r="882" spans="1:4">
      <c r="A882" s="3536">
        <v>881</v>
      </c>
      <c r="B882" s="3481" t="s">
        <v>4431</v>
      </c>
      <c r="C882" s="3481" t="s">
        <v>3400</v>
      </c>
      <c r="D882" s="3482">
        <v>33.619999999999997</v>
      </c>
    </row>
    <row r="883" spans="1:4">
      <c r="A883" s="3536">
        <v>882</v>
      </c>
      <c r="B883" s="3481" t="s">
        <v>4432</v>
      </c>
      <c r="C883" s="3481" t="s">
        <v>3400</v>
      </c>
      <c r="D883" s="3482">
        <v>33.619999999999997</v>
      </c>
    </row>
    <row r="884" spans="1:4">
      <c r="A884" s="3536">
        <v>883</v>
      </c>
      <c r="B884" s="3481" t="s">
        <v>4433</v>
      </c>
      <c r="C884" s="3481" t="s">
        <v>3400</v>
      </c>
      <c r="D884" s="3482">
        <v>33.619999999999997</v>
      </c>
    </row>
    <row r="885" spans="1:4">
      <c r="A885" s="3536">
        <v>884</v>
      </c>
      <c r="B885" s="3481" t="s">
        <v>4434</v>
      </c>
      <c r="C885" s="3481" t="s">
        <v>3400</v>
      </c>
      <c r="D885" s="3482">
        <v>33.619999999999997</v>
      </c>
    </row>
    <row r="886" spans="1:4">
      <c r="A886" s="3536">
        <v>885</v>
      </c>
      <c r="B886" s="3481" t="s">
        <v>4435</v>
      </c>
      <c r="C886" s="3481" t="s">
        <v>3400</v>
      </c>
      <c r="D886" s="3482">
        <v>33.619999999999997</v>
      </c>
    </row>
    <row r="887" spans="1:4">
      <c r="A887" s="3536">
        <v>886</v>
      </c>
      <c r="B887" s="3481" t="s">
        <v>4436</v>
      </c>
      <c r="C887" s="3481" t="s">
        <v>3400</v>
      </c>
      <c r="D887" s="3482">
        <v>33.619999999999997</v>
      </c>
    </row>
    <row r="888" spans="1:4">
      <c r="A888" s="3536">
        <v>887</v>
      </c>
      <c r="B888" s="3481" t="s">
        <v>4437</v>
      </c>
      <c r="C888" s="3481" t="s">
        <v>3400</v>
      </c>
      <c r="D888" s="3482">
        <v>33.619999999999997</v>
      </c>
    </row>
    <row r="889" spans="1:4">
      <c r="A889" s="3536">
        <v>888</v>
      </c>
      <c r="B889" s="3481" t="s">
        <v>4438</v>
      </c>
      <c r="C889" s="3481" t="s">
        <v>3400</v>
      </c>
      <c r="D889" s="3482">
        <v>33.619999999999997</v>
      </c>
    </row>
    <row r="890" spans="1:4">
      <c r="A890" s="3536">
        <v>889</v>
      </c>
      <c r="B890" s="3481" t="s">
        <v>4439</v>
      </c>
      <c r="C890" s="3481" t="s">
        <v>3400</v>
      </c>
      <c r="D890" s="3482">
        <v>33.619999999999997</v>
      </c>
    </row>
    <row r="891" spans="1:4">
      <c r="A891" s="3536">
        <v>890</v>
      </c>
      <c r="B891" s="3481" t="s">
        <v>4440</v>
      </c>
      <c r="C891" s="3481" t="s">
        <v>3400</v>
      </c>
      <c r="D891" s="3482">
        <v>33.619999999999997</v>
      </c>
    </row>
    <row r="892" spans="1:4">
      <c r="A892" s="3536">
        <v>891</v>
      </c>
      <c r="B892" s="3481" t="s">
        <v>4441</v>
      </c>
      <c r="C892" s="3481" t="s">
        <v>3400</v>
      </c>
      <c r="D892" s="3482">
        <v>33.619999999999997</v>
      </c>
    </row>
    <row r="893" spans="1:4">
      <c r="A893" s="3536">
        <v>892</v>
      </c>
      <c r="B893" s="3481" t="s">
        <v>4442</v>
      </c>
      <c r="C893" s="3481" t="s">
        <v>3400</v>
      </c>
      <c r="D893" s="3482">
        <v>33.619999999999997</v>
      </c>
    </row>
    <row r="894" spans="1:4">
      <c r="A894" s="3536">
        <v>893</v>
      </c>
      <c r="B894" s="3481" t="s">
        <v>4443</v>
      </c>
      <c r="C894" s="3481" t="s">
        <v>3400</v>
      </c>
      <c r="D894" s="3482">
        <v>33.619999999999997</v>
      </c>
    </row>
    <row r="895" spans="1:4">
      <c r="A895" s="3536">
        <v>894</v>
      </c>
      <c r="B895" s="3481" t="s">
        <v>4444</v>
      </c>
      <c r="C895" s="3481" t="s">
        <v>3400</v>
      </c>
      <c r="D895" s="3482">
        <v>33.619999999999997</v>
      </c>
    </row>
    <row r="896" spans="1:4">
      <c r="A896" s="3536">
        <v>895</v>
      </c>
      <c r="B896" s="3481" t="s">
        <v>4445</v>
      </c>
      <c r="C896" s="3481" t="s">
        <v>3400</v>
      </c>
      <c r="D896" s="3482">
        <v>33.619999999999997</v>
      </c>
    </row>
    <row r="897" spans="1:4">
      <c r="A897" s="3536">
        <v>896</v>
      </c>
      <c r="B897" s="3481" t="s">
        <v>4446</v>
      </c>
      <c r="C897" s="3481" t="s">
        <v>3400</v>
      </c>
      <c r="D897" s="3482">
        <v>33.619999999999997</v>
      </c>
    </row>
    <row r="898" spans="1:4">
      <c r="A898" s="3536">
        <v>897</v>
      </c>
      <c r="B898" s="3481" t="s">
        <v>4447</v>
      </c>
      <c r="C898" s="3481" t="s">
        <v>3400</v>
      </c>
      <c r="D898" s="3482">
        <v>33.619999999999997</v>
      </c>
    </row>
    <row r="899" spans="1:4">
      <c r="A899" s="3536">
        <v>898</v>
      </c>
      <c r="B899" s="3481" t="s">
        <v>4448</v>
      </c>
      <c r="C899" s="3481" t="s">
        <v>3400</v>
      </c>
      <c r="D899" s="3482">
        <v>33.619999999999997</v>
      </c>
    </row>
    <row r="900" spans="1:4">
      <c r="A900" s="3536">
        <v>899</v>
      </c>
      <c r="B900" s="3481" t="s">
        <v>4449</v>
      </c>
      <c r="C900" s="3481" t="s">
        <v>3400</v>
      </c>
      <c r="D900" s="3482">
        <v>46.52</v>
      </c>
    </row>
    <row r="901" spans="1:4">
      <c r="A901" s="3536">
        <v>900</v>
      </c>
      <c r="B901" s="3481" t="s">
        <v>4450</v>
      </c>
      <c r="C901" s="3481" t="s">
        <v>3400</v>
      </c>
      <c r="D901" s="3482">
        <v>46.52</v>
      </c>
    </row>
    <row r="902" spans="1:4">
      <c r="A902" s="3536">
        <v>901</v>
      </c>
      <c r="B902" s="3481" t="s">
        <v>4451</v>
      </c>
      <c r="C902" s="3481" t="s">
        <v>3400</v>
      </c>
      <c r="D902" s="3482">
        <v>46.52</v>
      </c>
    </row>
    <row r="903" spans="1:4">
      <c r="A903" s="3536">
        <v>902</v>
      </c>
      <c r="B903" s="3481" t="s">
        <v>4452</v>
      </c>
      <c r="C903" s="3481" t="s">
        <v>3400</v>
      </c>
      <c r="D903" s="3482">
        <v>46.52</v>
      </c>
    </row>
    <row r="904" spans="1:4">
      <c r="A904" s="3536">
        <v>903</v>
      </c>
      <c r="B904" s="3481" t="s">
        <v>4453</v>
      </c>
      <c r="C904" s="3481" t="s">
        <v>3400</v>
      </c>
      <c r="D904" s="3482">
        <v>46.52</v>
      </c>
    </row>
    <row r="905" spans="1:4">
      <c r="A905" s="3536">
        <v>904</v>
      </c>
      <c r="B905" s="3481" t="s">
        <v>4454</v>
      </c>
      <c r="C905" s="3481" t="s">
        <v>3400</v>
      </c>
      <c r="D905" s="3482">
        <v>46.52</v>
      </c>
    </row>
    <row r="906" spans="1:4">
      <c r="A906" s="3536">
        <v>905</v>
      </c>
      <c r="B906" s="3481" t="s">
        <v>4455</v>
      </c>
      <c r="C906" s="3481" t="s">
        <v>3400</v>
      </c>
      <c r="D906" s="3482">
        <v>23.26</v>
      </c>
    </row>
    <row r="907" spans="1:4">
      <c r="A907" s="3536">
        <v>906</v>
      </c>
      <c r="B907" s="3481" t="s">
        <v>4456</v>
      </c>
      <c r="C907" s="3481" t="s">
        <v>3400</v>
      </c>
      <c r="D907" s="3482">
        <v>23.26</v>
      </c>
    </row>
    <row r="908" spans="1:4">
      <c r="A908" s="3536">
        <v>907</v>
      </c>
      <c r="B908" s="3481" t="s">
        <v>4457</v>
      </c>
      <c r="C908" s="3481" t="s">
        <v>3400</v>
      </c>
      <c r="D908" s="3482">
        <v>46.52</v>
      </c>
    </row>
    <row r="909" spans="1:4">
      <c r="A909" s="3536">
        <v>908</v>
      </c>
      <c r="B909" s="3481" t="s">
        <v>4458</v>
      </c>
      <c r="C909" s="3481" t="s">
        <v>3400</v>
      </c>
      <c r="D909" s="3482">
        <v>46.52</v>
      </c>
    </row>
    <row r="910" spans="1:4">
      <c r="A910" s="3536">
        <v>909</v>
      </c>
      <c r="B910" s="3481" t="s">
        <v>4459</v>
      </c>
      <c r="C910" s="3481" t="s">
        <v>3400</v>
      </c>
      <c r="D910" s="3482">
        <v>46.52</v>
      </c>
    </row>
    <row r="911" spans="1:4">
      <c r="A911" s="3536">
        <v>910</v>
      </c>
      <c r="B911" s="3481" t="s">
        <v>4460</v>
      </c>
      <c r="C911" s="3481" t="s">
        <v>3400</v>
      </c>
      <c r="D911" s="3482">
        <v>46.52</v>
      </c>
    </row>
    <row r="912" spans="1:4">
      <c r="A912" s="3536">
        <v>911</v>
      </c>
      <c r="B912" s="3481" t="s">
        <v>4461</v>
      </c>
      <c r="C912" s="3481" t="s">
        <v>3400</v>
      </c>
      <c r="D912" s="3482">
        <v>46.52</v>
      </c>
    </row>
    <row r="913" spans="1:4">
      <c r="A913" s="3536">
        <v>912</v>
      </c>
      <c r="B913" s="3481" t="s">
        <v>4462</v>
      </c>
      <c r="C913" s="3481" t="s">
        <v>3400</v>
      </c>
      <c r="D913" s="3482">
        <v>46.52</v>
      </c>
    </row>
    <row r="914" spans="1:4">
      <c r="A914" s="3536">
        <v>913</v>
      </c>
      <c r="B914" s="3481" t="s">
        <v>4463</v>
      </c>
      <c r="C914" s="3481" t="s">
        <v>3400</v>
      </c>
      <c r="D914" s="3482">
        <v>23.26</v>
      </c>
    </row>
    <row r="915" spans="1:4">
      <c r="A915" s="3536">
        <v>914</v>
      </c>
      <c r="B915" s="3481" t="s">
        <v>4464</v>
      </c>
      <c r="C915" s="3481" t="s">
        <v>3400</v>
      </c>
      <c r="D915" s="3482">
        <v>23.26</v>
      </c>
    </row>
    <row r="916" spans="1:4">
      <c r="A916" s="3536">
        <v>915</v>
      </c>
      <c r="B916" s="3481" t="s">
        <v>4465</v>
      </c>
      <c r="C916" s="3481" t="s">
        <v>3400</v>
      </c>
      <c r="D916" s="3482">
        <v>33.619999999999997</v>
      </c>
    </row>
    <row r="917" spans="1:4">
      <c r="A917" s="3536">
        <v>916</v>
      </c>
      <c r="B917" s="3481" t="s">
        <v>4466</v>
      </c>
      <c r="C917" s="3481" t="s">
        <v>3400</v>
      </c>
      <c r="D917" s="3482">
        <v>33.619999999999997</v>
      </c>
    </row>
    <row r="918" spans="1:4">
      <c r="A918" s="3536">
        <v>917</v>
      </c>
      <c r="B918" s="3481" t="s">
        <v>4467</v>
      </c>
      <c r="C918" s="3481" t="s">
        <v>3400</v>
      </c>
      <c r="D918" s="3482">
        <v>33.619999999999997</v>
      </c>
    </row>
    <row r="919" spans="1:4">
      <c r="A919" s="3536">
        <v>918</v>
      </c>
      <c r="B919" s="3481" t="s">
        <v>4468</v>
      </c>
      <c r="C919" s="3481" t="s">
        <v>3400</v>
      </c>
      <c r="D919" s="3482">
        <v>33.619999999999997</v>
      </c>
    </row>
    <row r="920" spans="1:4">
      <c r="A920" s="3536">
        <v>919</v>
      </c>
      <c r="B920" s="3481" t="s">
        <v>4469</v>
      </c>
      <c r="C920" s="3481" t="s">
        <v>3400</v>
      </c>
      <c r="D920" s="3482">
        <v>33.619999999999997</v>
      </c>
    </row>
    <row r="921" spans="1:4">
      <c r="A921" s="3536">
        <v>920</v>
      </c>
      <c r="B921" s="3481" t="s">
        <v>4470</v>
      </c>
      <c r="C921" s="3481" t="s">
        <v>3400</v>
      </c>
      <c r="D921" s="3482">
        <v>33.619999999999997</v>
      </c>
    </row>
    <row r="922" spans="1:4">
      <c r="A922" s="3536">
        <v>921</v>
      </c>
      <c r="B922" s="3481" t="s">
        <v>4471</v>
      </c>
      <c r="C922" s="3481" t="s">
        <v>3400</v>
      </c>
      <c r="D922" s="3482">
        <v>33.619999999999997</v>
      </c>
    </row>
    <row r="923" spans="1:4">
      <c r="A923" s="3536">
        <v>922</v>
      </c>
      <c r="B923" s="3481" t="s">
        <v>4472</v>
      </c>
      <c r="C923" s="3481" t="s">
        <v>3400</v>
      </c>
      <c r="D923" s="3482">
        <v>33.619999999999997</v>
      </c>
    </row>
    <row r="924" spans="1:4">
      <c r="A924" s="3536">
        <v>923</v>
      </c>
      <c r="B924" s="3481" t="s">
        <v>4473</v>
      </c>
      <c r="C924" s="3481" t="s">
        <v>3400</v>
      </c>
      <c r="D924" s="3482">
        <v>33.619999999999997</v>
      </c>
    </row>
    <row r="925" spans="1:4">
      <c r="A925" s="3536">
        <v>924</v>
      </c>
      <c r="B925" s="3481" t="s">
        <v>4474</v>
      </c>
      <c r="C925" s="3481" t="s">
        <v>3400</v>
      </c>
      <c r="D925" s="3482">
        <v>33.619999999999997</v>
      </c>
    </row>
    <row r="926" spans="1:4">
      <c r="A926" s="3536">
        <v>925</v>
      </c>
      <c r="B926" s="3481" t="s">
        <v>4475</v>
      </c>
      <c r="C926" s="3481" t="s">
        <v>3400</v>
      </c>
      <c r="D926" s="3482">
        <v>33.619999999999997</v>
      </c>
    </row>
    <row r="927" spans="1:4">
      <c r="A927" s="3536">
        <v>926</v>
      </c>
      <c r="B927" s="3481" t="s">
        <v>4476</v>
      </c>
      <c r="C927" s="3481" t="s">
        <v>3400</v>
      </c>
      <c r="D927" s="3482">
        <v>33.619999999999997</v>
      </c>
    </row>
    <row r="928" spans="1:4">
      <c r="A928" s="3536">
        <v>927</v>
      </c>
      <c r="B928" s="3481" t="s">
        <v>4477</v>
      </c>
      <c r="C928" s="3481" t="s">
        <v>3400</v>
      </c>
      <c r="D928" s="3482">
        <v>33.619999999999997</v>
      </c>
    </row>
    <row r="929" spans="1:4">
      <c r="A929" s="3536">
        <v>928</v>
      </c>
      <c r="B929" s="3481" t="s">
        <v>4478</v>
      </c>
      <c r="C929" s="3481" t="s">
        <v>3400</v>
      </c>
      <c r="D929" s="3482">
        <v>33.619999999999997</v>
      </c>
    </row>
    <row r="930" spans="1:4">
      <c r="A930" s="3536">
        <v>929</v>
      </c>
      <c r="B930" s="3481" t="s">
        <v>4479</v>
      </c>
      <c r="C930" s="3481" t="s">
        <v>3400</v>
      </c>
      <c r="D930" s="3482">
        <v>33.619999999999997</v>
      </c>
    </row>
    <row r="931" spans="1:4">
      <c r="A931" s="3536">
        <v>930</v>
      </c>
      <c r="B931" s="3481" t="s">
        <v>4480</v>
      </c>
      <c r="C931" s="3481" t="s">
        <v>3400</v>
      </c>
      <c r="D931" s="3482">
        <v>50.43</v>
      </c>
    </row>
    <row r="932" spans="1:4">
      <c r="A932" s="3536">
        <v>931</v>
      </c>
      <c r="B932" s="3481" t="s">
        <v>4481</v>
      </c>
      <c r="C932" s="3481" t="s">
        <v>3400</v>
      </c>
      <c r="D932" s="3482">
        <v>33.619999999999997</v>
      </c>
    </row>
    <row r="933" spans="1:4">
      <c r="A933" s="3536">
        <v>932</v>
      </c>
      <c r="B933" s="3481" t="s">
        <v>4482</v>
      </c>
      <c r="C933" s="3481" t="s">
        <v>3400</v>
      </c>
      <c r="D933" s="3482">
        <v>33.619999999999997</v>
      </c>
    </row>
    <row r="934" spans="1:4">
      <c r="A934" s="3536">
        <v>933</v>
      </c>
      <c r="B934" s="3481" t="s">
        <v>4483</v>
      </c>
      <c r="C934" s="3481" t="s">
        <v>3400</v>
      </c>
      <c r="D934" s="3482">
        <v>33.619999999999997</v>
      </c>
    </row>
    <row r="935" spans="1:4">
      <c r="A935" s="3536">
        <v>934</v>
      </c>
      <c r="B935" s="3481" t="s">
        <v>4484</v>
      </c>
      <c r="C935" s="3481" t="s">
        <v>3400</v>
      </c>
      <c r="D935" s="3482">
        <v>33.619999999999997</v>
      </c>
    </row>
    <row r="936" spans="1:4">
      <c r="A936" s="3536">
        <v>935</v>
      </c>
      <c r="B936" s="3481" t="s">
        <v>4485</v>
      </c>
      <c r="C936" s="3481" t="s">
        <v>3400</v>
      </c>
      <c r="D936" s="3482">
        <v>33.619999999999997</v>
      </c>
    </row>
    <row r="937" spans="1:4">
      <c r="A937" s="3536">
        <v>936</v>
      </c>
      <c r="B937" s="3481" t="s">
        <v>4486</v>
      </c>
      <c r="C937" s="3481" t="s">
        <v>3400</v>
      </c>
      <c r="D937" s="3482">
        <v>33.619999999999997</v>
      </c>
    </row>
    <row r="938" spans="1:4">
      <c r="A938" s="3536">
        <v>937</v>
      </c>
      <c r="B938" s="3481" t="s">
        <v>4487</v>
      </c>
      <c r="C938" s="3481" t="s">
        <v>3400</v>
      </c>
      <c r="D938" s="3482">
        <v>33.619999999999997</v>
      </c>
    </row>
    <row r="939" spans="1:4">
      <c r="A939" s="3536">
        <v>938</v>
      </c>
      <c r="B939" s="3481" t="s">
        <v>4488</v>
      </c>
      <c r="C939" s="3481" t="s">
        <v>3400</v>
      </c>
      <c r="D939" s="3482">
        <v>33.619999999999997</v>
      </c>
    </row>
    <row r="940" spans="1:4">
      <c r="A940" s="3536">
        <v>939</v>
      </c>
      <c r="B940" s="3481" t="s">
        <v>4489</v>
      </c>
      <c r="C940" s="3481" t="s">
        <v>3400</v>
      </c>
      <c r="D940" s="3482">
        <v>33.619999999999997</v>
      </c>
    </row>
    <row r="941" spans="1:4">
      <c r="A941" s="3536">
        <v>940</v>
      </c>
      <c r="B941" s="3481" t="s">
        <v>4490</v>
      </c>
      <c r="C941" s="3481" t="s">
        <v>3400</v>
      </c>
      <c r="D941" s="3482">
        <v>33.619999999999997</v>
      </c>
    </row>
    <row r="942" spans="1:4">
      <c r="A942" s="3536">
        <v>941</v>
      </c>
      <c r="B942" s="3481" t="s">
        <v>4491</v>
      </c>
      <c r="C942" s="3481" t="s">
        <v>3400</v>
      </c>
      <c r="D942" s="3482">
        <v>33.619999999999997</v>
      </c>
    </row>
    <row r="943" spans="1:4">
      <c r="A943" s="3536">
        <v>942</v>
      </c>
      <c r="B943" s="3481" t="s">
        <v>4492</v>
      </c>
      <c r="C943" s="3481" t="s">
        <v>3400</v>
      </c>
      <c r="D943" s="3482">
        <v>33.619999999999997</v>
      </c>
    </row>
    <row r="944" spans="1:4">
      <c r="A944" s="3536">
        <v>943</v>
      </c>
      <c r="B944" s="3481" t="s">
        <v>4493</v>
      </c>
      <c r="C944" s="3481" t="s">
        <v>3400</v>
      </c>
      <c r="D944" s="3482">
        <v>33.619999999999997</v>
      </c>
    </row>
    <row r="945" spans="1:4">
      <c r="A945" s="3536">
        <v>944</v>
      </c>
      <c r="B945" s="3481" t="s">
        <v>4494</v>
      </c>
      <c r="C945" s="3481" t="s">
        <v>3400</v>
      </c>
      <c r="D945" s="3482">
        <v>33.619999999999997</v>
      </c>
    </row>
    <row r="946" spans="1:4">
      <c r="A946" s="3536">
        <v>945</v>
      </c>
      <c r="B946" s="3481" t="s">
        <v>4495</v>
      </c>
      <c r="C946" s="3481" t="s">
        <v>3400</v>
      </c>
      <c r="D946" s="3482">
        <v>23.26</v>
      </c>
    </row>
    <row r="947" spans="1:4">
      <c r="A947" s="3536">
        <v>946</v>
      </c>
      <c r="B947" s="3481" t="s">
        <v>4496</v>
      </c>
      <c r="C947" s="3481" t="s">
        <v>3400</v>
      </c>
      <c r="D947" s="3482">
        <v>23.26</v>
      </c>
    </row>
    <row r="948" spans="1:4">
      <c r="A948" s="3536">
        <v>947</v>
      </c>
      <c r="B948" s="3481" t="s">
        <v>4497</v>
      </c>
      <c r="C948" s="3481" t="s">
        <v>3400</v>
      </c>
      <c r="D948" s="3482">
        <v>46.52</v>
      </c>
    </row>
    <row r="949" spans="1:4">
      <c r="A949" s="3536">
        <v>948</v>
      </c>
      <c r="B949" s="3481" t="s">
        <v>4498</v>
      </c>
      <c r="C949" s="3481" t="s">
        <v>3400</v>
      </c>
      <c r="D949" s="3482">
        <v>46.52</v>
      </c>
    </row>
    <row r="950" spans="1:4">
      <c r="A950" s="3536">
        <v>949</v>
      </c>
      <c r="B950" s="3481" t="s">
        <v>4499</v>
      </c>
      <c r="C950" s="3481" t="s">
        <v>3400</v>
      </c>
      <c r="D950" s="3482">
        <v>46.52</v>
      </c>
    </row>
    <row r="951" spans="1:4">
      <c r="A951" s="3536">
        <v>950</v>
      </c>
      <c r="B951" s="3481" t="s">
        <v>4500</v>
      </c>
      <c r="C951" s="3481" t="s">
        <v>3400</v>
      </c>
      <c r="D951" s="3482">
        <v>46.52</v>
      </c>
    </row>
    <row r="952" spans="1:4">
      <c r="A952" s="3536">
        <v>951</v>
      </c>
      <c r="B952" s="3481" t="s">
        <v>4501</v>
      </c>
      <c r="C952" s="3481" t="s">
        <v>3400</v>
      </c>
      <c r="D952" s="3482">
        <v>46.52</v>
      </c>
    </row>
    <row r="953" spans="1:4">
      <c r="A953" s="3536">
        <v>952</v>
      </c>
      <c r="B953" s="3481" t="s">
        <v>4502</v>
      </c>
      <c r="C953" s="3481" t="s">
        <v>3400</v>
      </c>
      <c r="D953" s="3482">
        <v>46.52</v>
      </c>
    </row>
    <row r="954" spans="1:4">
      <c r="A954" s="3536">
        <v>953</v>
      </c>
      <c r="B954" s="3481" t="s">
        <v>4503</v>
      </c>
      <c r="C954" s="3481" t="s">
        <v>3400</v>
      </c>
      <c r="D954" s="3482">
        <v>46.52</v>
      </c>
    </row>
    <row r="955" spans="1:4">
      <c r="A955" s="3536">
        <v>954</v>
      </c>
      <c r="B955" s="3481" t="s">
        <v>4504</v>
      </c>
      <c r="C955" s="3481" t="s">
        <v>3400</v>
      </c>
      <c r="D955" s="3482">
        <v>46.52</v>
      </c>
    </row>
    <row r="956" spans="1:4">
      <c r="A956" s="3536">
        <v>955</v>
      </c>
      <c r="B956" s="3481" t="s">
        <v>4505</v>
      </c>
      <c r="C956" s="3481" t="s">
        <v>3400</v>
      </c>
      <c r="D956" s="3482">
        <v>46.52</v>
      </c>
    </row>
    <row r="957" spans="1:4">
      <c r="A957" s="3536">
        <v>956</v>
      </c>
      <c r="B957" s="3481" t="s">
        <v>4506</v>
      </c>
      <c r="C957" s="3481" t="s">
        <v>3400</v>
      </c>
      <c r="D957" s="3482">
        <v>46.52</v>
      </c>
    </row>
    <row r="958" spans="1:4">
      <c r="A958" s="3536">
        <v>957</v>
      </c>
      <c r="B958" s="3481" t="s">
        <v>4507</v>
      </c>
      <c r="C958" s="3481" t="s">
        <v>3400</v>
      </c>
      <c r="D958" s="3482">
        <v>46.52</v>
      </c>
    </row>
    <row r="959" spans="1:4">
      <c r="A959" s="3536">
        <v>958</v>
      </c>
      <c r="B959" s="3481" t="s">
        <v>4508</v>
      </c>
      <c r="C959" s="3481" t="s">
        <v>3400</v>
      </c>
      <c r="D959" s="3482">
        <v>46.52</v>
      </c>
    </row>
    <row r="960" spans="1:4">
      <c r="A960" s="3536">
        <v>959</v>
      </c>
      <c r="B960" s="3481" t="s">
        <v>4509</v>
      </c>
      <c r="C960" s="3481" t="s">
        <v>3400</v>
      </c>
      <c r="D960" s="3482">
        <v>46.52</v>
      </c>
    </row>
    <row r="961" spans="1:4">
      <c r="A961" s="3536">
        <v>960</v>
      </c>
      <c r="B961" s="3481" t="s">
        <v>4510</v>
      </c>
      <c r="C961" s="3481" t="s">
        <v>3400</v>
      </c>
      <c r="D961" s="3482">
        <v>46.52</v>
      </c>
    </row>
    <row r="962" spans="1:4">
      <c r="A962" s="3536">
        <v>961</v>
      </c>
      <c r="B962" s="3481" t="s">
        <v>4511</v>
      </c>
      <c r="C962" s="3481" t="s">
        <v>3400</v>
      </c>
      <c r="D962" s="3482">
        <v>23.26</v>
      </c>
    </row>
    <row r="963" spans="1:4">
      <c r="A963" s="3536">
        <v>962</v>
      </c>
      <c r="B963" s="3481" t="s">
        <v>4512</v>
      </c>
      <c r="C963" s="3481" t="s">
        <v>3400</v>
      </c>
      <c r="D963" s="3482">
        <v>23.26</v>
      </c>
    </row>
    <row r="964" spans="1:4">
      <c r="A964" s="3536">
        <v>963</v>
      </c>
      <c r="B964" s="3481" t="s">
        <v>4513</v>
      </c>
      <c r="C964" s="3481" t="s">
        <v>3400</v>
      </c>
      <c r="D964" s="3482">
        <v>33.619999999999997</v>
      </c>
    </row>
    <row r="965" spans="1:4">
      <c r="A965" s="3536">
        <v>964</v>
      </c>
      <c r="B965" s="3481" t="s">
        <v>4514</v>
      </c>
      <c r="C965" s="3481" t="s">
        <v>3400</v>
      </c>
      <c r="D965" s="3482">
        <v>33.619999999999997</v>
      </c>
    </row>
    <row r="966" spans="1:4">
      <c r="A966" s="3536">
        <v>965</v>
      </c>
      <c r="B966" s="3481" t="s">
        <v>4515</v>
      </c>
      <c r="C966" s="3481" t="s">
        <v>3400</v>
      </c>
      <c r="D966" s="3482">
        <v>33.619999999999997</v>
      </c>
    </row>
    <row r="967" spans="1:4">
      <c r="A967" s="3536">
        <v>966</v>
      </c>
      <c r="B967" s="3481" t="s">
        <v>4516</v>
      </c>
      <c r="C967" s="3481" t="s">
        <v>3400</v>
      </c>
      <c r="D967" s="3482">
        <v>33.619999999999997</v>
      </c>
    </row>
    <row r="968" spans="1:4">
      <c r="A968" s="3536">
        <v>967</v>
      </c>
      <c r="B968" s="3481" t="s">
        <v>4517</v>
      </c>
      <c r="C968" s="3481" t="s">
        <v>3400</v>
      </c>
      <c r="D968" s="3482">
        <v>33.619999999999997</v>
      </c>
    </row>
    <row r="969" spans="1:4">
      <c r="A969" s="3536">
        <v>968</v>
      </c>
      <c r="B969" s="3481" t="s">
        <v>4518</v>
      </c>
      <c r="C969" s="3481" t="s">
        <v>3400</v>
      </c>
      <c r="D969" s="3482">
        <v>33.619999999999997</v>
      </c>
    </row>
    <row r="970" spans="1:4">
      <c r="A970" s="3536">
        <v>969</v>
      </c>
      <c r="B970" s="3481" t="s">
        <v>4519</v>
      </c>
      <c r="C970" s="3481" t="s">
        <v>3400</v>
      </c>
      <c r="D970" s="3482">
        <v>33.619999999999997</v>
      </c>
    </row>
    <row r="971" spans="1:4">
      <c r="A971" s="3536">
        <v>970</v>
      </c>
      <c r="B971" s="3481" t="s">
        <v>4520</v>
      </c>
      <c r="C971" s="3481" t="s">
        <v>3400</v>
      </c>
      <c r="D971" s="3482">
        <v>33.619999999999997</v>
      </c>
    </row>
    <row r="972" spans="1:4">
      <c r="A972" s="3536">
        <v>971</v>
      </c>
      <c r="B972" s="3481" t="s">
        <v>4521</v>
      </c>
      <c r="C972" s="3481" t="s">
        <v>3400</v>
      </c>
      <c r="D972" s="3482">
        <v>33.619999999999997</v>
      </c>
    </row>
    <row r="973" spans="1:4">
      <c r="A973" s="3536">
        <v>972</v>
      </c>
      <c r="B973" s="3481" t="s">
        <v>4522</v>
      </c>
      <c r="C973" s="3481" t="s">
        <v>3400</v>
      </c>
      <c r="D973" s="3482">
        <v>33.619999999999997</v>
      </c>
    </row>
    <row r="974" spans="1:4">
      <c r="A974" s="3536">
        <v>973</v>
      </c>
      <c r="B974" s="3481" t="s">
        <v>4523</v>
      </c>
      <c r="C974" s="3481" t="s">
        <v>3400</v>
      </c>
      <c r="D974" s="3482">
        <v>33.619999999999997</v>
      </c>
    </row>
    <row r="975" spans="1:4">
      <c r="A975" s="3536">
        <v>974</v>
      </c>
      <c r="B975" s="3481" t="s">
        <v>4524</v>
      </c>
      <c r="C975" s="3481" t="s">
        <v>3400</v>
      </c>
      <c r="D975" s="3482">
        <v>33.619999999999997</v>
      </c>
    </row>
    <row r="976" spans="1:4">
      <c r="A976" s="3536">
        <v>975</v>
      </c>
      <c r="B976" s="3481" t="s">
        <v>4525</v>
      </c>
      <c r="C976" s="3481" t="s">
        <v>3400</v>
      </c>
      <c r="D976" s="3482">
        <v>33.619999999999997</v>
      </c>
    </row>
    <row r="977" spans="1:4">
      <c r="A977" s="3536">
        <v>976</v>
      </c>
      <c r="B977" s="3481" t="s">
        <v>4526</v>
      </c>
      <c r="C977" s="3481" t="s">
        <v>3400</v>
      </c>
      <c r="D977" s="3482">
        <v>33.619999999999997</v>
      </c>
    </row>
    <row r="978" spans="1:4">
      <c r="A978" s="3536">
        <v>977</v>
      </c>
      <c r="B978" s="3481" t="s">
        <v>4527</v>
      </c>
      <c r="C978" s="3481" t="s">
        <v>3400</v>
      </c>
      <c r="D978" s="3482">
        <v>33.619999999999997</v>
      </c>
    </row>
    <row r="979" spans="1:4">
      <c r="A979" s="3536">
        <v>978</v>
      </c>
      <c r="B979" s="3481" t="s">
        <v>4528</v>
      </c>
      <c r="C979" s="3481" t="s">
        <v>3400</v>
      </c>
      <c r="D979" s="3482">
        <v>33.619999999999997</v>
      </c>
    </row>
    <row r="980" spans="1:4">
      <c r="A980" s="3536">
        <v>979</v>
      </c>
      <c r="B980" s="3481" t="s">
        <v>4529</v>
      </c>
      <c r="C980" s="3481" t="s">
        <v>3400</v>
      </c>
      <c r="D980" s="3482">
        <v>33.619999999999997</v>
      </c>
    </row>
    <row r="981" spans="1:4">
      <c r="A981" s="3536">
        <v>980</v>
      </c>
      <c r="B981" s="3481" t="s">
        <v>4530</v>
      </c>
      <c r="C981" s="3481" t="s">
        <v>3400</v>
      </c>
      <c r="D981" s="3482">
        <v>33.619999999999997</v>
      </c>
    </row>
    <row r="982" spans="1:4">
      <c r="A982" s="3536">
        <v>981</v>
      </c>
      <c r="B982" s="3481" t="s">
        <v>4531</v>
      </c>
      <c r="C982" s="3481" t="s">
        <v>3400</v>
      </c>
      <c r="D982" s="3482">
        <v>33.619999999999997</v>
      </c>
    </row>
    <row r="983" spans="1:4">
      <c r="A983" s="3536">
        <v>982</v>
      </c>
      <c r="B983" s="3481" t="s">
        <v>4532</v>
      </c>
      <c r="C983" s="3481" t="s">
        <v>3400</v>
      </c>
      <c r="D983" s="3482">
        <v>33.619999999999997</v>
      </c>
    </row>
    <row r="984" spans="1:4">
      <c r="A984" s="3536">
        <v>983</v>
      </c>
      <c r="B984" s="3481" t="s">
        <v>4533</v>
      </c>
      <c r="C984" s="3481" t="s">
        <v>3400</v>
      </c>
      <c r="D984" s="3482">
        <v>33.619999999999997</v>
      </c>
    </row>
    <row r="985" spans="1:4">
      <c r="A985" s="3536">
        <v>984</v>
      </c>
      <c r="B985" s="3481" t="s">
        <v>4534</v>
      </c>
      <c r="C985" s="3481" t="s">
        <v>3400</v>
      </c>
      <c r="D985" s="3482">
        <v>33.619999999999997</v>
      </c>
    </row>
    <row r="986" spans="1:4">
      <c r="A986" s="3536">
        <v>985</v>
      </c>
      <c r="B986" s="3481" t="s">
        <v>4535</v>
      </c>
      <c r="C986" s="3481" t="s">
        <v>3400</v>
      </c>
      <c r="D986" s="3482">
        <v>33.619999999999997</v>
      </c>
    </row>
    <row r="987" spans="1:4">
      <c r="A987" s="3536">
        <v>986</v>
      </c>
      <c r="B987" s="3481" t="s">
        <v>4536</v>
      </c>
      <c r="C987" s="3481" t="s">
        <v>3400</v>
      </c>
      <c r="D987" s="3482">
        <v>33.619999999999997</v>
      </c>
    </row>
    <row r="988" spans="1:4">
      <c r="A988" s="3536">
        <v>987</v>
      </c>
      <c r="B988" s="3481" t="s">
        <v>4537</v>
      </c>
      <c r="C988" s="3481" t="s">
        <v>3400</v>
      </c>
      <c r="D988" s="3482">
        <v>33.619999999999997</v>
      </c>
    </row>
    <row r="989" spans="1:4">
      <c r="A989" s="3536">
        <v>988</v>
      </c>
      <c r="B989" s="3481" t="s">
        <v>4538</v>
      </c>
      <c r="C989" s="3481" t="s">
        <v>3400</v>
      </c>
      <c r="D989" s="3482">
        <v>33.619999999999997</v>
      </c>
    </row>
    <row r="990" spans="1:4">
      <c r="A990" s="3536">
        <v>989</v>
      </c>
      <c r="B990" s="3481" t="s">
        <v>4539</v>
      </c>
      <c r="C990" s="3481" t="s">
        <v>3400</v>
      </c>
      <c r="D990" s="3482">
        <v>33.619999999999997</v>
      </c>
    </row>
    <row r="991" spans="1:4">
      <c r="A991" s="3536">
        <v>990</v>
      </c>
      <c r="B991" s="3481" t="s">
        <v>4540</v>
      </c>
      <c r="C991" s="3481" t="s">
        <v>3400</v>
      </c>
      <c r="D991" s="3482">
        <v>33.619999999999997</v>
      </c>
    </row>
    <row r="992" spans="1:4">
      <c r="A992" s="3536">
        <v>991</v>
      </c>
      <c r="B992" s="3481" t="s">
        <v>4541</v>
      </c>
      <c r="C992" s="3481" t="s">
        <v>3400</v>
      </c>
      <c r="D992" s="3482">
        <v>33.619999999999997</v>
      </c>
    </row>
    <row r="993" spans="1:4">
      <c r="A993" s="3536">
        <v>992</v>
      </c>
      <c r="B993" s="3481" t="s">
        <v>4542</v>
      </c>
      <c r="C993" s="3481" t="s">
        <v>3400</v>
      </c>
      <c r="D993" s="3482">
        <v>33.619999999999997</v>
      </c>
    </row>
    <row r="994" spans="1:4">
      <c r="A994" s="3536">
        <v>993</v>
      </c>
      <c r="B994" s="3481" t="s">
        <v>4543</v>
      </c>
      <c r="C994" s="3481" t="s">
        <v>3400</v>
      </c>
      <c r="D994" s="3482">
        <v>23.26</v>
      </c>
    </row>
    <row r="995" spans="1:4">
      <c r="A995" s="3536">
        <v>994</v>
      </c>
      <c r="B995" s="3481" t="s">
        <v>4544</v>
      </c>
      <c r="C995" s="3481" t="s">
        <v>3400</v>
      </c>
      <c r="D995" s="3482">
        <v>23.26</v>
      </c>
    </row>
    <row r="996" spans="1:4">
      <c r="A996" s="3536">
        <v>995</v>
      </c>
      <c r="B996" s="3481" t="s">
        <v>4545</v>
      </c>
      <c r="C996" s="3481" t="s">
        <v>3400</v>
      </c>
      <c r="D996" s="3482">
        <v>46.52</v>
      </c>
    </row>
    <row r="997" spans="1:4">
      <c r="A997" s="3536">
        <v>996</v>
      </c>
      <c r="B997" s="3481" t="s">
        <v>4546</v>
      </c>
      <c r="C997" s="3481" t="s">
        <v>3400</v>
      </c>
      <c r="D997" s="3482">
        <v>46.52</v>
      </c>
    </row>
    <row r="998" spans="1:4">
      <c r="A998" s="3536">
        <v>997</v>
      </c>
      <c r="B998" s="3481" t="s">
        <v>4547</v>
      </c>
      <c r="C998" s="3481" t="s">
        <v>3400</v>
      </c>
      <c r="D998" s="3482">
        <v>46.52</v>
      </c>
    </row>
    <row r="999" spans="1:4">
      <c r="A999" s="3536">
        <v>998</v>
      </c>
      <c r="B999" s="3481" t="s">
        <v>4548</v>
      </c>
      <c r="C999" s="3481" t="s">
        <v>3400</v>
      </c>
      <c r="D999" s="3482">
        <v>46.52</v>
      </c>
    </row>
    <row r="1000" spans="1:4">
      <c r="A1000" s="3536">
        <v>999</v>
      </c>
      <c r="B1000" s="3481" t="s">
        <v>4549</v>
      </c>
      <c r="C1000" s="3481" t="s">
        <v>3400</v>
      </c>
      <c r="D1000" s="3482">
        <v>46.52</v>
      </c>
    </row>
    <row r="1001" spans="1:4">
      <c r="A1001" s="3536">
        <v>1000</v>
      </c>
      <c r="B1001" s="3481" t="s">
        <v>4550</v>
      </c>
      <c r="C1001" s="3481" t="s">
        <v>3400</v>
      </c>
      <c r="D1001" s="3482">
        <v>46.52</v>
      </c>
    </row>
    <row r="1002" spans="1:4">
      <c r="A1002" s="3536">
        <v>1001</v>
      </c>
      <c r="B1002" s="3481" t="s">
        <v>4551</v>
      </c>
      <c r="C1002" s="3481" t="s">
        <v>3400</v>
      </c>
      <c r="D1002" s="3482">
        <v>46.52</v>
      </c>
    </row>
    <row r="1003" spans="1:4">
      <c r="A1003" s="3536">
        <v>1002</v>
      </c>
      <c r="B1003" s="3481" t="s">
        <v>4552</v>
      </c>
      <c r="C1003" s="3481" t="s">
        <v>3400</v>
      </c>
      <c r="D1003" s="3482">
        <v>46.52</v>
      </c>
    </row>
    <row r="1004" spans="1:4">
      <c r="A1004" s="3536">
        <v>1003</v>
      </c>
      <c r="B1004" s="3481" t="s">
        <v>4553</v>
      </c>
      <c r="C1004" s="3481" t="s">
        <v>3400</v>
      </c>
      <c r="D1004" s="3482">
        <v>46.52</v>
      </c>
    </row>
    <row r="1005" spans="1:4">
      <c r="A1005" s="3536">
        <v>1004</v>
      </c>
      <c r="B1005" s="3481" t="s">
        <v>4554</v>
      </c>
      <c r="C1005" s="3481" t="s">
        <v>3400</v>
      </c>
      <c r="D1005" s="3482">
        <v>46.52</v>
      </c>
    </row>
    <row r="1006" spans="1:4">
      <c r="A1006" s="3536">
        <v>1005</v>
      </c>
      <c r="B1006" s="3481" t="s">
        <v>4555</v>
      </c>
      <c r="C1006" s="3481" t="s">
        <v>3400</v>
      </c>
      <c r="D1006" s="3482">
        <v>46.52</v>
      </c>
    </row>
    <row r="1007" spans="1:4">
      <c r="A1007" s="3536">
        <v>1006</v>
      </c>
      <c r="B1007" s="3481" t="s">
        <v>4556</v>
      </c>
      <c r="C1007" s="3481" t="s">
        <v>3400</v>
      </c>
      <c r="D1007" s="3482">
        <v>46.52</v>
      </c>
    </row>
    <row r="1008" spans="1:4">
      <c r="A1008" s="3536">
        <v>1007</v>
      </c>
      <c r="B1008" s="3481" t="s">
        <v>4557</v>
      </c>
      <c r="C1008" s="3481" t="s">
        <v>3400</v>
      </c>
      <c r="D1008" s="3482">
        <v>46.52</v>
      </c>
    </row>
    <row r="1009" spans="1:4">
      <c r="A1009" s="3536">
        <v>1008</v>
      </c>
      <c r="B1009" s="3481" t="s">
        <v>4558</v>
      </c>
      <c r="C1009" s="3481" t="s">
        <v>3400</v>
      </c>
      <c r="D1009" s="3482">
        <v>46.52</v>
      </c>
    </row>
    <row r="1010" spans="1:4">
      <c r="A1010" s="3536">
        <v>1009</v>
      </c>
      <c r="B1010" s="3481" t="s">
        <v>4559</v>
      </c>
      <c r="C1010" s="3481" t="s">
        <v>3400</v>
      </c>
      <c r="D1010" s="3482">
        <v>46.52</v>
      </c>
    </row>
    <row r="1011" spans="1:4">
      <c r="A1011" s="3536">
        <v>1010</v>
      </c>
      <c r="B1011" s="3481" t="s">
        <v>4560</v>
      </c>
      <c r="C1011" s="3481" t="s">
        <v>3400</v>
      </c>
      <c r="D1011" s="3482">
        <v>46.52</v>
      </c>
    </row>
    <row r="1012" spans="1:4">
      <c r="A1012" s="3536">
        <v>1011</v>
      </c>
      <c r="B1012" s="3481" t="s">
        <v>4561</v>
      </c>
      <c r="C1012" s="3481" t="s">
        <v>3400</v>
      </c>
      <c r="D1012" s="3482">
        <v>33.619999999999997</v>
      </c>
    </row>
    <row r="1013" spans="1:4">
      <c r="A1013" s="3536">
        <v>1012</v>
      </c>
      <c r="B1013" s="3481" t="s">
        <v>4562</v>
      </c>
      <c r="C1013" s="3481" t="s">
        <v>3400</v>
      </c>
      <c r="D1013" s="3482">
        <v>33.619999999999997</v>
      </c>
    </row>
    <row r="1014" spans="1:4">
      <c r="A1014" s="3536">
        <v>1013</v>
      </c>
      <c r="B1014" s="3481" t="s">
        <v>4563</v>
      </c>
      <c r="C1014" s="3481" t="s">
        <v>3400</v>
      </c>
      <c r="D1014" s="3482">
        <v>46.52</v>
      </c>
    </row>
    <row r="1015" spans="1:4">
      <c r="A1015" s="3536">
        <v>1014</v>
      </c>
      <c r="B1015" s="3481" t="s">
        <v>4564</v>
      </c>
      <c r="C1015" s="3481" t="s">
        <v>3400</v>
      </c>
      <c r="D1015" s="3482">
        <v>46.52</v>
      </c>
    </row>
    <row r="1016" spans="1:4">
      <c r="A1016" s="3536">
        <v>1015</v>
      </c>
      <c r="B1016" s="3481" t="s">
        <v>4565</v>
      </c>
      <c r="C1016" s="3481" t="s">
        <v>3400</v>
      </c>
      <c r="D1016" s="3482">
        <v>46.52</v>
      </c>
    </row>
    <row r="1017" spans="1:4">
      <c r="A1017" s="3536">
        <v>1016</v>
      </c>
      <c r="B1017" s="3481" t="s">
        <v>4566</v>
      </c>
      <c r="C1017" s="3481" t="s">
        <v>3400</v>
      </c>
      <c r="D1017" s="3482">
        <v>46.52</v>
      </c>
    </row>
    <row r="1018" spans="1:4">
      <c r="A1018" s="3536">
        <v>1017</v>
      </c>
      <c r="B1018" s="3481" t="s">
        <v>4567</v>
      </c>
      <c r="C1018" s="3481" t="s">
        <v>3400</v>
      </c>
      <c r="D1018" s="3482">
        <v>46.52</v>
      </c>
    </row>
    <row r="1019" spans="1:4">
      <c r="A1019" s="3536">
        <v>1018</v>
      </c>
      <c r="B1019" s="3481" t="s">
        <v>4568</v>
      </c>
      <c r="C1019" s="3481" t="s">
        <v>3400</v>
      </c>
      <c r="D1019" s="3482">
        <v>67.239999999999995</v>
      </c>
    </row>
    <row r="1020" spans="1:4">
      <c r="A1020" s="3536">
        <v>1019</v>
      </c>
      <c r="B1020" s="3481" t="s">
        <v>4569</v>
      </c>
      <c r="C1020" s="3481" t="s">
        <v>3400</v>
      </c>
      <c r="D1020" s="3482">
        <v>67.239999999999995</v>
      </c>
    </row>
    <row r="1021" spans="1:4">
      <c r="A1021" s="3536">
        <v>1020</v>
      </c>
      <c r="B1021" s="3481" t="s">
        <v>4570</v>
      </c>
      <c r="C1021" s="3481" t="s">
        <v>3400</v>
      </c>
      <c r="D1021" s="3482">
        <v>33.619999999999997</v>
      </c>
    </row>
    <row r="1022" spans="1:4">
      <c r="A1022" s="3536">
        <v>1021</v>
      </c>
      <c r="B1022" s="3481" t="s">
        <v>4571</v>
      </c>
      <c r="C1022" s="3481" t="s">
        <v>3400</v>
      </c>
      <c r="D1022" s="3482">
        <v>33.619999999999997</v>
      </c>
    </row>
    <row r="1023" spans="1:4">
      <c r="A1023" s="3536">
        <v>1022</v>
      </c>
      <c r="B1023" s="3481" t="s">
        <v>4572</v>
      </c>
      <c r="C1023" s="3481" t="s">
        <v>3400</v>
      </c>
      <c r="D1023" s="3482">
        <v>33.619999999999997</v>
      </c>
    </row>
    <row r="1024" spans="1:4">
      <c r="A1024" s="3536">
        <v>1023</v>
      </c>
      <c r="B1024" s="3481" t="s">
        <v>4573</v>
      </c>
      <c r="C1024" s="3481" t="s">
        <v>3400</v>
      </c>
      <c r="D1024" s="3482">
        <v>33.619999999999997</v>
      </c>
    </row>
    <row r="1025" spans="1:4">
      <c r="A1025" s="3536">
        <v>1024</v>
      </c>
      <c r="B1025" s="3481" t="s">
        <v>4574</v>
      </c>
      <c r="C1025" s="3481" t="s">
        <v>3400</v>
      </c>
      <c r="D1025" s="3482">
        <v>33.619999999999997</v>
      </c>
    </row>
    <row r="1026" spans="1:4">
      <c r="A1026" s="3536">
        <v>1025</v>
      </c>
      <c r="B1026" s="3481" t="s">
        <v>4575</v>
      </c>
      <c r="C1026" s="3481" t="s">
        <v>3400</v>
      </c>
      <c r="D1026" s="3482">
        <v>33.619999999999997</v>
      </c>
    </row>
    <row r="1027" spans="1:4">
      <c r="A1027" s="3536">
        <v>1026</v>
      </c>
      <c r="B1027" s="3481" t="s">
        <v>4576</v>
      </c>
      <c r="C1027" s="3481" t="s">
        <v>3400</v>
      </c>
      <c r="D1027" s="3482">
        <v>33.619999999999997</v>
      </c>
    </row>
    <row r="1028" spans="1:4">
      <c r="A1028" s="3536">
        <v>1027</v>
      </c>
      <c r="B1028" s="3481" t="s">
        <v>4577</v>
      </c>
      <c r="C1028" s="3481" t="s">
        <v>3400</v>
      </c>
      <c r="D1028" s="3482">
        <v>33.619999999999997</v>
      </c>
    </row>
    <row r="1029" spans="1:4">
      <c r="A1029" s="3536">
        <v>1028</v>
      </c>
      <c r="B1029" s="3481" t="s">
        <v>4578</v>
      </c>
      <c r="C1029" s="3481" t="s">
        <v>3400</v>
      </c>
      <c r="D1029" s="3482">
        <v>33.619999999999997</v>
      </c>
    </row>
    <row r="1030" spans="1:4">
      <c r="A1030" s="3536">
        <v>1029</v>
      </c>
      <c r="B1030" s="3481" t="s">
        <v>4579</v>
      </c>
      <c r="C1030" s="3481" t="s">
        <v>3400</v>
      </c>
      <c r="D1030" s="3482">
        <v>33.619999999999997</v>
      </c>
    </row>
    <row r="1031" spans="1:4">
      <c r="A1031" s="3536">
        <v>1030</v>
      </c>
      <c r="B1031" s="3481" t="s">
        <v>4580</v>
      </c>
      <c r="C1031" s="3481" t="s">
        <v>3400</v>
      </c>
      <c r="D1031" s="3482">
        <v>33.619999999999997</v>
      </c>
    </row>
    <row r="1032" spans="1:4">
      <c r="A1032" s="3536">
        <v>1031</v>
      </c>
      <c r="B1032" s="3481" t="s">
        <v>4581</v>
      </c>
      <c r="C1032" s="3481" t="s">
        <v>3400</v>
      </c>
      <c r="D1032" s="3482">
        <v>33.619999999999997</v>
      </c>
    </row>
    <row r="1033" spans="1:4">
      <c r="A1033" s="3536">
        <v>1032</v>
      </c>
      <c r="B1033" s="3481" t="s">
        <v>4582</v>
      </c>
      <c r="C1033" s="3481" t="s">
        <v>3400</v>
      </c>
      <c r="D1033" s="3482">
        <v>33.619999999999997</v>
      </c>
    </row>
    <row r="1034" spans="1:4">
      <c r="A1034" s="3536">
        <v>1033</v>
      </c>
      <c r="B1034" s="3481" t="s">
        <v>4583</v>
      </c>
      <c r="C1034" s="3481" t="s">
        <v>3400</v>
      </c>
      <c r="D1034" s="3482">
        <v>33.619999999999997</v>
      </c>
    </row>
    <row r="1035" spans="1:4">
      <c r="A1035" s="3536">
        <v>1034</v>
      </c>
      <c r="B1035" s="3481" t="s">
        <v>4584</v>
      </c>
      <c r="C1035" s="3481" t="s">
        <v>3400</v>
      </c>
      <c r="D1035" s="3482">
        <v>33.619999999999997</v>
      </c>
    </row>
    <row r="1036" spans="1:4">
      <c r="A1036" s="3536">
        <v>1035</v>
      </c>
      <c r="B1036" s="3481" t="s">
        <v>4585</v>
      </c>
      <c r="C1036" s="3481" t="s">
        <v>3400</v>
      </c>
      <c r="D1036" s="3482">
        <v>33.619999999999997</v>
      </c>
    </row>
    <row r="1037" spans="1:4">
      <c r="A1037" s="3536">
        <v>1036</v>
      </c>
      <c r="B1037" s="3481" t="s">
        <v>4586</v>
      </c>
      <c r="C1037" s="3481" t="s">
        <v>3400</v>
      </c>
      <c r="D1037" s="3482">
        <v>33.619999999999997</v>
      </c>
    </row>
    <row r="1038" spans="1:4">
      <c r="A1038" s="3536">
        <v>1037</v>
      </c>
      <c r="B1038" s="3481" t="s">
        <v>4587</v>
      </c>
      <c r="C1038" s="3481" t="s">
        <v>3400</v>
      </c>
      <c r="D1038" s="3482">
        <v>33.619999999999997</v>
      </c>
    </row>
    <row r="1039" spans="1:4">
      <c r="A1039" s="3536">
        <v>1038</v>
      </c>
      <c r="B1039" s="3481" t="s">
        <v>4588</v>
      </c>
      <c r="C1039" s="3481" t="s">
        <v>3400</v>
      </c>
      <c r="D1039" s="3482">
        <v>33.619999999999997</v>
      </c>
    </row>
    <row r="1040" spans="1:4">
      <c r="A1040" s="3536">
        <v>1039</v>
      </c>
      <c r="B1040" s="3481" t="s">
        <v>4589</v>
      </c>
      <c r="C1040" s="3481" t="s">
        <v>3400</v>
      </c>
      <c r="D1040" s="3482">
        <v>33.619999999999997</v>
      </c>
    </row>
    <row r="1041" spans="1:4">
      <c r="A1041" s="3536">
        <v>1040</v>
      </c>
      <c r="B1041" s="3481" t="s">
        <v>4590</v>
      </c>
      <c r="C1041" s="3481" t="s">
        <v>3400</v>
      </c>
      <c r="D1041" s="3482">
        <v>33.619999999999997</v>
      </c>
    </row>
    <row r="1042" spans="1:4">
      <c r="A1042" s="3536">
        <v>1041</v>
      </c>
      <c r="B1042" s="3481" t="s">
        <v>4591</v>
      </c>
      <c r="C1042" s="3481" t="s">
        <v>3400</v>
      </c>
      <c r="D1042" s="3482">
        <v>33.619999999999997</v>
      </c>
    </row>
    <row r="1043" spans="1:4">
      <c r="A1043" s="3536">
        <v>1042</v>
      </c>
      <c r="B1043" s="3481" t="s">
        <v>4592</v>
      </c>
      <c r="C1043" s="3481" t="s">
        <v>3400</v>
      </c>
      <c r="D1043" s="3482">
        <v>50.43</v>
      </c>
    </row>
    <row r="1044" spans="1:4">
      <c r="A1044" s="3536">
        <v>1043</v>
      </c>
      <c r="B1044" s="3481" t="s">
        <v>4593</v>
      </c>
      <c r="C1044" s="3481" t="s">
        <v>3400</v>
      </c>
      <c r="D1044" s="3482">
        <v>33.619999999999997</v>
      </c>
    </row>
    <row r="1045" spans="1:4">
      <c r="A1045" s="3536">
        <v>1044</v>
      </c>
      <c r="B1045" s="3481" t="s">
        <v>4594</v>
      </c>
      <c r="C1045" s="3481" t="s">
        <v>3400</v>
      </c>
      <c r="D1045" s="3482">
        <v>33.619999999999997</v>
      </c>
    </row>
    <row r="1046" spans="1:4">
      <c r="A1046" s="3536">
        <v>1045</v>
      </c>
      <c r="B1046" s="3481" t="s">
        <v>4595</v>
      </c>
      <c r="C1046" s="3481" t="s">
        <v>3400</v>
      </c>
      <c r="D1046" s="3482">
        <v>33.619999999999997</v>
      </c>
    </row>
    <row r="1047" spans="1:4">
      <c r="A1047" s="3536">
        <v>1046</v>
      </c>
      <c r="B1047" s="3481" t="s">
        <v>4596</v>
      </c>
      <c r="C1047" s="3481" t="s">
        <v>3400</v>
      </c>
      <c r="D1047" s="3482">
        <v>33.619999999999997</v>
      </c>
    </row>
    <row r="1048" spans="1:4">
      <c r="A1048" s="3536">
        <v>1047</v>
      </c>
      <c r="B1048" s="3481" t="s">
        <v>4597</v>
      </c>
      <c r="C1048" s="3481" t="s">
        <v>3400</v>
      </c>
      <c r="D1048" s="3482">
        <v>33.619999999999997</v>
      </c>
    </row>
    <row r="1049" spans="1:4">
      <c r="A1049" s="3536">
        <v>1048</v>
      </c>
      <c r="B1049" s="3481" t="s">
        <v>4598</v>
      </c>
      <c r="C1049" s="3481" t="s">
        <v>3400</v>
      </c>
      <c r="D1049" s="3482">
        <v>33.619999999999997</v>
      </c>
    </row>
    <row r="1050" spans="1:4">
      <c r="A1050" s="3536">
        <v>1049</v>
      </c>
      <c r="B1050" s="3481" t="s">
        <v>4599</v>
      </c>
      <c r="C1050" s="3481" t="s">
        <v>3400</v>
      </c>
      <c r="D1050" s="3482">
        <v>33.619999999999997</v>
      </c>
    </row>
    <row r="1051" spans="1:4">
      <c r="A1051" s="3536">
        <v>1050</v>
      </c>
      <c r="B1051" s="3481" t="s">
        <v>4600</v>
      </c>
      <c r="C1051" s="3481" t="s">
        <v>3400</v>
      </c>
      <c r="D1051" s="3482">
        <v>33.619999999999997</v>
      </c>
    </row>
    <row r="1052" spans="1:4">
      <c r="A1052" s="3536">
        <v>1051</v>
      </c>
      <c r="B1052" s="3481" t="s">
        <v>4601</v>
      </c>
      <c r="C1052" s="3481" t="s">
        <v>3400</v>
      </c>
      <c r="D1052" s="3482">
        <v>33.619999999999997</v>
      </c>
    </row>
    <row r="1053" spans="1:4">
      <c r="A1053" s="3536">
        <v>1052</v>
      </c>
      <c r="B1053" s="3481" t="s">
        <v>4602</v>
      </c>
      <c r="C1053" s="3481" t="s">
        <v>3400</v>
      </c>
      <c r="D1053" s="3482">
        <v>33.619999999999997</v>
      </c>
    </row>
    <row r="1054" spans="1:4">
      <c r="A1054" s="3536">
        <v>1053</v>
      </c>
      <c r="B1054" s="3481" t="s">
        <v>4603</v>
      </c>
      <c r="C1054" s="3481" t="s">
        <v>3400</v>
      </c>
      <c r="D1054" s="3482">
        <v>33.619999999999997</v>
      </c>
    </row>
    <row r="1055" spans="1:4">
      <c r="A1055" s="3536">
        <v>1054</v>
      </c>
      <c r="B1055" s="3481" t="s">
        <v>4604</v>
      </c>
      <c r="C1055" s="3481" t="s">
        <v>3400</v>
      </c>
      <c r="D1055" s="3482">
        <v>33.619999999999997</v>
      </c>
    </row>
    <row r="1056" spans="1:4">
      <c r="A1056" s="3536">
        <v>1055</v>
      </c>
      <c r="B1056" s="3481" t="s">
        <v>4605</v>
      </c>
      <c r="C1056" s="3481" t="s">
        <v>3400</v>
      </c>
      <c r="D1056" s="3482">
        <v>33.619999999999997</v>
      </c>
    </row>
    <row r="1057" spans="1:4">
      <c r="A1057" s="3536">
        <v>1056</v>
      </c>
      <c r="B1057" s="3481" t="s">
        <v>4606</v>
      </c>
      <c r="C1057" s="3481" t="s">
        <v>3400</v>
      </c>
      <c r="D1057" s="3482">
        <v>33.619999999999997</v>
      </c>
    </row>
    <row r="1058" spans="1:4">
      <c r="A1058" s="3536">
        <v>1057</v>
      </c>
      <c r="B1058" s="3481" t="s">
        <v>4607</v>
      </c>
      <c r="C1058" s="3481" t="s">
        <v>3400</v>
      </c>
      <c r="D1058" s="3482">
        <v>33.619999999999997</v>
      </c>
    </row>
    <row r="1059" spans="1:4">
      <c r="A1059" s="3536">
        <v>1058</v>
      </c>
      <c r="B1059" s="3481" t="s">
        <v>4608</v>
      </c>
      <c r="C1059" s="3481" t="s">
        <v>3400</v>
      </c>
      <c r="D1059" s="3482">
        <v>33.619999999999997</v>
      </c>
    </row>
    <row r="1060" spans="1:4">
      <c r="A1060" s="3536">
        <v>1059</v>
      </c>
      <c r="B1060" s="3481" t="s">
        <v>4609</v>
      </c>
      <c r="C1060" s="3481" t="s">
        <v>3400</v>
      </c>
      <c r="D1060" s="3482">
        <v>33.619999999999997</v>
      </c>
    </row>
    <row r="1061" spans="1:4">
      <c r="A1061" s="3536">
        <v>1060</v>
      </c>
      <c r="B1061" s="3481" t="s">
        <v>4610</v>
      </c>
      <c r="C1061" s="3481" t="s">
        <v>3400</v>
      </c>
      <c r="D1061" s="3482">
        <v>33.619999999999997</v>
      </c>
    </row>
    <row r="1062" spans="1:4">
      <c r="A1062" s="3536">
        <v>1061</v>
      </c>
      <c r="B1062" s="3481" t="s">
        <v>4611</v>
      </c>
      <c r="C1062" s="3481" t="s">
        <v>3400</v>
      </c>
      <c r="D1062" s="3482">
        <v>33.619999999999997</v>
      </c>
    </row>
    <row r="1063" spans="1:4">
      <c r="A1063" s="3536">
        <v>1062</v>
      </c>
      <c r="B1063" s="3481" t="s">
        <v>4612</v>
      </c>
      <c r="C1063" s="3481" t="s">
        <v>3400</v>
      </c>
      <c r="D1063" s="3482">
        <v>33.619999999999997</v>
      </c>
    </row>
    <row r="1064" spans="1:4">
      <c r="A1064" s="3536">
        <v>1063</v>
      </c>
      <c r="B1064" s="3481" t="s">
        <v>4613</v>
      </c>
      <c r="C1064" s="3481" t="s">
        <v>3400</v>
      </c>
      <c r="D1064" s="3482">
        <v>33.619999999999997</v>
      </c>
    </row>
    <row r="1065" spans="1:4">
      <c r="A1065" s="3536">
        <v>1064</v>
      </c>
      <c r="B1065" s="3481" t="s">
        <v>4614</v>
      </c>
      <c r="C1065" s="3481" t="s">
        <v>3400</v>
      </c>
      <c r="D1065" s="3482">
        <v>46.52</v>
      </c>
    </row>
    <row r="1066" spans="1:4">
      <c r="A1066" s="3536">
        <v>1065</v>
      </c>
      <c r="B1066" s="3481" t="s">
        <v>4615</v>
      </c>
      <c r="C1066" s="3481" t="s">
        <v>3400</v>
      </c>
      <c r="D1066" s="3482">
        <v>46.52</v>
      </c>
    </row>
    <row r="1067" spans="1:4">
      <c r="A1067" s="3536">
        <v>1066</v>
      </c>
      <c r="B1067" s="3481" t="s">
        <v>4616</v>
      </c>
      <c r="C1067" s="3481" t="s">
        <v>3400</v>
      </c>
      <c r="D1067" s="3482">
        <v>46.52</v>
      </c>
    </row>
    <row r="1068" spans="1:4">
      <c r="A1068" s="3536">
        <v>1067</v>
      </c>
      <c r="B1068" s="3481" t="s">
        <v>4617</v>
      </c>
      <c r="C1068" s="3481" t="s">
        <v>3400</v>
      </c>
      <c r="D1068" s="3482">
        <v>46.52</v>
      </c>
    </row>
    <row r="1069" spans="1:4">
      <c r="A1069" s="3536">
        <v>1068</v>
      </c>
      <c r="B1069" s="3481" t="s">
        <v>4618</v>
      </c>
      <c r="C1069" s="3481" t="s">
        <v>3400</v>
      </c>
      <c r="D1069" s="3482">
        <v>46.52</v>
      </c>
    </row>
    <row r="1070" spans="1:4">
      <c r="A1070" s="3536">
        <v>1069</v>
      </c>
      <c r="B1070" s="3481" t="s">
        <v>4619</v>
      </c>
      <c r="C1070" s="3481" t="s">
        <v>3400</v>
      </c>
      <c r="D1070" s="3482">
        <v>46.52</v>
      </c>
    </row>
    <row r="1071" spans="1:4">
      <c r="A1071" s="3536">
        <v>1070</v>
      </c>
      <c r="B1071" s="3481" t="s">
        <v>4620</v>
      </c>
      <c r="C1071" s="3481" t="s">
        <v>3400</v>
      </c>
      <c r="D1071" s="3482">
        <v>46.52</v>
      </c>
    </row>
    <row r="1072" spans="1:4">
      <c r="A1072" s="3536">
        <v>1071</v>
      </c>
      <c r="B1072" s="3481" t="s">
        <v>4621</v>
      </c>
      <c r="C1072" s="3481" t="s">
        <v>3400</v>
      </c>
      <c r="D1072" s="3482">
        <v>46.52</v>
      </c>
    </row>
    <row r="1073" spans="1:4">
      <c r="A1073" s="3536">
        <v>1072</v>
      </c>
      <c r="B1073" s="3481" t="s">
        <v>4622</v>
      </c>
      <c r="C1073" s="3481" t="s">
        <v>3400</v>
      </c>
      <c r="D1073" s="3482">
        <v>46.52</v>
      </c>
    </row>
    <row r="1074" spans="1:4">
      <c r="A1074" s="3536">
        <v>1073</v>
      </c>
      <c r="B1074" s="3481" t="s">
        <v>4623</v>
      </c>
      <c r="C1074" s="3481" t="s">
        <v>3400</v>
      </c>
      <c r="D1074" s="3482">
        <v>46.52</v>
      </c>
    </row>
    <row r="1075" spans="1:4">
      <c r="A1075" s="3536">
        <v>1074</v>
      </c>
      <c r="B1075" s="3481" t="s">
        <v>4624</v>
      </c>
      <c r="C1075" s="3481" t="s">
        <v>3400</v>
      </c>
      <c r="D1075" s="3482">
        <v>46.52</v>
      </c>
    </row>
    <row r="1076" spans="1:4">
      <c r="A1076" s="3536">
        <v>1075</v>
      </c>
      <c r="B1076" s="3481" t="s">
        <v>4625</v>
      </c>
      <c r="C1076" s="3481" t="s">
        <v>3400</v>
      </c>
      <c r="D1076" s="3482">
        <v>46.52</v>
      </c>
    </row>
    <row r="1077" spans="1:4">
      <c r="A1077" s="3536">
        <v>1076</v>
      </c>
      <c r="B1077" s="3481" t="s">
        <v>4626</v>
      </c>
      <c r="C1077" s="3481" t="s">
        <v>3400</v>
      </c>
      <c r="D1077" s="3482">
        <v>33.619999999999997</v>
      </c>
    </row>
    <row r="1078" spans="1:4">
      <c r="A1078" s="3536">
        <v>1077</v>
      </c>
      <c r="B1078" s="3481" t="s">
        <v>4627</v>
      </c>
      <c r="C1078" s="3481" t="s">
        <v>3400</v>
      </c>
      <c r="D1078" s="3482">
        <v>33.619999999999997</v>
      </c>
    </row>
    <row r="1079" spans="1:4">
      <c r="A1079" s="3536">
        <v>1078</v>
      </c>
      <c r="B1079" s="3481" t="s">
        <v>4628</v>
      </c>
      <c r="C1079" s="3481" t="s">
        <v>3400</v>
      </c>
      <c r="D1079" s="3482">
        <v>33.619999999999997</v>
      </c>
    </row>
    <row r="1080" spans="1:4">
      <c r="A1080" s="3536">
        <v>1079</v>
      </c>
      <c r="B1080" s="3481" t="s">
        <v>4629</v>
      </c>
      <c r="C1080" s="3481" t="s">
        <v>3400</v>
      </c>
      <c r="D1080" s="3482">
        <v>33.619999999999997</v>
      </c>
    </row>
    <row r="1081" spans="1:4">
      <c r="A1081" s="3536">
        <v>1080</v>
      </c>
      <c r="B1081" s="3481" t="s">
        <v>4630</v>
      </c>
      <c r="C1081" s="3481" t="s">
        <v>3400</v>
      </c>
      <c r="D1081" s="3482">
        <v>33.619999999999997</v>
      </c>
    </row>
    <row r="1082" spans="1:4">
      <c r="A1082" s="3536">
        <v>1081</v>
      </c>
      <c r="B1082" s="3481" t="s">
        <v>4631</v>
      </c>
      <c r="C1082" s="3481" t="s">
        <v>3400</v>
      </c>
      <c r="D1082" s="3482">
        <v>33.619999999999997</v>
      </c>
    </row>
    <row r="1083" spans="1:4">
      <c r="A1083" s="3536">
        <v>1082</v>
      </c>
      <c r="B1083" s="3481" t="s">
        <v>4632</v>
      </c>
      <c r="C1083" s="3481" t="s">
        <v>3400</v>
      </c>
      <c r="D1083" s="3482">
        <v>33.619999999999997</v>
      </c>
    </row>
    <row r="1084" spans="1:4">
      <c r="A1084" s="3536">
        <v>1083</v>
      </c>
      <c r="B1084" s="3481" t="s">
        <v>4633</v>
      </c>
      <c r="C1084" s="3481" t="s">
        <v>3400</v>
      </c>
      <c r="D1084" s="3482">
        <v>33.619999999999997</v>
      </c>
    </row>
    <row r="1085" spans="1:4">
      <c r="A1085" s="3536">
        <v>1084</v>
      </c>
      <c r="B1085" s="3481" t="s">
        <v>4634</v>
      </c>
      <c r="C1085" s="3481" t="s">
        <v>3400</v>
      </c>
      <c r="D1085" s="3482">
        <v>33.619999999999997</v>
      </c>
    </row>
    <row r="1086" spans="1:4">
      <c r="A1086" s="3536">
        <v>1085</v>
      </c>
      <c r="B1086" s="3481" t="s">
        <v>4635</v>
      </c>
      <c r="C1086" s="3481" t="s">
        <v>3400</v>
      </c>
      <c r="D1086" s="3482">
        <v>33.619999999999997</v>
      </c>
    </row>
    <row r="1087" spans="1:4">
      <c r="A1087" s="3536">
        <v>1086</v>
      </c>
      <c r="B1087" s="3481" t="s">
        <v>4636</v>
      </c>
      <c r="C1087" s="3481" t="s">
        <v>3400</v>
      </c>
      <c r="D1087" s="3482">
        <v>33.619999999999997</v>
      </c>
    </row>
    <row r="1088" spans="1:4">
      <c r="A1088" s="3536">
        <v>1087</v>
      </c>
      <c r="B1088" s="3481" t="s">
        <v>4637</v>
      </c>
      <c r="C1088" s="3481" t="s">
        <v>3400</v>
      </c>
      <c r="D1088" s="3482">
        <v>33.619999999999997</v>
      </c>
    </row>
    <row r="1089" spans="1:4">
      <c r="A1089" s="3536">
        <v>1088</v>
      </c>
      <c r="B1089" s="3481" t="s">
        <v>4638</v>
      </c>
      <c r="C1089" s="3481" t="s">
        <v>3400</v>
      </c>
      <c r="D1089" s="3482">
        <v>33.619999999999997</v>
      </c>
    </row>
    <row r="1090" spans="1:4">
      <c r="A1090" s="3536">
        <v>1089</v>
      </c>
      <c r="B1090" s="3481" t="s">
        <v>4639</v>
      </c>
      <c r="C1090" s="3481" t="s">
        <v>3400</v>
      </c>
      <c r="D1090" s="3482">
        <v>33.619999999999997</v>
      </c>
    </row>
    <row r="1091" spans="1:4">
      <c r="A1091" s="3536">
        <v>1090</v>
      </c>
      <c r="B1091" s="3481" t="s">
        <v>4640</v>
      </c>
      <c r="C1091" s="3481" t="s">
        <v>3400</v>
      </c>
      <c r="D1091" s="3482">
        <v>33.619999999999997</v>
      </c>
    </row>
    <row r="1092" spans="1:4">
      <c r="A1092" s="3536">
        <v>1091</v>
      </c>
      <c r="B1092" s="3481" t="s">
        <v>4641</v>
      </c>
      <c r="C1092" s="3481" t="s">
        <v>3400</v>
      </c>
      <c r="D1092" s="3482">
        <v>33.619999999999997</v>
      </c>
    </row>
    <row r="1093" spans="1:4">
      <c r="A1093" s="3536">
        <v>1092</v>
      </c>
      <c r="B1093" s="3481" t="s">
        <v>4642</v>
      </c>
      <c r="C1093" s="3481" t="s">
        <v>3400</v>
      </c>
      <c r="D1093" s="3482">
        <v>23.26</v>
      </c>
    </row>
    <row r="1094" spans="1:4">
      <c r="A1094" s="3536">
        <v>1093</v>
      </c>
      <c r="B1094" s="3481" t="s">
        <v>4643</v>
      </c>
      <c r="C1094" s="3481" t="s">
        <v>3400</v>
      </c>
      <c r="D1094" s="3482">
        <v>23.26</v>
      </c>
    </row>
    <row r="1095" spans="1:4">
      <c r="A1095" s="3536">
        <v>1094</v>
      </c>
      <c r="B1095" s="3481" t="s">
        <v>4644</v>
      </c>
      <c r="C1095" s="3481" t="s">
        <v>3400</v>
      </c>
      <c r="D1095" s="3482">
        <v>23.26</v>
      </c>
    </row>
    <row r="1096" spans="1:4">
      <c r="A1096" s="3536">
        <v>1095</v>
      </c>
      <c r="B1096" s="3481" t="s">
        <v>4645</v>
      </c>
      <c r="C1096" s="3481" t="s">
        <v>3400</v>
      </c>
      <c r="D1096" s="3482">
        <v>23.26</v>
      </c>
    </row>
    <row r="1097" spans="1:4">
      <c r="A1097" s="3536">
        <v>1096</v>
      </c>
      <c r="B1097" s="3481" t="s">
        <v>4646</v>
      </c>
      <c r="C1097" s="3481" t="s">
        <v>3400</v>
      </c>
      <c r="D1097" s="3482">
        <v>23.26</v>
      </c>
    </row>
    <row r="1098" spans="1:4">
      <c r="A1098" s="3536">
        <v>1097</v>
      </c>
      <c r="B1098" s="3481" t="s">
        <v>4647</v>
      </c>
      <c r="C1098" s="3481" t="s">
        <v>3400</v>
      </c>
      <c r="D1098" s="3482">
        <v>23.26</v>
      </c>
    </row>
    <row r="1099" spans="1:4">
      <c r="A1099" s="3536">
        <v>1098</v>
      </c>
      <c r="B1099" s="3481" t="s">
        <v>4648</v>
      </c>
      <c r="C1099" s="3481" t="s">
        <v>3400</v>
      </c>
      <c r="D1099" s="3482">
        <v>23.26</v>
      </c>
    </row>
    <row r="1100" spans="1:4">
      <c r="A1100" s="3536">
        <v>1099</v>
      </c>
      <c r="B1100" s="3481" t="s">
        <v>4649</v>
      </c>
      <c r="C1100" s="3481" t="s">
        <v>3400</v>
      </c>
      <c r="D1100" s="3482">
        <v>23.26</v>
      </c>
    </row>
    <row r="1101" spans="1:4">
      <c r="A1101" s="3536">
        <v>1100</v>
      </c>
      <c r="B1101" s="3481" t="s">
        <v>4650</v>
      </c>
      <c r="C1101" s="3481" t="s">
        <v>3400</v>
      </c>
      <c r="D1101" s="3482">
        <v>46.52</v>
      </c>
    </row>
    <row r="1102" spans="1:4">
      <c r="A1102" s="3536">
        <v>1101</v>
      </c>
      <c r="B1102" s="3481" t="s">
        <v>4651</v>
      </c>
      <c r="C1102" s="3481" t="s">
        <v>3400</v>
      </c>
      <c r="D1102" s="3482">
        <v>46.52</v>
      </c>
    </row>
    <row r="1103" spans="1:4">
      <c r="A1103" s="3536">
        <v>1102</v>
      </c>
      <c r="B1103" s="3481" t="s">
        <v>4652</v>
      </c>
      <c r="C1103" s="3481" t="s">
        <v>3400</v>
      </c>
      <c r="D1103" s="3482">
        <v>46.52</v>
      </c>
    </row>
    <row r="1104" spans="1:4">
      <c r="A1104" s="3536">
        <v>1103</v>
      </c>
      <c r="B1104" s="3481" t="s">
        <v>4653</v>
      </c>
      <c r="C1104" s="3481" t="s">
        <v>3400</v>
      </c>
      <c r="D1104" s="3482">
        <v>46.52</v>
      </c>
    </row>
    <row r="1105" spans="1:4">
      <c r="A1105" s="3536">
        <v>1104</v>
      </c>
      <c r="B1105" s="3481" t="s">
        <v>4654</v>
      </c>
      <c r="C1105" s="3481" t="s">
        <v>3400</v>
      </c>
      <c r="D1105" s="3482">
        <v>46.52</v>
      </c>
    </row>
    <row r="1106" spans="1:4">
      <c r="A1106" s="3536">
        <v>1105</v>
      </c>
      <c r="B1106" s="3481" t="s">
        <v>4655</v>
      </c>
      <c r="C1106" s="3481" t="s">
        <v>3400</v>
      </c>
      <c r="D1106" s="3482">
        <v>46.52</v>
      </c>
    </row>
    <row r="1107" spans="1:4">
      <c r="A1107" s="3536">
        <v>1106</v>
      </c>
      <c r="B1107" s="3481" t="s">
        <v>4656</v>
      </c>
      <c r="C1107" s="3481" t="s">
        <v>3400</v>
      </c>
      <c r="D1107" s="3482">
        <v>46.52</v>
      </c>
    </row>
    <row r="1108" spans="1:4">
      <c r="A1108" s="3536">
        <v>1107</v>
      </c>
      <c r="B1108" s="3481" t="s">
        <v>4657</v>
      </c>
      <c r="C1108" s="3481" t="s">
        <v>3400</v>
      </c>
      <c r="D1108" s="3482">
        <v>46.52</v>
      </c>
    </row>
    <row r="1109" spans="1:4">
      <c r="A1109" s="3536">
        <v>1108</v>
      </c>
      <c r="B1109" s="3481" t="s">
        <v>4658</v>
      </c>
      <c r="C1109" s="3481" t="s">
        <v>3400</v>
      </c>
      <c r="D1109" s="3482">
        <v>46.52</v>
      </c>
    </row>
    <row r="1110" spans="1:4">
      <c r="A1110" s="3536">
        <v>1109</v>
      </c>
      <c r="B1110" s="3481" t="s">
        <v>4659</v>
      </c>
      <c r="C1110" s="3481" t="s">
        <v>3400</v>
      </c>
      <c r="D1110" s="3482">
        <v>46.52</v>
      </c>
    </row>
    <row r="1111" spans="1:4">
      <c r="A1111" s="3536">
        <v>1110</v>
      </c>
      <c r="B1111" s="3481" t="s">
        <v>4660</v>
      </c>
      <c r="C1111" s="3481" t="s">
        <v>3400</v>
      </c>
      <c r="D1111" s="3482">
        <v>46.52</v>
      </c>
    </row>
    <row r="1112" spans="1:4">
      <c r="A1112" s="3536">
        <v>1111</v>
      </c>
      <c r="B1112" s="3481" t="s">
        <v>4661</v>
      </c>
      <c r="C1112" s="3481" t="s">
        <v>3400</v>
      </c>
      <c r="D1112" s="3482">
        <v>46.52</v>
      </c>
    </row>
    <row r="1113" spans="1:4">
      <c r="A1113" s="3536">
        <v>1112</v>
      </c>
      <c r="B1113" s="3481" t="s">
        <v>4662</v>
      </c>
      <c r="C1113" s="3481" t="s">
        <v>3400</v>
      </c>
      <c r="D1113" s="3482">
        <v>46.52</v>
      </c>
    </row>
    <row r="1114" spans="1:4">
      <c r="A1114" s="3536">
        <v>1113</v>
      </c>
      <c r="B1114" s="3481" t="s">
        <v>4663</v>
      </c>
      <c r="C1114" s="3481" t="s">
        <v>3400</v>
      </c>
      <c r="D1114" s="3482">
        <v>46.52</v>
      </c>
    </row>
    <row r="1115" spans="1:4">
      <c r="A1115" s="3536">
        <v>1114</v>
      </c>
      <c r="B1115" s="3481" t="s">
        <v>4664</v>
      </c>
      <c r="C1115" s="3481" t="s">
        <v>3400</v>
      </c>
      <c r="D1115" s="3482">
        <v>46.52</v>
      </c>
    </row>
    <row r="1116" spans="1:4">
      <c r="A1116" s="3536">
        <v>1115</v>
      </c>
      <c r="B1116" s="3481" t="s">
        <v>4665</v>
      </c>
      <c r="C1116" s="3481" t="s">
        <v>3400</v>
      </c>
      <c r="D1116" s="3482">
        <v>46.52</v>
      </c>
    </row>
    <row r="1117" spans="1:4">
      <c r="A1117" s="3536">
        <v>1116</v>
      </c>
      <c r="B1117" s="3481" t="s">
        <v>4666</v>
      </c>
      <c r="C1117" s="3481" t="s">
        <v>3400</v>
      </c>
      <c r="D1117" s="3482">
        <v>46.52</v>
      </c>
    </row>
    <row r="1118" spans="1:4">
      <c r="A1118" s="3536">
        <v>1117</v>
      </c>
      <c r="B1118" s="3481" t="s">
        <v>4667</v>
      </c>
      <c r="C1118" s="3481" t="s">
        <v>3400</v>
      </c>
      <c r="D1118" s="3482">
        <v>46.52</v>
      </c>
    </row>
    <row r="1119" spans="1:4">
      <c r="A1119" s="3536">
        <v>1118</v>
      </c>
      <c r="B1119" s="3481" t="s">
        <v>4668</v>
      </c>
      <c r="C1119" s="3481" t="s">
        <v>3400</v>
      </c>
      <c r="D1119" s="3482">
        <v>46.52</v>
      </c>
    </row>
    <row r="1120" spans="1:4">
      <c r="A1120" s="3536">
        <v>1119</v>
      </c>
      <c r="B1120" s="3481" t="s">
        <v>4669</v>
      </c>
      <c r="C1120" s="3481" t="s">
        <v>3400</v>
      </c>
      <c r="D1120" s="3482">
        <v>46.52</v>
      </c>
    </row>
    <row r="1121" spans="1:4">
      <c r="A1121" s="3536">
        <v>1120</v>
      </c>
      <c r="B1121" s="3481" t="s">
        <v>4670</v>
      </c>
      <c r="C1121" s="3481" t="s">
        <v>3400</v>
      </c>
      <c r="D1121" s="3482">
        <v>46.52</v>
      </c>
    </row>
    <row r="1122" spans="1:4">
      <c r="A1122" s="3536">
        <v>1121</v>
      </c>
      <c r="B1122" s="3481" t="s">
        <v>4671</v>
      </c>
      <c r="C1122" s="3481" t="s">
        <v>3400</v>
      </c>
      <c r="D1122" s="3482">
        <v>46.52</v>
      </c>
    </row>
    <row r="1123" spans="1:4">
      <c r="A1123" s="3536">
        <v>1122</v>
      </c>
      <c r="B1123" s="3481" t="s">
        <v>4672</v>
      </c>
      <c r="C1123" s="3481" t="s">
        <v>3400</v>
      </c>
      <c r="D1123" s="3482">
        <v>46.52</v>
      </c>
    </row>
    <row r="1124" spans="1:4">
      <c r="A1124" s="3536">
        <v>1123</v>
      </c>
      <c r="B1124" s="3481" t="s">
        <v>4673</v>
      </c>
      <c r="C1124" s="3481" t="s">
        <v>3400</v>
      </c>
      <c r="D1124" s="3482">
        <v>46.52</v>
      </c>
    </row>
    <row r="1125" spans="1:4">
      <c r="A1125" s="3536">
        <v>1124</v>
      </c>
      <c r="B1125" s="3481" t="s">
        <v>4674</v>
      </c>
      <c r="C1125" s="3481" t="s">
        <v>3400</v>
      </c>
      <c r="D1125" s="3482">
        <v>46.52</v>
      </c>
    </row>
    <row r="1126" spans="1:4">
      <c r="A1126" s="3536">
        <v>1125</v>
      </c>
      <c r="B1126" s="3481" t="s">
        <v>4675</v>
      </c>
      <c r="C1126" s="3481" t="s">
        <v>3400</v>
      </c>
      <c r="D1126" s="3482">
        <v>46.52</v>
      </c>
    </row>
    <row r="1127" spans="1:4">
      <c r="A1127" s="3536">
        <v>1126</v>
      </c>
      <c r="B1127" s="3481" t="s">
        <v>4676</v>
      </c>
      <c r="C1127" s="3481" t="s">
        <v>3400</v>
      </c>
      <c r="D1127" s="3482">
        <v>46.52</v>
      </c>
    </row>
    <row r="1128" spans="1:4">
      <c r="A1128" s="3536">
        <v>1127</v>
      </c>
      <c r="B1128" s="3481" t="s">
        <v>4677</v>
      </c>
      <c r="C1128" s="3481" t="s">
        <v>3400</v>
      </c>
      <c r="D1128" s="3482">
        <v>46.52</v>
      </c>
    </row>
    <row r="1129" spans="1:4">
      <c r="A1129" s="3536">
        <v>1128</v>
      </c>
      <c r="B1129" s="3481" t="s">
        <v>4678</v>
      </c>
      <c r="C1129" s="3481" t="s">
        <v>3400</v>
      </c>
      <c r="D1129" s="3482">
        <v>46.52</v>
      </c>
    </row>
    <row r="1130" spans="1:4">
      <c r="A1130" s="3536">
        <v>1129</v>
      </c>
      <c r="B1130" s="3481" t="s">
        <v>4679</v>
      </c>
      <c r="C1130" s="3481" t="s">
        <v>3400</v>
      </c>
      <c r="D1130" s="3482">
        <v>46.52</v>
      </c>
    </row>
    <row r="1131" spans="1:4">
      <c r="A1131" s="3536">
        <v>1130</v>
      </c>
      <c r="B1131" s="3481" t="s">
        <v>4680</v>
      </c>
      <c r="C1131" s="3481" t="s">
        <v>3400</v>
      </c>
      <c r="D1131" s="3482">
        <v>46.52</v>
      </c>
    </row>
    <row r="1132" spans="1:4">
      <c r="A1132" s="3536">
        <v>1131</v>
      </c>
      <c r="B1132" s="3481" t="s">
        <v>4681</v>
      </c>
      <c r="C1132" s="3481" t="s">
        <v>3400</v>
      </c>
      <c r="D1132" s="3482">
        <v>46.52</v>
      </c>
    </row>
    <row r="1133" spans="1:4">
      <c r="A1133" s="3536">
        <v>1132</v>
      </c>
      <c r="B1133" s="3481" t="s">
        <v>4682</v>
      </c>
      <c r="C1133" s="3481" t="s">
        <v>3400</v>
      </c>
      <c r="D1133" s="3482">
        <v>46.52</v>
      </c>
    </row>
    <row r="1134" spans="1:4">
      <c r="A1134" s="3536">
        <v>1133</v>
      </c>
      <c r="B1134" s="3481" t="s">
        <v>4683</v>
      </c>
      <c r="C1134" s="3481" t="s">
        <v>3400</v>
      </c>
      <c r="D1134" s="3482">
        <v>46.52</v>
      </c>
    </row>
    <row r="1135" spans="1:4">
      <c r="A1135" s="3536">
        <v>1134</v>
      </c>
      <c r="B1135" s="3481" t="s">
        <v>4684</v>
      </c>
      <c r="C1135" s="3481" t="s">
        <v>3400</v>
      </c>
      <c r="D1135" s="3482">
        <v>46.52</v>
      </c>
    </row>
    <row r="1136" spans="1:4">
      <c r="A1136" s="3536">
        <v>1135</v>
      </c>
      <c r="B1136" s="3481" t="s">
        <v>4685</v>
      </c>
      <c r="C1136" s="3481" t="s">
        <v>3400</v>
      </c>
      <c r="D1136" s="3482">
        <v>46.52</v>
      </c>
    </row>
    <row r="1137" spans="1:4">
      <c r="A1137" s="3536">
        <v>1136</v>
      </c>
      <c r="B1137" s="3481" t="s">
        <v>4686</v>
      </c>
      <c r="C1137" s="3481" t="s">
        <v>3400</v>
      </c>
      <c r="D1137" s="3482">
        <v>46.52</v>
      </c>
    </row>
    <row r="1138" spans="1:4">
      <c r="A1138" s="3536">
        <v>1137</v>
      </c>
      <c r="B1138" s="3481" t="s">
        <v>4687</v>
      </c>
      <c r="C1138" s="3481" t="s">
        <v>3400</v>
      </c>
      <c r="D1138" s="3482">
        <v>46.52</v>
      </c>
    </row>
    <row r="1139" spans="1:4">
      <c r="A1139" s="3536">
        <v>1138</v>
      </c>
      <c r="B1139" s="3481" t="s">
        <v>4688</v>
      </c>
      <c r="C1139" s="3481" t="s">
        <v>3400</v>
      </c>
      <c r="D1139" s="3482">
        <v>46.52</v>
      </c>
    </row>
    <row r="1140" spans="1:4">
      <c r="A1140" s="3536">
        <v>1139</v>
      </c>
      <c r="B1140" s="3481" t="s">
        <v>4689</v>
      </c>
      <c r="C1140" s="3481" t="s">
        <v>3400</v>
      </c>
      <c r="D1140" s="3482">
        <v>23.26</v>
      </c>
    </row>
    <row r="1141" spans="1:4">
      <c r="A1141" s="3536">
        <v>1140</v>
      </c>
      <c r="B1141" s="3481" t="s">
        <v>4690</v>
      </c>
      <c r="C1141" s="3481" t="s">
        <v>3400</v>
      </c>
      <c r="D1141" s="3482">
        <v>33.619999999999997</v>
      </c>
    </row>
    <row r="1142" spans="1:4">
      <c r="A1142" s="3536">
        <v>1141</v>
      </c>
      <c r="B1142" s="3481" t="s">
        <v>4691</v>
      </c>
      <c r="C1142" s="3481" t="s">
        <v>3400</v>
      </c>
      <c r="D1142" s="3482">
        <v>33.619999999999997</v>
      </c>
    </row>
    <row r="1143" spans="1:4">
      <c r="A1143" s="3536">
        <v>1142</v>
      </c>
      <c r="B1143" s="3481" t="s">
        <v>4692</v>
      </c>
      <c r="C1143" s="3481" t="s">
        <v>3400</v>
      </c>
      <c r="D1143" s="3482">
        <v>33.619999999999997</v>
      </c>
    </row>
    <row r="1144" spans="1:4">
      <c r="A1144" s="3536">
        <v>1143</v>
      </c>
      <c r="B1144" s="3481" t="s">
        <v>4693</v>
      </c>
      <c r="C1144" s="3481" t="s">
        <v>3400</v>
      </c>
      <c r="D1144" s="3482">
        <v>33.619999999999997</v>
      </c>
    </row>
    <row r="1145" spans="1:4">
      <c r="A1145" s="3536">
        <v>1144</v>
      </c>
      <c r="B1145" s="3481" t="s">
        <v>4694</v>
      </c>
      <c r="C1145" s="3481" t="s">
        <v>3400</v>
      </c>
      <c r="D1145" s="3482">
        <v>33.619999999999997</v>
      </c>
    </row>
    <row r="1146" spans="1:4">
      <c r="A1146" s="3536">
        <v>1145</v>
      </c>
      <c r="B1146" s="3481" t="s">
        <v>4695</v>
      </c>
      <c r="C1146" s="3481" t="s">
        <v>3400</v>
      </c>
      <c r="D1146" s="3482">
        <v>33.619999999999997</v>
      </c>
    </row>
    <row r="1147" spans="1:4">
      <c r="A1147" s="3536">
        <v>1146</v>
      </c>
      <c r="B1147" s="3481" t="s">
        <v>4696</v>
      </c>
      <c r="C1147" s="3481" t="s">
        <v>3400</v>
      </c>
      <c r="D1147" s="3482">
        <v>33.619999999999997</v>
      </c>
    </row>
    <row r="1148" spans="1:4">
      <c r="A1148" s="3536">
        <v>1147</v>
      </c>
      <c r="B1148" s="3481" t="s">
        <v>4697</v>
      </c>
      <c r="C1148" s="3481" t="s">
        <v>3400</v>
      </c>
      <c r="D1148" s="3482">
        <v>33.619999999999997</v>
      </c>
    </row>
    <row r="1149" spans="1:4">
      <c r="A1149" s="3536">
        <v>1148</v>
      </c>
      <c r="B1149" s="3481" t="s">
        <v>4698</v>
      </c>
      <c r="C1149" s="3481" t="s">
        <v>3400</v>
      </c>
      <c r="D1149" s="3482">
        <v>33.619999999999997</v>
      </c>
    </row>
    <row r="1150" spans="1:4">
      <c r="A1150" s="3536">
        <v>1149</v>
      </c>
      <c r="B1150" s="3481" t="s">
        <v>4699</v>
      </c>
      <c r="C1150" s="3481" t="s">
        <v>3400</v>
      </c>
      <c r="D1150" s="3482">
        <v>33.619999999999997</v>
      </c>
    </row>
    <row r="1151" spans="1:4">
      <c r="A1151" s="3536">
        <v>1150</v>
      </c>
      <c r="B1151" s="3481" t="s">
        <v>4700</v>
      </c>
      <c r="C1151" s="3481" t="s">
        <v>3400</v>
      </c>
      <c r="D1151" s="3482">
        <v>33.619999999999997</v>
      </c>
    </row>
    <row r="1152" spans="1:4">
      <c r="A1152" s="3536">
        <v>1151</v>
      </c>
      <c r="B1152" s="3481" t="s">
        <v>4701</v>
      </c>
      <c r="C1152" s="3481" t="s">
        <v>3400</v>
      </c>
      <c r="D1152" s="3482">
        <v>33.619999999999997</v>
      </c>
    </row>
    <row r="1153" spans="1:4">
      <c r="A1153" s="3536">
        <v>1152</v>
      </c>
      <c r="B1153" s="3481" t="s">
        <v>4702</v>
      </c>
      <c r="C1153" s="3481" t="s">
        <v>3400</v>
      </c>
      <c r="D1153" s="3482">
        <v>33.619999999999997</v>
      </c>
    </row>
    <row r="1154" spans="1:4">
      <c r="A1154" s="3536">
        <v>1153</v>
      </c>
      <c r="B1154" s="3481" t="s">
        <v>4703</v>
      </c>
      <c r="C1154" s="3481" t="s">
        <v>3400</v>
      </c>
      <c r="D1154" s="3482">
        <v>46.52</v>
      </c>
    </row>
    <row r="1155" spans="1:4">
      <c r="A1155" s="3536">
        <v>1154</v>
      </c>
      <c r="B1155" s="3481" t="s">
        <v>4704</v>
      </c>
      <c r="C1155" s="3481" t="s">
        <v>3400</v>
      </c>
      <c r="D1155" s="3482">
        <v>46.52</v>
      </c>
    </row>
    <row r="1156" spans="1:4">
      <c r="A1156" s="3536">
        <v>1155</v>
      </c>
      <c r="B1156" s="3481" t="s">
        <v>4705</v>
      </c>
      <c r="C1156" s="3481" t="s">
        <v>3400</v>
      </c>
      <c r="D1156" s="3482">
        <v>46.52</v>
      </c>
    </row>
    <row r="1157" spans="1:4">
      <c r="A1157" s="3536">
        <v>1156</v>
      </c>
      <c r="B1157" s="3481" t="s">
        <v>4706</v>
      </c>
      <c r="C1157" s="3481" t="s">
        <v>3400</v>
      </c>
      <c r="D1157" s="3482">
        <v>46.52</v>
      </c>
    </row>
    <row r="1158" spans="1:4">
      <c r="A1158" s="3536">
        <v>1157</v>
      </c>
      <c r="B1158" s="3481" t="s">
        <v>4707</v>
      </c>
      <c r="C1158" s="3481" t="s">
        <v>3400</v>
      </c>
      <c r="D1158" s="3482">
        <v>46.52</v>
      </c>
    </row>
    <row r="1159" spans="1:4">
      <c r="A1159" s="3536">
        <v>1158</v>
      </c>
      <c r="B1159" s="3481" t="s">
        <v>4708</v>
      </c>
      <c r="C1159" s="3481" t="s">
        <v>3400</v>
      </c>
      <c r="D1159" s="3482">
        <v>46.52</v>
      </c>
    </row>
    <row r="1160" spans="1:4">
      <c r="A1160" s="3536">
        <v>1159</v>
      </c>
      <c r="B1160" s="3481" t="s">
        <v>4709</v>
      </c>
      <c r="C1160" s="3481" t="s">
        <v>3400</v>
      </c>
      <c r="D1160" s="3482">
        <v>46.52</v>
      </c>
    </row>
    <row r="1161" spans="1:4">
      <c r="A1161" s="3536">
        <v>1160</v>
      </c>
      <c r="B1161" s="3481" t="s">
        <v>4710</v>
      </c>
      <c r="C1161" s="3481" t="s">
        <v>3400</v>
      </c>
      <c r="D1161" s="3482">
        <v>23.26</v>
      </c>
    </row>
    <row r="1162" spans="1:4">
      <c r="A1162" s="3536">
        <v>1161</v>
      </c>
      <c r="B1162" s="3481" t="s">
        <v>4711</v>
      </c>
      <c r="C1162" s="3481" t="s">
        <v>3400</v>
      </c>
      <c r="D1162" s="3482">
        <v>23.26</v>
      </c>
    </row>
    <row r="1163" spans="1:4">
      <c r="A1163" s="3536">
        <v>1162</v>
      </c>
      <c r="B1163" s="3481" t="s">
        <v>4712</v>
      </c>
      <c r="C1163" s="3481" t="s">
        <v>3400</v>
      </c>
      <c r="D1163" s="3482">
        <v>46.52</v>
      </c>
    </row>
    <row r="1164" spans="1:4">
      <c r="A1164" s="3536">
        <v>1163</v>
      </c>
      <c r="B1164" s="3481" t="s">
        <v>4713</v>
      </c>
      <c r="C1164" s="3481" t="s">
        <v>3400</v>
      </c>
      <c r="D1164" s="3482">
        <v>46.52</v>
      </c>
    </row>
    <row r="1165" spans="1:4">
      <c r="A1165" s="3536">
        <v>1164</v>
      </c>
      <c r="B1165" s="3481" t="s">
        <v>4714</v>
      </c>
      <c r="C1165" s="3481" t="s">
        <v>3400</v>
      </c>
      <c r="D1165" s="3482">
        <v>23.26</v>
      </c>
    </row>
    <row r="1166" spans="1:4">
      <c r="A1166" s="3536">
        <v>1165</v>
      </c>
      <c r="B1166" s="3481" t="s">
        <v>4715</v>
      </c>
      <c r="C1166" s="3481" t="s">
        <v>3400</v>
      </c>
      <c r="D1166" s="3482">
        <v>23.26</v>
      </c>
    </row>
    <row r="1167" spans="1:4">
      <c r="A1167" s="3536">
        <v>1166</v>
      </c>
      <c r="B1167" s="3481" t="s">
        <v>4716</v>
      </c>
      <c r="C1167" s="3481" t="s">
        <v>3400</v>
      </c>
      <c r="D1167" s="3482">
        <v>69.78</v>
      </c>
    </row>
    <row r="1168" spans="1:4">
      <c r="A1168" s="3536">
        <v>1167</v>
      </c>
      <c r="B1168" s="3481" t="s">
        <v>4717</v>
      </c>
      <c r="C1168" s="3481" t="s">
        <v>3400</v>
      </c>
      <c r="D1168" s="3482">
        <v>69.78</v>
      </c>
    </row>
    <row r="1169" spans="1:4">
      <c r="A1169" s="3536">
        <v>1168</v>
      </c>
      <c r="B1169" s="3481" t="s">
        <v>4718</v>
      </c>
      <c r="C1169" s="3481" t="s">
        <v>3400</v>
      </c>
      <c r="D1169" s="3482">
        <v>23.26</v>
      </c>
    </row>
    <row r="1170" spans="1:4">
      <c r="A1170" s="3536">
        <v>1169</v>
      </c>
      <c r="B1170" s="3481" t="s">
        <v>4719</v>
      </c>
      <c r="C1170" s="3481" t="s">
        <v>3400</v>
      </c>
      <c r="D1170" s="3482">
        <v>23.26</v>
      </c>
    </row>
    <row r="1171" spans="1:4">
      <c r="A1171" s="3536">
        <v>1170</v>
      </c>
      <c r="B1171" s="3481" t="s">
        <v>4720</v>
      </c>
      <c r="C1171" s="3481" t="s">
        <v>3400</v>
      </c>
      <c r="D1171" s="3482">
        <v>69.78</v>
      </c>
    </row>
    <row r="1172" spans="1:4">
      <c r="A1172" s="3536">
        <v>1171</v>
      </c>
      <c r="B1172" s="3481" t="s">
        <v>4721</v>
      </c>
      <c r="C1172" s="3481" t="s">
        <v>3400</v>
      </c>
      <c r="D1172" s="3482">
        <v>46.52</v>
      </c>
    </row>
    <row r="1173" spans="1:4">
      <c r="A1173" s="3536">
        <v>1172</v>
      </c>
      <c r="B1173" s="3481" t="s">
        <v>4722</v>
      </c>
      <c r="C1173" s="3481" t="s">
        <v>3400</v>
      </c>
      <c r="D1173" s="3482">
        <v>46.52</v>
      </c>
    </row>
    <row r="1174" spans="1:4">
      <c r="A1174" s="3536">
        <v>1173</v>
      </c>
      <c r="B1174" s="3481" t="s">
        <v>4723</v>
      </c>
      <c r="C1174" s="3481" t="s">
        <v>3400</v>
      </c>
      <c r="D1174" s="3482">
        <v>46.52</v>
      </c>
    </row>
    <row r="1175" spans="1:4">
      <c r="A1175" s="3536">
        <v>1174</v>
      </c>
      <c r="B1175" s="3481" t="s">
        <v>4724</v>
      </c>
      <c r="C1175" s="3481" t="s">
        <v>3400</v>
      </c>
      <c r="D1175" s="3482">
        <v>46.52</v>
      </c>
    </row>
    <row r="1176" spans="1:4">
      <c r="A1176" s="3536">
        <v>1175</v>
      </c>
      <c r="B1176" s="3481" t="s">
        <v>4725</v>
      </c>
      <c r="C1176" s="3481" t="s">
        <v>3400</v>
      </c>
      <c r="D1176" s="3482">
        <v>46.52</v>
      </c>
    </row>
    <row r="1177" spans="1:4">
      <c r="A1177" s="3536">
        <v>1176</v>
      </c>
      <c r="B1177" s="3481" t="s">
        <v>4726</v>
      </c>
      <c r="C1177" s="3481" t="s">
        <v>3400</v>
      </c>
      <c r="D1177" s="3482">
        <v>46.52</v>
      </c>
    </row>
    <row r="1178" spans="1:4">
      <c r="A1178" s="3536">
        <v>1177</v>
      </c>
      <c r="B1178" s="3481" t="s">
        <v>4727</v>
      </c>
      <c r="C1178" s="3481" t="s">
        <v>3400</v>
      </c>
      <c r="D1178" s="3482">
        <v>46.52</v>
      </c>
    </row>
    <row r="1179" spans="1:4">
      <c r="A1179" s="3536">
        <v>1178</v>
      </c>
      <c r="B1179" s="3481" t="s">
        <v>4728</v>
      </c>
      <c r="C1179" s="3481" t="s">
        <v>3400</v>
      </c>
      <c r="D1179" s="3482">
        <v>46.52</v>
      </c>
    </row>
    <row r="1180" spans="1:4">
      <c r="A1180" s="3536">
        <v>1179</v>
      </c>
      <c r="B1180" s="3481" t="s">
        <v>4729</v>
      </c>
      <c r="C1180" s="3481" t="s">
        <v>3400</v>
      </c>
      <c r="D1180" s="3482">
        <v>46.52</v>
      </c>
    </row>
    <row r="1181" spans="1:4">
      <c r="A1181" s="3536">
        <v>1180</v>
      </c>
      <c r="B1181" s="3481" t="s">
        <v>4730</v>
      </c>
      <c r="C1181" s="3481" t="s">
        <v>3400</v>
      </c>
      <c r="D1181" s="3482">
        <v>46.52</v>
      </c>
    </row>
    <row r="1182" spans="1:4">
      <c r="A1182" s="3536">
        <v>1181</v>
      </c>
      <c r="B1182" s="3481" t="s">
        <v>4731</v>
      </c>
      <c r="C1182" s="3481" t="s">
        <v>3400</v>
      </c>
      <c r="D1182" s="3482">
        <v>46.52</v>
      </c>
    </row>
    <row r="1183" spans="1:4">
      <c r="A1183" s="3536">
        <v>1182</v>
      </c>
      <c r="B1183" s="3481" t="s">
        <v>4732</v>
      </c>
      <c r="C1183" s="3481" t="s">
        <v>3400</v>
      </c>
      <c r="D1183" s="3482">
        <v>46.52</v>
      </c>
    </row>
    <row r="1184" spans="1:4">
      <c r="A1184" s="3536">
        <v>1183</v>
      </c>
      <c r="B1184" s="3481" t="s">
        <v>4733</v>
      </c>
      <c r="C1184" s="3481" t="s">
        <v>3400</v>
      </c>
      <c r="D1184" s="3482">
        <v>23.26</v>
      </c>
    </row>
    <row r="1185" spans="1:4">
      <c r="A1185" s="3536">
        <v>1184</v>
      </c>
      <c r="B1185" s="3481" t="s">
        <v>4734</v>
      </c>
      <c r="C1185" s="3481" t="s">
        <v>3400</v>
      </c>
      <c r="D1185" s="3482">
        <v>23.26</v>
      </c>
    </row>
    <row r="1186" spans="1:4">
      <c r="A1186" s="3536">
        <v>1185</v>
      </c>
      <c r="B1186" s="3481" t="s">
        <v>4735</v>
      </c>
      <c r="C1186" s="3481" t="s">
        <v>3400</v>
      </c>
      <c r="D1186" s="3482">
        <v>23.26</v>
      </c>
    </row>
    <row r="1187" spans="1:4">
      <c r="A1187" s="3536">
        <v>1186</v>
      </c>
      <c r="B1187" s="3481" t="s">
        <v>4736</v>
      </c>
      <c r="C1187" s="3481" t="s">
        <v>3400</v>
      </c>
      <c r="D1187" s="3482">
        <v>23.26</v>
      </c>
    </row>
    <row r="1188" spans="1:4">
      <c r="A1188" s="3536">
        <v>1187</v>
      </c>
      <c r="B1188" s="3481" t="s">
        <v>4737</v>
      </c>
      <c r="C1188" s="3481" t="s">
        <v>3400</v>
      </c>
      <c r="D1188" s="3482">
        <v>23.26</v>
      </c>
    </row>
    <row r="1189" spans="1:4">
      <c r="A1189" s="3536">
        <v>1188</v>
      </c>
      <c r="B1189" s="3481" t="s">
        <v>4738</v>
      </c>
      <c r="C1189" s="3481" t="s">
        <v>3400</v>
      </c>
      <c r="D1189" s="3482">
        <v>23.26</v>
      </c>
    </row>
    <row r="1190" spans="1:4">
      <c r="A1190" s="3536">
        <v>1189</v>
      </c>
      <c r="B1190" s="3481" t="s">
        <v>4739</v>
      </c>
      <c r="C1190" s="3481" t="s">
        <v>3400</v>
      </c>
      <c r="D1190" s="3482">
        <v>23.26</v>
      </c>
    </row>
    <row r="1191" spans="1:4">
      <c r="A1191" s="3536">
        <v>1190</v>
      </c>
      <c r="B1191" s="3481" t="s">
        <v>4740</v>
      </c>
      <c r="C1191" s="3481" t="s">
        <v>3400</v>
      </c>
      <c r="D1191" s="3482">
        <v>23.26</v>
      </c>
    </row>
    <row r="1192" spans="1:4">
      <c r="A1192" s="3536">
        <v>1191</v>
      </c>
      <c r="B1192" s="3481" t="s">
        <v>4741</v>
      </c>
      <c r="C1192" s="3481" t="s">
        <v>3400</v>
      </c>
      <c r="D1192" s="3482">
        <v>23.26</v>
      </c>
    </row>
    <row r="1193" spans="1:4">
      <c r="A1193" s="3536">
        <v>1192</v>
      </c>
      <c r="B1193" s="3481" t="s">
        <v>4742</v>
      </c>
      <c r="C1193" s="3481" t="s">
        <v>3400</v>
      </c>
      <c r="D1193" s="3482">
        <v>23.26</v>
      </c>
    </row>
    <row r="1194" spans="1:4">
      <c r="A1194" s="3536">
        <v>1193</v>
      </c>
      <c r="B1194" s="3481" t="s">
        <v>4743</v>
      </c>
      <c r="C1194" s="3481" t="s">
        <v>3400</v>
      </c>
      <c r="D1194" s="3482">
        <v>23.26</v>
      </c>
    </row>
    <row r="1195" spans="1:4">
      <c r="A1195" s="3536">
        <v>1194</v>
      </c>
      <c r="B1195" s="3481" t="s">
        <v>4744</v>
      </c>
      <c r="C1195" s="3481" t="s">
        <v>3400</v>
      </c>
      <c r="D1195" s="3482">
        <v>23.26</v>
      </c>
    </row>
    <row r="1196" spans="1:4">
      <c r="A1196" s="3536">
        <v>1195</v>
      </c>
      <c r="B1196" s="3481" t="s">
        <v>4745</v>
      </c>
      <c r="C1196" s="3481" t="s">
        <v>3400</v>
      </c>
      <c r="D1196" s="3482">
        <v>23.26</v>
      </c>
    </row>
    <row r="1197" spans="1:4">
      <c r="A1197" s="3536">
        <v>1196</v>
      </c>
      <c r="B1197" s="3481" t="s">
        <v>4746</v>
      </c>
      <c r="C1197" s="3481" t="s">
        <v>3400</v>
      </c>
      <c r="D1197" s="3482">
        <v>23.26</v>
      </c>
    </row>
    <row r="1198" spans="1:4">
      <c r="A1198" s="3536">
        <v>1197</v>
      </c>
      <c r="B1198" s="3481" t="s">
        <v>4747</v>
      </c>
      <c r="C1198" s="3481" t="s">
        <v>3400</v>
      </c>
      <c r="D1198" s="3482">
        <v>46.52</v>
      </c>
    </row>
    <row r="1199" spans="1:4">
      <c r="A1199" s="3536">
        <v>1198</v>
      </c>
      <c r="B1199" s="3481" t="s">
        <v>4748</v>
      </c>
      <c r="C1199" s="3481" t="s">
        <v>3400</v>
      </c>
      <c r="D1199" s="3482">
        <v>46.52</v>
      </c>
    </row>
    <row r="1200" spans="1:4">
      <c r="A1200" s="3536">
        <v>1199</v>
      </c>
      <c r="B1200" s="3481" t="s">
        <v>4749</v>
      </c>
      <c r="C1200" s="3481" t="s">
        <v>3400</v>
      </c>
      <c r="D1200" s="3482">
        <v>46.52</v>
      </c>
    </row>
    <row r="1201" spans="1:4">
      <c r="A1201" s="3536">
        <v>1200</v>
      </c>
      <c r="B1201" s="3481" t="s">
        <v>4750</v>
      </c>
      <c r="C1201" s="3481" t="s">
        <v>3400</v>
      </c>
      <c r="D1201" s="3482">
        <v>46.52</v>
      </c>
    </row>
    <row r="1202" spans="1:4">
      <c r="A1202" s="3536">
        <v>1201</v>
      </c>
      <c r="B1202" s="3481" t="s">
        <v>4751</v>
      </c>
      <c r="C1202" s="3481" t="s">
        <v>3400</v>
      </c>
      <c r="D1202" s="3482">
        <v>46.52</v>
      </c>
    </row>
    <row r="1203" spans="1:4">
      <c r="A1203" s="3536">
        <v>1202</v>
      </c>
      <c r="B1203" s="3481" t="s">
        <v>4752</v>
      </c>
      <c r="C1203" s="3481" t="s">
        <v>3400</v>
      </c>
      <c r="D1203" s="3482">
        <v>46.52</v>
      </c>
    </row>
    <row r="1204" spans="1:4">
      <c r="A1204" s="3536">
        <v>1203</v>
      </c>
      <c r="B1204" s="3481" t="s">
        <v>4753</v>
      </c>
      <c r="C1204" s="3481" t="s">
        <v>3400</v>
      </c>
      <c r="D1204" s="3482">
        <v>46.52</v>
      </c>
    </row>
    <row r="1205" spans="1:4">
      <c r="A1205" s="3536">
        <v>1204</v>
      </c>
      <c r="B1205" s="3481" t="s">
        <v>4754</v>
      </c>
      <c r="C1205" s="3481" t="s">
        <v>3400</v>
      </c>
      <c r="D1205" s="3482">
        <v>46.52</v>
      </c>
    </row>
    <row r="1206" spans="1:4">
      <c r="A1206" s="3536">
        <v>1205</v>
      </c>
      <c r="B1206" s="3481" t="s">
        <v>4755</v>
      </c>
      <c r="C1206" s="3481" t="s">
        <v>3400</v>
      </c>
      <c r="D1206" s="3482">
        <v>46.52</v>
      </c>
    </row>
    <row r="1207" spans="1:4">
      <c r="A1207" s="3536">
        <v>1206</v>
      </c>
      <c r="B1207" s="3481" t="s">
        <v>4756</v>
      </c>
      <c r="C1207" s="3481" t="s">
        <v>3400</v>
      </c>
      <c r="D1207" s="3482">
        <v>46.52</v>
      </c>
    </row>
    <row r="1208" spans="1:4">
      <c r="A1208" s="3536">
        <v>1207</v>
      </c>
      <c r="B1208" s="3481" t="s">
        <v>4757</v>
      </c>
      <c r="C1208" s="3481" t="s">
        <v>3400</v>
      </c>
      <c r="D1208" s="3482">
        <v>46.52</v>
      </c>
    </row>
    <row r="1209" spans="1:4">
      <c r="A1209" s="3536">
        <v>1208</v>
      </c>
      <c r="B1209" s="3481" t="s">
        <v>4758</v>
      </c>
      <c r="C1209" s="3481" t="s">
        <v>3400</v>
      </c>
      <c r="D1209" s="3482">
        <v>46.52</v>
      </c>
    </row>
    <row r="1210" spans="1:4">
      <c r="A1210" s="3536">
        <v>1209</v>
      </c>
      <c r="B1210" s="3481" t="s">
        <v>4759</v>
      </c>
      <c r="C1210" s="3481" t="s">
        <v>3400</v>
      </c>
      <c r="D1210" s="3482">
        <v>46.52</v>
      </c>
    </row>
    <row r="1211" spans="1:4">
      <c r="A1211" s="3536">
        <v>1210</v>
      </c>
      <c r="B1211" s="3481" t="s">
        <v>4760</v>
      </c>
      <c r="C1211" s="3481" t="s">
        <v>3400</v>
      </c>
      <c r="D1211" s="3482">
        <v>46.52</v>
      </c>
    </row>
    <row r="1212" spans="1:4">
      <c r="A1212" s="3536">
        <v>1211</v>
      </c>
      <c r="B1212" s="3481" t="s">
        <v>4761</v>
      </c>
      <c r="C1212" s="3481" t="s">
        <v>3400</v>
      </c>
      <c r="D1212" s="3482">
        <v>46.52</v>
      </c>
    </row>
    <row r="1213" spans="1:4">
      <c r="A1213" s="3536">
        <v>1212</v>
      </c>
      <c r="B1213" s="3481" t="s">
        <v>4762</v>
      </c>
      <c r="C1213" s="3481" t="s">
        <v>3400</v>
      </c>
      <c r="D1213" s="3482">
        <v>46.52</v>
      </c>
    </row>
    <row r="1214" spans="1:4">
      <c r="A1214" s="3536">
        <v>1213</v>
      </c>
      <c r="B1214" s="3481" t="s">
        <v>4763</v>
      </c>
      <c r="C1214" s="3481" t="s">
        <v>3400</v>
      </c>
      <c r="D1214" s="3482">
        <v>46.52</v>
      </c>
    </row>
    <row r="1215" spans="1:4">
      <c r="A1215" s="3536">
        <v>1214</v>
      </c>
      <c r="B1215" s="3481" t="s">
        <v>4764</v>
      </c>
      <c r="C1215" s="3481" t="s">
        <v>3400</v>
      </c>
      <c r="D1215" s="3482">
        <v>46.52</v>
      </c>
    </row>
    <row r="1216" spans="1:4">
      <c r="A1216" s="3536">
        <v>1215</v>
      </c>
      <c r="B1216" s="3481" t="s">
        <v>4765</v>
      </c>
      <c r="C1216" s="3481" t="s">
        <v>3400</v>
      </c>
      <c r="D1216" s="3482">
        <v>46.52</v>
      </c>
    </row>
    <row r="1217" spans="1:4">
      <c r="A1217" s="3536">
        <v>1216</v>
      </c>
      <c r="B1217" s="3481" t="s">
        <v>4766</v>
      </c>
      <c r="C1217" s="3481" t="s">
        <v>3400</v>
      </c>
      <c r="D1217" s="3482">
        <v>46.52</v>
      </c>
    </row>
    <row r="1218" spans="1:4">
      <c r="A1218" s="3536">
        <v>1217</v>
      </c>
      <c r="B1218" s="3481" t="s">
        <v>4767</v>
      </c>
      <c r="C1218" s="3481" t="s">
        <v>3400</v>
      </c>
      <c r="D1218" s="3482">
        <v>46.52</v>
      </c>
    </row>
    <row r="1219" spans="1:4">
      <c r="A1219" s="3536">
        <v>1218</v>
      </c>
      <c r="B1219" s="3481" t="s">
        <v>4768</v>
      </c>
      <c r="C1219" s="3481" t="s">
        <v>3400</v>
      </c>
      <c r="D1219" s="3482">
        <v>46.52</v>
      </c>
    </row>
    <row r="1220" spans="1:4">
      <c r="A1220" s="3536">
        <v>1219</v>
      </c>
      <c r="B1220" s="3481" t="s">
        <v>4769</v>
      </c>
      <c r="C1220" s="3481" t="s">
        <v>3400</v>
      </c>
      <c r="D1220" s="3482">
        <v>46.52</v>
      </c>
    </row>
    <row r="1221" spans="1:4">
      <c r="A1221" s="3536">
        <v>1220</v>
      </c>
      <c r="B1221" s="3481" t="s">
        <v>4770</v>
      </c>
      <c r="C1221" s="3481" t="s">
        <v>3400</v>
      </c>
      <c r="D1221" s="3482">
        <v>46.52</v>
      </c>
    </row>
    <row r="1222" spans="1:4">
      <c r="A1222" s="3536">
        <v>1221</v>
      </c>
      <c r="B1222" s="3481" t="s">
        <v>4771</v>
      </c>
      <c r="C1222" s="3481" t="s">
        <v>3400</v>
      </c>
      <c r="D1222" s="3482">
        <v>46.52</v>
      </c>
    </row>
    <row r="1223" spans="1:4">
      <c r="A1223" s="3536">
        <v>1222</v>
      </c>
      <c r="B1223" s="3481" t="s">
        <v>4772</v>
      </c>
      <c r="C1223" s="3481" t="s">
        <v>3400</v>
      </c>
      <c r="D1223" s="3482">
        <v>46.52</v>
      </c>
    </row>
    <row r="1224" spans="1:4">
      <c r="A1224" s="3536">
        <v>1223</v>
      </c>
      <c r="B1224" s="3481" t="s">
        <v>4773</v>
      </c>
      <c r="C1224" s="3481" t="s">
        <v>3400</v>
      </c>
      <c r="D1224" s="3482">
        <v>23.26</v>
      </c>
    </row>
    <row r="1225" spans="1:4">
      <c r="A1225" s="3536">
        <v>1224</v>
      </c>
      <c r="B1225" s="3481" t="s">
        <v>4774</v>
      </c>
      <c r="C1225" s="3481" t="s">
        <v>3400</v>
      </c>
      <c r="D1225" s="3482">
        <v>23.26</v>
      </c>
    </row>
    <row r="1226" spans="1:4">
      <c r="A1226" s="3536">
        <v>1225</v>
      </c>
      <c r="B1226" s="3481" t="s">
        <v>4775</v>
      </c>
      <c r="C1226" s="3481" t="s">
        <v>3400</v>
      </c>
      <c r="D1226" s="3482">
        <v>23.26</v>
      </c>
    </row>
    <row r="1227" spans="1:4">
      <c r="A1227" s="3536">
        <v>1226</v>
      </c>
      <c r="B1227" s="3481" t="s">
        <v>4776</v>
      </c>
      <c r="C1227" s="3481" t="s">
        <v>3400</v>
      </c>
      <c r="D1227" s="3482">
        <v>23.26</v>
      </c>
    </row>
    <row r="1228" spans="1:4">
      <c r="A1228" s="3536">
        <v>1227</v>
      </c>
      <c r="B1228" s="3481" t="s">
        <v>4777</v>
      </c>
      <c r="C1228" s="3481" t="s">
        <v>3400</v>
      </c>
      <c r="D1228" s="3482">
        <v>23.26</v>
      </c>
    </row>
    <row r="1229" spans="1:4">
      <c r="A1229" s="3536">
        <v>1228</v>
      </c>
      <c r="B1229" s="3481" t="s">
        <v>4778</v>
      </c>
      <c r="C1229" s="3481" t="s">
        <v>3400</v>
      </c>
      <c r="D1229" s="3482">
        <v>23.26</v>
      </c>
    </row>
    <row r="1230" spans="1:4">
      <c r="A1230" s="3536">
        <v>1229</v>
      </c>
      <c r="B1230" s="3481" t="s">
        <v>4779</v>
      </c>
      <c r="C1230" s="3481" t="s">
        <v>3400</v>
      </c>
      <c r="D1230" s="3482">
        <v>23.26</v>
      </c>
    </row>
    <row r="1231" spans="1:4">
      <c r="A1231" s="3536">
        <v>1230</v>
      </c>
      <c r="B1231" s="3481" t="s">
        <v>4780</v>
      </c>
      <c r="C1231" s="3481" t="s">
        <v>3400</v>
      </c>
      <c r="D1231" s="3482">
        <v>23.26</v>
      </c>
    </row>
    <row r="1232" spans="1:4">
      <c r="A1232" s="3536">
        <v>1231</v>
      </c>
      <c r="B1232" s="3481" t="s">
        <v>4781</v>
      </c>
      <c r="C1232" s="3481" t="s">
        <v>3400</v>
      </c>
      <c r="D1232" s="3482">
        <v>23.26</v>
      </c>
    </row>
    <row r="1233" spans="1:4">
      <c r="A1233" s="3536">
        <v>1232</v>
      </c>
      <c r="B1233" s="3481" t="s">
        <v>4782</v>
      </c>
      <c r="C1233" s="3481" t="s">
        <v>3400</v>
      </c>
      <c r="D1233" s="3482">
        <v>23.26</v>
      </c>
    </row>
    <row r="1234" spans="1:4">
      <c r="A1234" s="3536">
        <v>1233</v>
      </c>
      <c r="B1234" s="3481" t="s">
        <v>4783</v>
      </c>
      <c r="C1234" s="3481" t="s">
        <v>3400</v>
      </c>
      <c r="D1234" s="3482">
        <v>23.26</v>
      </c>
    </row>
    <row r="1235" spans="1:4">
      <c r="A1235" s="3536">
        <v>1234</v>
      </c>
      <c r="B1235" s="3481" t="s">
        <v>4784</v>
      </c>
      <c r="C1235" s="3481" t="s">
        <v>3400</v>
      </c>
      <c r="D1235" s="3482">
        <v>23.26</v>
      </c>
    </row>
    <row r="1236" spans="1:4">
      <c r="A1236" s="3536">
        <v>1235</v>
      </c>
      <c r="B1236" s="3481" t="s">
        <v>4785</v>
      </c>
      <c r="C1236" s="3481" t="s">
        <v>3400</v>
      </c>
      <c r="D1236" s="3482">
        <v>23.26</v>
      </c>
    </row>
    <row r="1237" spans="1:4">
      <c r="A1237" s="3536">
        <v>1236</v>
      </c>
      <c r="B1237" s="3481" t="s">
        <v>4786</v>
      </c>
      <c r="C1237" s="3481" t="s">
        <v>3400</v>
      </c>
      <c r="D1237" s="3482">
        <v>23.26</v>
      </c>
    </row>
    <row r="1238" spans="1:4">
      <c r="A1238" s="3536">
        <v>1237</v>
      </c>
      <c r="B1238" s="3481" t="s">
        <v>4787</v>
      </c>
      <c r="C1238" s="3481" t="s">
        <v>3400</v>
      </c>
      <c r="D1238" s="3482">
        <v>23.26</v>
      </c>
    </row>
    <row r="1239" spans="1:4">
      <c r="A1239" s="3536">
        <v>1238</v>
      </c>
      <c r="B1239" s="3481" t="s">
        <v>4788</v>
      </c>
      <c r="C1239" s="3481" t="s">
        <v>3400</v>
      </c>
      <c r="D1239" s="3482">
        <v>33.619999999999997</v>
      </c>
    </row>
    <row r="1240" spans="1:4">
      <c r="A1240" s="3536">
        <v>1239</v>
      </c>
      <c r="B1240" s="3481" t="s">
        <v>4789</v>
      </c>
      <c r="C1240" s="3481" t="s">
        <v>3400</v>
      </c>
      <c r="D1240" s="3482">
        <v>33.619999999999997</v>
      </c>
    </row>
    <row r="1241" spans="1:4">
      <c r="A1241" s="3536">
        <v>1240</v>
      </c>
      <c r="B1241" s="3481" t="s">
        <v>4790</v>
      </c>
      <c r="C1241" s="3481" t="s">
        <v>3400</v>
      </c>
      <c r="D1241" s="3482">
        <v>33.619999999999997</v>
      </c>
    </row>
    <row r="1242" spans="1:4">
      <c r="A1242" s="3536">
        <v>1241</v>
      </c>
      <c r="B1242" s="3481" t="s">
        <v>4791</v>
      </c>
      <c r="C1242" s="3481" t="s">
        <v>3400</v>
      </c>
      <c r="D1242" s="3482">
        <v>33.619999999999997</v>
      </c>
    </row>
    <row r="1243" spans="1:4">
      <c r="A1243" s="3536">
        <v>1242</v>
      </c>
      <c r="B1243" s="3481" t="s">
        <v>4792</v>
      </c>
      <c r="C1243" s="3481" t="s">
        <v>3400</v>
      </c>
      <c r="D1243" s="3482">
        <v>33.619999999999997</v>
      </c>
    </row>
    <row r="1244" spans="1:4">
      <c r="A1244" s="3536">
        <v>1243</v>
      </c>
      <c r="B1244" s="3481" t="s">
        <v>4793</v>
      </c>
      <c r="C1244" s="3481" t="s">
        <v>3400</v>
      </c>
      <c r="D1244" s="3482">
        <v>46.52</v>
      </c>
    </row>
    <row r="1245" spans="1:4">
      <c r="A1245" s="3536">
        <v>1244</v>
      </c>
      <c r="B1245" s="3481" t="s">
        <v>4794</v>
      </c>
      <c r="C1245" s="3481" t="s">
        <v>3400</v>
      </c>
      <c r="D1245" s="3482">
        <v>46.52</v>
      </c>
    </row>
    <row r="1246" spans="1:4">
      <c r="A1246" s="3536">
        <v>1245</v>
      </c>
      <c r="B1246" s="3481" t="s">
        <v>4795</v>
      </c>
      <c r="C1246" s="3481" t="s">
        <v>3400</v>
      </c>
      <c r="D1246" s="3482">
        <v>46.52</v>
      </c>
    </row>
    <row r="1247" spans="1:4">
      <c r="A1247" s="3536">
        <v>1246</v>
      </c>
      <c r="B1247" s="3481" t="s">
        <v>4796</v>
      </c>
      <c r="C1247" s="3481" t="s">
        <v>3400</v>
      </c>
      <c r="D1247" s="3482">
        <v>46.52</v>
      </c>
    </row>
    <row r="1248" spans="1:4">
      <c r="A1248" s="3536">
        <v>1247</v>
      </c>
      <c r="B1248" s="3481" t="s">
        <v>4797</v>
      </c>
      <c r="C1248" s="3481" t="s">
        <v>3400</v>
      </c>
      <c r="D1248" s="3482">
        <v>46.52</v>
      </c>
    </row>
    <row r="1249" spans="1:4">
      <c r="A1249" s="3536">
        <v>1248</v>
      </c>
      <c r="B1249" s="3481" t="s">
        <v>4798</v>
      </c>
      <c r="C1249" s="3481" t="s">
        <v>3400</v>
      </c>
      <c r="D1249" s="3482">
        <v>46.52</v>
      </c>
    </row>
    <row r="1250" spans="1:4">
      <c r="A1250" s="3536">
        <v>1249</v>
      </c>
      <c r="B1250" s="3481" t="s">
        <v>4799</v>
      </c>
      <c r="C1250" s="3481" t="s">
        <v>3400</v>
      </c>
      <c r="D1250" s="3482">
        <v>46.52</v>
      </c>
    </row>
    <row r="1251" spans="1:4">
      <c r="A1251" s="3536">
        <v>1250</v>
      </c>
      <c r="B1251" s="3481" t="s">
        <v>4800</v>
      </c>
      <c r="C1251" s="3481" t="s">
        <v>3400</v>
      </c>
      <c r="D1251" s="3482">
        <v>46.52</v>
      </c>
    </row>
    <row r="1252" spans="1:4">
      <c r="A1252" s="3536">
        <v>1251</v>
      </c>
      <c r="B1252" s="3481" t="s">
        <v>4801</v>
      </c>
      <c r="C1252" s="3481" t="s">
        <v>3400</v>
      </c>
      <c r="D1252" s="3482">
        <v>46.52</v>
      </c>
    </row>
    <row r="1253" spans="1:4">
      <c r="A1253" s="3536">
        <v>1252</v>
      </c>
      <c r="B1253" s="3481" t="s">
        <v>4802</v>
      </c>
      <c r="C1253" s="3481" t="s">
        <v>3400</v>
      </c>
      <c r="D1253" s="3482">
        <v>46.52</v>
      </c>
    </row>
    <row r="1254" spans="1:4">
      <c r="A1254" s="3536">
        <v>1253</v>
      </c>
      <c r="B1254" s="3481" t="s">
        <v>4803</v>
      </c>
      <c r="C1254" s="3481" t="s">
        <v>3400</v>
      </c>
      <c r="D1254" s="3482">
        <v>46.52</v>
      </c>
    </row>
    <row r="1255" spans="1:4">
      <c r="A1255" s="3536">
        <v>1254</v>
      </c>
      <c r="B1255" s="3481" t="s">
        <v>4804</v>
      </c>
      <c r="C1255" s="3481" t="s">
        <v>3400</v>
      </c>
      <c r="D1255" s="3482">
        <v>46.52</v>
      </c>
    </row>
    <row r="1256" spans="1:4">
      <c r="A1256" s="3536">
        <v>1255</v>
      </c>
      <c r="B1256" s="3481" t="s">
        <v>4805</v>
      </c>
      <c r="C1256" s="3481" t="s">
        <v>3400</v>
      </c>
      <c r="D1256" s="3482">
        <v>46.52</v>
      </c>
    </row>
    <row r="1257" spans="1:4">
      <c r="A1257" s="3536">
        <v>1256</v>
      </c>
      <c r="B1257" s="3481" t="s">
        <v>4806</v>
      </c>
      <c r="C1257" s="3481" t="s">
        <v>3400</v>
      </c>
      <c r="D1257" s="3482">
        <v>46.52</v>
      </c>
    </row>
    <row r="1258" spans="1:4">
      <c r="A1258" s="3536">
        <v>1257</v>
      </c>
      <c r="B1258" s="3481" t="s">
        <v>4807</v>
      </c>
      <c r="C1258" s="3481" t="s">
        <v>3400</v>
      </c>
      <c r="D1258" s="3482">
        <v>46.52</v>
      </c>
    </row>
    <row r="1259" spans="1:4">
      <c r="A1259" s="3536">
        <v>1258</v>
      </c>
      <c r="B1259" s="3481" t="s">
        <v>4808</v>
      </c>
      <c r="C1259" s="3481" t="s">
        <v>3400</v>
      </c>
      <c r="D1259" s="3482">
        <v>46.52</v>
      </c>
    </row>
    <row r="1260" spans="1:4">
      <c r="A1260" s="3536">
        <v>1259</v>
      </c>
      <c r="B1260" s="3481" t="s">
        <v>4809</v>
      </c>
      <c r="C1260" s="3481" t="s">
        <v>3400</v>
      </c>
      <c r="D1260" s="3482">
        <v>46.52</v>
      </c>
    </row>
    <row r="1261" spans="1:4">
      <c r="A1261" s="3536">
        <v>1260</v>
      </c>
      <c r="B1261" s="3481" t="s">
        <v>4810</v>
      </c>
      <c r="C1261" s="3481" t="s">
        <v>3400</v>
      </c>
      <c r="D1261" s="3482">
        <v>46.52</v>
      </c>
    </row>
    <row r="1262" spans="1:4">
      <c r="A1262" s="3536">
        <v>1261</v>
      </c>
      <c r="B1262" s="3481" t="s">
        <v>4811</v>
      </c>
      <c r="C1262" s="3481" t="s">
        <v>3400</v>
      </c>
      <c r="D1262" s="3482">
        <v>33.619999999999997</v>
      </c>
    </row>
    <row r="1263" spans="1:4">
      <c r="A1263" s="3536">
        <v>1262</v>
      </c>
      <c r="B1263" s="3481" t="s">
        <v>4812</v>
      </c>
      <c r="C1263" s="3481" t="s">
        <v>3400</v>
      </c>
      <c r="D1263" s="3482">
        <v>33.619999999999997</v>
      </c>
    </row>
    <row r="1264" spans="1:4">
      <c r="A1264" s="3536">
        <v>1263</v>
      </c>
      <c r="B1264" s="3481" t="s">
        <v>4813</v>
      </c>
      <c r="C1264" s="3481" t="s">
        <v>3400</v>
      </c>
      <c r="D1264" s="3482">
        <v>23.26</v>
      </c>
    </row>
    <row r="1265" spans="1:4">
      <c r="A1265" s="3536">
        <v>1264</v>
      </c>
      <c r="B1265" s="3481" t="s">
        <v>4814</v>
      </c>
      <c r="C1265" s="3481" t="s">
        <v>3400</v>
      </c>
      <c r="D1265" s="3482">
        <v>23.26</v>
      </c>
    </row>
    <row r="1266" spans="1:4">
      <c r="A1266" s="3536">
        <v>1265</v>
      </c>
      <c r="B1266" s="3481" t="s">
        <v>4815</v>
      </c>
      <c r="C1266" s="3481" t="s">
        <v>3400</v>
      </c>
      <c r="D1266" s="3482">
        <v>46.52</v>
      </c>
    </row>
    <row r="1267" spans="1:4">
      <c r="A1267" s="3536">
        <v>1266</v>
      </c>
      <c r="B1267" s="3481" t="s">
        <v>4816</v>
      </c>
      <c r="C1267" s="3481" t="s">
        <v>3400</v>
      </c>
      <c r="D1267" s="3482">
        <v>46.52</v>
      </c>
    </row>
    <row r="1268" spans="1:4">
      <c r="A1268" s="3536">
        <v>1267</v>
      </c>
      <c r="B1268" s="3481" t="s">
        <v>4817</v>
      </c>
      <c r="C1268" s="3481" t="s">
        <v>3400</v>
      </c>
      <c r="D1268" s="3482">
        <v>46.52</v>
      </c>
    </row>
    <row r="1269" spans="1:4">
      <c r="A1269" s="3536">
        <v>1268</v>
      </c>
      <c r="B1269" s="3481" t="s">
        <v>4818</v>
      </c>
      <c r="C1269" s="3481" t="s">
        <v>3400</v>
      </c>
      <c r="D1269" s="3482">
        <v>46.52</v>
      </c>
    </row>
    <row r="1270" spans="1:4">
      <c r="A1270" s="3536">
        <v>1269</v>
      </c>
      <c r="B1270" s="3481" t="s">
        <v>4819</v>
      </c>
      <c r="C1270" s="3481" t="s">
        <v>3400</v>
      </c>
      <c r="D1270" s="3482">
        <v>46.52</v>
      </c>
    </row>
    <row r="1271" spans="1:4">
      <c r="A1271" s="3536">
        <v>1270</v>
      </c>
      <c r="B1271" s="3481" t="s">
        <v>4820</v>
      </c>
      <c r="C1271" s="3481" t="s">
        <v>3400</v>
      </c>
      <c r="D1271" s="3482">
        <v>46.52</v>
      </c>
    </row>
    <row r="1272" spans="1:4">
      <c r="A1272" s="3536">
        <v>1271</v>
      </c>
      <c r="B1272" s="3481" t="s">
        <v>4821</v>
      </c>
      <c r="C1272" s="3481" t="s">
        <v>3400</v>
      </c>
      <c r="D1272" s="3482">
        <v>46.52</v>
      </c>
    </row>
    <row r="1273" spans="1:4">
      <c r="A1273" s="3536">
        <v>1272</v>
      </c>
      <c r="B1273" s="3481" t="s">
        <v>4822</v>
      </c>
      <c r="C1273" s="3481" t="s">
        <v>3400</v>
      </c>
      <c r="D1273" s="3482">
        <v>46.52</v>
      </c>
    </row>
    <row r="1274" spans="1:4">
      <c r="A1274" s="3536">
        <v>1273</v>
      </c>
      <c r="B1274" s="3481" t="s">
        <v>4823</v>
      </c>
      <c r="C1274" s="3481" t="s">
        <v>3400</v>
      </c>
      <c r="D1274" s="3482">
        <v>33.619999999999997</v>
      </c>
    </row>
    <row r="1275" spans="1:4">
      <c r="A1275" s="3536">
        <v>1274</v>
      </c>
      <c r="B1275" s="3481" t="s">
        <v>4824</v>
      </c>
      <c r="C1275" s="3481" t="s">
        <v>3400</v>
      </c>
      <c r="D1275" s="3482">
        <v>33.619999999999997</v>
      </c>
    </row>
    <row r="1276" spans="1:4">
      <c r="A1276" s="3536">
        <v>1275</v>
      </c>
      <c r="B1276" s="3481" t="s">
        <v>4825</v>
      </c>
      <c r="C1276" s="3481" t="s">
        <v>3400</v>
      </c>
      <c r="D1276" s="3482">
        <v>33.619999999999997</v>
      </c>
    </row>
    <row r="1277" spans="1:4">
      <c r="A1277" s="3536">
        <v>1276</v>
      </c>
      <c r="B1277" s="3481" t="s">
        <v>4826</v>
      </c>
      <c r="C1277" s="3481" t="s">
        <v>3400</v>
      </c>
      <c r="D1277" s="3482">
        <v>33.619999999999997</v>
      </c>
    </row>
    <row r="1278" spans="1:4">
      <c r="A1278" s="3536">
        <v>1277</v>
      </c>
      <c r="B1278" s="3481" t="s">
        <v>4827</v>
      </c>
      <c r="C1278" s="3481" t="s">
        <v>3400</v>
      </c>
      <c r="D1278" s="3482">
        <v>33.619999999999997</v>
      </c>
    </row>
    <row r="1279" spans="1:4">
      <c r="A1279" s="3536">
        <v>1278</v>
      </c>
      <c r="B1279" s="3481" t="s">
        <v>4828</v>
      </c>
      <c r="C1279" s="3481" t="s">
        <v>3400</v>
      </c>
      <c r="D1279" s="3482">
        <v>33.619999999999997</v>
      </c>
    </row>
    <row r="1280" spans="1:4">
      <c r="A1280" s="3536">
        <v>1279</v>
      </c>
      <c r="B1280" s="3481" t="s">
        <v>4829</v>
      </c>
      <c r="C1280" s="3481" t="s">
        <v>3400</v>
      </c>
      <c r="D1280" s="3482">
        <v>33.619999999999997</v>
      </c>
    </row>
    <row r="1281" spans="1:4">
      <c r="A1281" s="3536">
        <v>1280</v>
      </c>
      <c r="B1281" s="3481" t="s">
        <v>4830</v>
      </c>
      <c r="C1281" s="3481" t="s">
        <v>3400</v>
      </c>
      <c r="D1281" s="3482">
        <v>33.619999999999997</v>
      </c>
    </row>
    <row r="1282" spans="1:4">
      <c r="A1282" s="3536">
        <v>1281</v>
      </c>
      <c r="B1282" s="3481" t="s">
        <v>4831</v>
      </c>
      <c r="C1282" s="3481" t="s">
        <v>3400</v>
      </c>
      <c r="D1282" s="3482">
        <v>33.619999999999997</v>
      </c>
    </row>
    <row r="1283" spans="1:4">
      <c r="A1283" s="3536">
        <v>1282</v>
      </c>
      <c r="B1283" s="3481" t="s">
        <v>4832</v>
      </c>
      <c r="C1283" s="3481" t="s">
        <v>3400</v>
      </c>
      <c r="D1283" s="3482">
        <v>46.52</v>
      </c>
    </row>
    <row r="1284" spans="1:4">
      <c r="A1284" s="3536">
        <v>1283</v>
      </c>
      <c r="B1284" s="3481" t="s">
        <v>4833</v>
      </c>
      <c r="C1284" s="3481" t="s">
        <v>3400</v>
      </c>
      <c r="D1284" s="3482">
        <v>46.52</v>
      </c>
    </row>
    <row r="1285" spans="1:4">
      <c r="A1285" s="3536">
        <v>1284</v>
      </c>
      <c r="B1285" s="3481" t="s">
        <v>4834</v>
      </c>
      <c r="C1285" s="3481" t="s">
        <v>3400</v>
      </c>
      <c r="D1285" s="3482">
        <v>46.52</v>
      </c>
    </row>
    <row r="1286" spans="1:4">
      <c r="A1286" s="3536">
        <v>1285</v>
      </c>
      <c r="B1286" s="3481" t="s">
        <v>4835</v>
      </c>
      <c r="C1286" s="3481" t="s">
        <v>3400</v>
      </c>
      <c r="D1286" s="3482">
        <v>46.52</v>
      </c>
    </row>
    <row r="1287" spans="1:4">
      <c r="A1287" s="3536">
        <v>1286</v>
      </c>
      <c r="B1287" s="3481" t="s">
        <v>4836</v>
      </c>
      <c r="C1287" s="3481" t="s">
        <v>3400</v>
      </c>
      <c r="D1287" s="3482">
        <v>46.52</v>
      </c>
    </row>
    <row r="1288" spans="1:4">
      <c r="A1288" s="3536">
        <v>1287</v>
      </c>
      <c r="B1288" s="3481" t="s">
        <v>4837</v>
      </c>
      <c r="C1288" s="3481" t="s">
        <v>3400</v>
      </c>
      <c r="D1288" s="3482">
        <v>46.52</v>
      </c>
    </row>
    <row r="1289" spans="1:4">
      <c r="A1289" s="3536">
        <v>1288</v>
      </c>
      <c r="B1289" s="3481" t="s">
        <v>4838</v>
      </c>
      <c r="C1289" s="3481" t="s">
        <v>3400</v>
      </c>
      <c r="D1289" s="3482">
        <v>33.619999999999997</v>
      </c>
    </row>
    <row r="1290" spans="1:4">
      <c r="A1290" s="3536">
        <v>1289</v>
      </c>
      <c r="B1290" s="3481" t="s">
        <v>4839</v>
      </c>
      <c r="C1290" s="3481" t="s">
        <v>3400</v>
      </c>
      <c r="D1290" s="3482">
        <v>50.43</v>
      </c>
    </row>
    <row r="1291" spans="1:4">
      <c r="A1291" s="3536">
        <v>1290</v>
      </c>
      <c r="B1291" s="3481" t="s">
        <v>4840</v>
      </c>
      <c r="C1291" s="3481" t="s">
        <v>3400</v>
      </c>
      <c r="D1291" s="3482">
        <v>33.619999999999997</v>
      </c>
    </row>
    <row r="1292" spans="1:4">
      <c r="A1292" s="3536">
        <v>1291</v>
      </c>
      <c r="B1292" s="3481" t="s">
        <v>4841</v>
      </c>
      <c r="C1292" s="3481" t="s">
        <v>3400</v>
      </c>
      <c r="D1292" s="3482">
        <v>33.619999999999997</v>
      </c>
    </row>
    <row r="1293" spans="1:4">
      <c r="A1293" s="3536">
        <v>1292</v>
      </c>
      <c r="B1293" s="3481" t="s">
        <v>4842</v>
      </c>
      <c r="C1293" s="3481" t="s">
        <v>3400</v>
      </c>
      <c r="D1293" s="3482">
        <v>33.619999999999997</v>
      </c>
    </row>
    <row r="1294" spans="1:4">
      <c r="A1294" s="3536">
        <v>1293</v>
      </c>
      <c r="B1294" s="3481" t="s">
        <v>4843</v>
      </c>
      <c r="C1294" s="3481" t="s">
        <v>3400</v>
      </c>
      <c r="D1294" s="3482">
        <v>33.619999999999997</v>
      </c>
    </row>
    <row r="1295" spans="1:4">
      <c r="A1295" s="3536">
        <v>1294</v>
      </c>
      <c r="B1295" s="3481" t="s">
        <v>4844</v>
      </c>
      <c r="C1295" s="3481" t="s">
        <v>3400</v>
      </c>
      <c r="D1295" s="3482">
        <v>33.619999999999997</v>
      </c>
    </row>
    <row r="1296" spans="1:4">
      <c r="A1296" s="3536">
        <v>1295</v>
      </c>
      <c r="B1296" s="3481" t="s">
        <v>4845</v>
      </c>
      <c r="C1296" s="3481" t="s">
        <v>3400</v>
      </c>
      <c r="D1296" s="3482">
        <v>33.619999999999997</v>
      </c>
    </row>
    <row r="1297" spans="1:4">
      <c r="A1297" s="3536">
        <v>1296</v>
      </c>
      <c r="B1297" s="3481" t="s">
        <v>4846</v>
      </c>
      <c r="C1297" s="3481" t="s">
        <v>3400</v>
      </c>
      <c r="D1297" s="3482">
        <v>33.619999999999997</v>
      </c>
    </row>
    <row r="1298" spans="1:4">
      <c r="A1298" s="3536">
        <v>1297</v>
      </c>
      <c r="B1298" s="3481" t="s">
        <v>4847</v>
      </c>
      <c r="C1298" s="3481" t="s">
        <v>3400</v>
      </c>
      <c r="D1298" s="3482">
        <v>33.619999999999997</v>
      </c>
    </row>
    <row r="1299" spans="1:4">
      <c r="A1299" s="3536">
        <v>1298</v>
      </c>
      <c r="B1299" s="3481" t="s">
        <v>4848</v>
      </c>
      <c r="C1299" s="3481" t="s">
        <v>3400</v>
      </c>
      <c r="D1299" s="3482">
        <v>33.619999999999997</v>
      </c>
    </row>
    <row r="1300" spans="1:4">
      <c r="A1300" s="3536">
        <v>1299</v>
      </c>
      <c r="B1300" s="3481" t="s">
        <v>4849</v>
      </c>
      <c r="C1300" s="3481" t="s">
        <v>3400</v>
      </c>
      <c r="D1300" s="3482">
        <v>33.619999999999997</v>
      </c>
    </row>
    <row r="1301" spans="1:4">
      <c r="A1301" s="3536">
        <v>1300</v>
      </c>
      <c r="B1301" s="3481" t="s">
        <v>4850</v>
      </c>
      <c r="C1301" s="3481" t="s">
        <v>3400</v>
      </c>
      <c r="D1301" s="3482">
        <v>23.26</v>
      </c>
    </row>
    <row r="1302" spans="1:4">
      <c r="A1302" s="3536">
        <v>1301</v>
      </c>
      <c r="B1302" s="3481" t="s">
        <v>4851</v>
      </c>
      <c r="C1302" s="3481" t="s">
        <v>3400</v>
      </c>
      <c r="D1302" s="3482">
        <v>33.619999999999997</v>
      </c>
    </row>
    <row r="1303" spans="1:4">
      <c r="A1303" s="3536">
        <v>1302</v>
      </c>
      <c r="B1303" s="3481" t="s">
        <v>4852</v>
      </c>
      <c r="C1303" s="3481" t="s">
        <v>3400</v>
      </c>
      <c r="D1303" s="3482">
        <v>33.619999999999997</v>
      </c>
    </row>
    <row r="1304" spans="1:4">
      <c r="A1304" s="3536">
        <v>1303</v>
      </c>
      <c r="B1304" s="3481" t="s">
        <v>4853</v>
      </c>
      <c r="C1304" s="3481" t="s">
        <v>3400</v>
      </c>
      <c r="D1304" s="3482">
        <v>33.619999999999997</v>
      </c>
    </row>
    <row r="1305" spans="1:4">
      <c r="A1305" s="3536">
        <v>1304</v>
      </c>
      <c r="B1305" s="3481" t="s">
        <v>4854</v>
      </c>
      <c r="C1305" s="3481" t="s">
        <v>3400</v>
      </c>
      <c r="D1305" s="3482">
        <v>33.619999999999997</v>
      </c>
    </row>
    <row r="1306" spans="1:4">
      <c r="A1306" s="3536">
        <v>1305</v>
      </c>
      <c r="B1306" s="3481" t="s">
        <v>4855</v>
      </c>
      <c r="C1306" s="3481" t="s">
        <v>3400</v>
      </c>
      <c r="D1306" s="3482">
        <v>33.619999999999997</v>
      </c>
    </row>
    <row r="1307" spans="1:4">
      <c r="A1307" s="3536">
        <v>1306</v>
      </c>
      <c r="B1307" s="3481" t="s">
        <v>4856</v>
      </c>
      <c r="C1307" s="3481" t="s">
        <v>3400</v>
      </c>
      <c r="D1307" s="3482">
        <v>33.619999999999997</v>
      </c>
    </row>
    <row r="1308" spans="1:4">
      <c r="A1308" s="3536">
        <v>1307</v>
      </c>
      <c r="B1308" s="3481" t="s">
        <v>4857</v>
      </c>
      <c r="C1308" s="3481" t="s">
        <v>3400</v>
      </c>
      <c r="D1308" s="3482">
        <v>23.26</v>
      </c>
    </row>
    <row r="1309" spans="1:4">
      <c r="A1309" s="3536">
        <v>1308</v>
      </c>
      <c r="B1309" s="3481" t="s">
        <v>4858</v>
      </c>
      <c r="C1309" s="3481" t="s">
        <v>3400</v>
      </c>
      <c r="D1309" s="3482">
        <v>23.26</v>
      </c>
    </row>
    <row r="1310" spans="1:4">
      <c r="A1310" s="3536">
        <v>1309</v>
      </c>
      <c r="B1310" s="3481" t="s">
        <v>4859</v>
      </c>
      <c r="C1310" s="3481" t="s">
        <v>3400</v>
      </c>
      <c r="D1310" s="3482">
        <v>33.619999999999997</v>
      </c>
    </row>
    <row r="1311" spans="1:4">
      <c r="A1311" s="3536">
        <v>1310</v>
      </c>
      <c r="B1311" s="3481" t="s">
        <v>4860</v>
      </c>
      <c r="C1311" s="3481" t="s">
        <v>3400</v>
      </c>
      <c r="D1311" s="3482">
        <v>33.619999999999997</v>
      </c>
    </row>
    <row r="1312" spans="1:4">
      <c r="A1312" s="3536">
        <v>1311</v>
      </c>
      <c r="B1312" s="3481" t="s">
        <v>4861</v>
      </c>
      <c r="C1312" s="3481" t="s">
        <v>3400</v>
      </c>
      <c r="D1312" s="3482">
        <v>23.26</v>
      </c>
    </row>
    <row r="1313" spans="1:4">
      <c r="A1313" s="3536">
        <v>1312</v>
      </c>
      <c r="B1313" s="3481" t="s">
        <v>4862</v>
      </c>
      <c r="C1313" s="3481" t="s">
        <v>3400</v>
      </c>
      <c r="D1313" s="3482">
        <v>46.52</v>
      </c>
    </row>
    <row r="1314" spans="1:4">
      <c r="A1314" s="3536">
        <v>1313</v>
      </c>
      <c r="B1314" s="3481" t="s">
        <v>4863</v>
      </c>
      <c r="C1314" s="3481" t="s">
        <v>3400</v>
      </c>
      <c r="D1314" s="3482">
        <v>46.52</v>
      </c>
    </row>
    <row r="1315" spans="1:4">
      <c r="A1315" s="3536">
        <v>1314</v>
      </c>
      <c r="B1315" s="3481" t="s">
        <v>4864</v>
      </c>
      <c r="C1315" s="3481" t="s">
        <v>3400</v>
      </c>
      <c r="D1315" s="3482">
        <v>46.52</v>
      </c>
    </row>
    <row r="1316" spans="1:4">
      <c r="A1316" s="3536">
        <v>1315</v>
      </c>
      <c r="B1316" s="3481" t="s">
        <v>4865</v>
      </c>
      <c r="C1316" s="3481" t="s">
        <v>3400</v>
      </c>
      <c r="D1316" s="3482">
        <v>46.52</v>
      </c>
    </row>
    <row r="1317" spans="1:4">
      <c r="A1317" s="3536">
        <v>1316</v>
      </c>
      <c r="B1317" s="3481" t="s">
        <v>4866</v>
      </c>
      <c r="C1317" s="3481" t="s">
        <v>3400</v>
      </c>
      <c r="D1317" s="3482">
        <v>46.52</v>
      </c>
    </row>
    <row r="1318" spans="1:4">
      <c r="A1318" s="3536">
        <v>1317</v>
      </c>
      <c r="B1318" s="3481" t="s">
        <v>4867</v>
      </c>
      <c r="C1318" s="3481" t="s">
        <v>3400</v>
      </c>
      <c r="D1318" s="3482">
        <v>46.52</v>
      </c>
    </row>
    <row r="1319" spans="1:4">
      <c r="A1319" s="3536">
        <v>1318</v>
      </c>
      <c r="B1319" s="3481" t="s">
        <v>4868</v>
      </c>
      <c r="C1319" s="3481" t="s">
        <v>3400</v>
      </c>
      <c r="D1319" s="3482">
        <v>33.619999999999997</v>
      </c>
    </row>
    <row r="1320" spans="1:4">
      <c r="A1320" s="3536">
        <v>1319</v>
      </c>
      <c r="B1320" s="3481" t="s">
        <v>4869</v>
      </c>
      <c r="C1320" s="3481" t="s">
        <v>3400</v>
      </c>
      <c r="D1320" s="3482">
        <v>33.619999999999997</v>
      </c>
    </row>
    <row r="1321" spans="1:4">
      <c r="A1321" s="3536">
        <v>1320</v>
      </c>
      <c r="B1321" s="3481" t="s">
        <v>4870</v>
      </c>
      <c r="C1321" s="3481" t="s">
        <v>3400</v>
      </c>
      <c r="D1321" s="3482">
        <v>33.619999999999997</v>
      </c>
    </row>
    <row r="1322" spans="1:4">
      <c r="A1322" s="3536">
        <v>1321</v>
      </c>
      <c r="B1322" s="3481" t="s">
        <v>4871</v>
      </c>
      <c r="C1322" s="3481" t="s">
        <v>3400</v>
      </c>
      <c r="D1322" s="3482">
        <v>33.619999999999997</v>
      </c>
    </row>
    <row r="1323" spans="1:4">
      <c r="A1323" s="3536">
        <v>1322</v>
      </c>
      <c r="B1323" s="3481" t="s">
        <v>4872</v>
      </c>
      <c r="C1323" s="3481" t="s">
        <v>3400</v>
      </c>
      <c r="D1323" s="3482">
        <v>33.619999999999997</v>
      </c>
    </row>
    <row r="1324" spans="1:4">
      <c r="A1324" s="3536">
        <v>1323</v>
      </c>
      <c r="B1324" s="3481" t="s">
        <v>4873</v>
      </c>
      <c r="C1324" s="3481" t="s">
        <v>3400</v>
      </c>
      <c r="D1324" s="3482">
        <v>33.619999999999997</v>
      </c>
    </row>
    <row r="1325" spans="1:4">
      <c r="A1325" s="3536">
        <v>1324</v>
      </c>
      <c r="B1325" s="3481" t="s">
        <v>4874</v>
      </c>
      <c r="C1325" s="3481" t="s">
        <v>3400</v>
      </c>
      <c r="D1325" s="3482">
        <v>33.619999999999997</v>
      </c>
    </row>
    <row r="1326" spans="1:4">
      <c r="A1326" s="3536">
        <v>1325</v>
      </c>
      <c r="B1326" s="3481" t="s">
        <v>4875</v>
      </c>
      <c r="C1326" s="3481" t="s">
        <v>3400</v>
      </c>
      <c r="D1326" s="3482">
        <v>33.619999999999997</v>
      </c>
    </row>
    <row r="1327" spans="1:4">
      <c r="A1327" s="3536">
        <v>1326</v>
      </c>
      <c r="B1327" s="3481" t="s">
        <v>4876</v>
      </c>
      <c r="C1327" s="3481" t="s">
        <v>3400</v>
      </c>
      <c r="D1327" s="3482">
        <v>33.619999999999997</v>
      </c>
    </row>
    <row r="1328" spans="1:4">
      <c r="A1328" s="3536">
        <v>1327</v>
      </c>
      <c r="B1328" s="3481" t="s">
        <v>4877</v>
      </c>
      <c r="C1328" s="3481" t="s">
        <v>3400</v>
      </c>
      <c r="D1328" s="3482">
        <v>33.619999999999997</v>
      </c>
    </row>
    <row r="1329" spans="1:4">
      <c r="A1329" s="3536">
        <v>1328</v>
      </c>
      <c r="B1329" s="3481" t="s">
        <v>4878</v>
      </c>
      <c r="C1329" s="3481" t="s">
        <v>3400</v>
      </c>
      <c r="D1329" s="3482">
        <v>33.619999999999997</v>
      </c>
    </row>
    <row r="1330" spans="1:4">
      <c r="A1330" s="3536">
        <v>1329</v>
      </c>
      <c r="B1330" s="3481" t="s">
        <v>4879</v>
      </c>
      <c r="C1330" s="3481" t="s">
        <v>3400</v>
      </c>
      <c r="D1330" s="3482">
        <v>33.619999999999997</v>
      </c>
    </row>
    <row r="1331" spans="1:4">
      <c r="A1331" s="3536">
        <v>1330</v>
      </c>
      <c r="B1331" s="3481" t="s">
        <v>4880</v>
      </c>
      <c r="C1331" s="3481" t="s">
        <v>3400</v>
      </c>
      <c r="D1331" s="3482">
        <v>33.619999999999997</v>
      </c>
    </row>
    <row r="1332" spans="1:4">
      <c r="A1332" s="3536">
        <v>1331</v>
      </c>
      <c r="B1332" s="3481" t="s">
        <v>4881</v>
      </c>
      <c r="C1332" s="3481" t="s">
        <v>3400</v>
      </c>
      <c r="D1332" s="3482">
        <v>33.619999999999997</v>
      </c>
    </row>
    <row r="1333" spans="1:4">
      <c r="A1333" s="3536">
        <v>1332</v>
      </c>
      <c r="B1333" s="3481" t="s">
        <v>4882</v>
      </c>
      <c r="C1333" s="3481" t="s">
        <v>3400</v>
      </c>
      <c r="D1333" s="3482">
        <v>33.619999999999997</v>
      </c>
    </row>
    <row r="1334" spans="1:4">
      <c r="A1334" s="3536">
        <v>1333</v>
      </c>
      <c r="B1334" s="3481" t="s">
        <v>4883</v>
      </c>
      <c r="C1334" s="3481" t="s">
        <v>3400</v>
      </c>
      <c r="D1334" s="3482">
        <v>33.619999999999997</v>
      </c>
    </row>
    <row r="1335" spans="1:4">
      <c r="A1335" s="3536">
        <v>1334</v>
      </c>
      <c r="B1335" s="3481" t="s">
        <v>4884</v>
      </c>
      <c r="C1335" s="3481" t="s">
        <v>3400</v>
      </c>
      <c r="D1335" s="3482">
        <v>33.619999999999997</v>
      </c>
    </row>
    <row r="1336" spans="1:4">
      <c r="A1336" s="3536">
        <v>1335</v>
      </c>
      <c r="B1336" s="3481" t="s">
        <v>4885</v>
      </c>
      <c r="C1336" s="3481" t="s">
        <v>3400</v>
      </c>
      <c r="D1336" s="3482">
        <v>33.619999999999997</v>
      </c>
    </row>
    <row r="1337" spans="1:4">
      <c r="A1337" s="3536">
        <v>1336</v>
      </c>
      <c r="B1337" s="3481" t="s">
        <v>4886</v>
      </c>
      <c r="C1337" s="3481" t="s">
        <v>3400</v>
      </c>
      <c r="D1337" s="3482">
        <v>33.619999999999997</v>
      </c>
    </row>
    <row r="1338" spans="1:4">
      <c r="A1338" s="3536">
        <v>1337</v>
      </c>
      <c r="B1338" s="3481" t="s">
        <v>4887</v>
      </c>
      <c r="C1338" s="3481" t="s">
        <v>3400</v>
      </c>
      <c r="D1338" s="3482">
        <v>33.619999999999997</v>
      </c>
    </row>
    <row r="1339" spans="1:4">
      <c r="A1339" s="3536">
        <v>1338</v>
      </c>
      <c r="B1339" s="3481" t="s">
        <v>4888</v>
      </c>
      <c r="C1339" s="3481" t="s">
        <v>3400</v>
      </c>
      <c r="D1339" s="3482">
        <v>33.619999999999997</v>
      </c>
    </row>
    <row r="1340" spans="1:4">
      <c r="A1340" s="3536">
        <v>1339</v>
      </c>
      <c r="B1340" s="3481" t="s">
        <v>4889</v>
      </c>
      <c r="C1340" s="3481" t="s">
        <v>3400</v>
      </c>
      <c r="D1340" s="3482">
        <v>25.37</v>
      </c>
    </row>
    <row r="1341" spans="1:4">
      <c r="A1341" s="3536">
        <v>1340</v>
      </c>
      <c r="B1341" s="3481" t="s">
        <v>4890</v>
      </c>
      <c r="C1341" s="3481" t="s">
        <v>3400</v>
      </c>
      <c r="D1341" s="3482">
        <v>33.619999999999997</v>
      </c>
    </row>
    <row r="1342" spans="1:4">
      <c r="A1342" s="3536">
        <v>1341</v>
      </c>
      <c r="B1342" s="3481" t="s">
        <v>4891</v>
      </c>
      <c r="C1342" s="3481" t="s">
        <v>3400</v>
      </c>
      <c r="D1342" s="3482">
        <v>33.619999999999997</v>
      </c>
    </row>
    <row r="1343" spans="1:4">
      <c r="A1343" s="3536">
        <v>1342</v>
      </c>
      <c r="B1343" s="3481" t="s">
        <v>4892</v>
      </c>
      <c r="C1343" s="3481" t="s">
        <v>3400</v>
      </c>
      <c r="D1343" s="3482">
        <v>33.619999999999997</v>
      </c>
    </row>
    <row r="1344" spans="1:4">
      <c r="A1344" s="3536">
        <v>1343</v>
      </c>
      <c r="B1344" s="3481" t="s">
        <v>4893</v>
      </c>
      <c r="C1344" s="3481" t="s">
        <v>3400</v>
      </c>
      <c r="D1344" s="3482">
        <v>33.619999999999997</v>
      </c>
    </row>
    <row r="1345" spans="1:4">
      <c r="A1345" s="3536">
        <v>1344</v>
      </c>
      <c r="B1345" s="3481" t="s">
        <v>4894</v>
      </c>
      <c r="C1345" s="3481" t="s">
        <v>3400</v>
      </c>
      <c r="D1345" s="3482">
        <v>46.52</v>
      </c>
    </row>
    <row r="1346" spans="1:4">
      <c r="A1346" s="3536">
        <v>1345</v>
      </c>
      <c r="B1346" s="3481" t="s">
        <v>4895</v>
      </c>
      <c r="C1346" s="3481" t="s">
        <v>3400</v>
      </c>
      <c r="D1346" s="3482">
        <v>46.52</v>
      </c>
    </row>
    <row r="1347" spans="1:4">
      <c r="A1347" s="3536">
        <v>1346</v>
      </c>
      <c r="B1347" s="3481" t="s">
        <v>4896</v>
      </c>
      <c r="C1347" s="3481" t="s">
        <v>3400</v>
      </c>
      <c r="D1347" s="3482">
        <v>46.52</v>
      </c>
    </row>
    <row r="1348" spans="1:4">
      <c r="A1348" s="3536">
        <v>1347</v>
      </c>
      <c r="B1348" s="3481" t="s">
        <v>4897</v>
      </c>
      <c r="C1348" s="3481" t="s">
        <v>3400</v>
      </c>
      <c r="D1348" s="3482">
        <v>46.52</v>
      </c>
    </row>
    <row r="1349" spans="1:4">
      <c r="A1349" s="3536">
        <v>1348</v>
      </c>
      <c r="B1349" s="3481" t="s">
        <v>4898</v>
      </c>
      <c r="C1349" s="3481" t="s">
        <v>3400</v>
      </c>
      <c r="D1349" s="3482">
        <v>46.52</v>
      </c>
    </row>
    <row r="1350" spans="1:4">
      <c r="A1350" s="3536">
        <v>1349</v>
      </c>
      <c r="B1350" s="3481" t="s">
        <v>4899</v>
      </c>
      <c r="C1350" s="3481" t="s">
        <v>3400</v>
      </c>
      <c r="D1350" s="3482">
        <v>46.52</v>
      </c>
    </row>
    <row r="1351" spans="1:4">
      <c r="A1351" s="3536">
        <v>1350</v>
      </c>
      <c r="B1351" s="3481" t="s">
        <v>4900</v>
      </c>
      <c r="C1351" s="3481" t="s">
        <v>3400</v>
      </c>
      <c r="D1351" s="3482">
        <v>46.52</v>
      </c>
    </row>
    <row r="1352" spans="1:4">
      <c r="A1352" s="3536">
        <v>1351</v>
      </c>
      <c r="B1352" s="3481" t="s">
        <v>4901</v>
      </c>
      <c r="C1352" s="3481" t="s">
        <v>3400</v>
      </c>
      <c r="D1352" s="3482">
        <v>46.52</v>
      </c>
    </row>
    <row r="1353" spans="1:4">
      <c r="A1353" s="3536">
        <v>1352</v>
      </c>
      <c r="B1353" s="3481" t="s">
        <v>4902</v>
      </c>
      <c r="C1353" s="3481" t="s">
        <v>3400</v>
      </c>
      <c r="D1353" s="3482">
        <v>46.52</v>
      </c>
    </row>
    <row r="1354" spans="1:4">
      <c r="A1354" s="3536">
        <v>1353</v>
      </c>
      <c r="B1354" s="3481" t="s">
        <v>4903</v>
      </c>
      <c r="C1354" s="3481" t="s">
        <v>3400</v>
      </c>
      <c r="D1354" s="3482">
        <v>33.619999999999997</v>
      </c>
    </row>
    <row r="1355" spans="1:4">
      <c r="A1355" s="3536">
        <v>1354</v>
      </c>
      <c r="B1355" s="3481" t="s">
        <v>4904</v>
      </c>
      <c r="C1355" s="3481" t="s">
        <v>3400</v>
      </c>
      <c r="D1355" s="3482">
        <v>33.619999999999997</v>
      </c>
    </row>
    <row r="1356" spans="1:4">
      <c r="A1356" s="3536">
        <v>1355</v>
      </c>
      <c r="B1356" s="3481" t="s">
        <v>4905</v>
      </c>
      <c r="C1356" s="3481" t="s">
        <v>3400</v>
      </c>
      <c r="D1356" s="3482">
        <v>33.619999999999997</v>
      </c>
    </row>
    <row r="1357" spans="1:4">
      <c r="A1357" s="3536">
        <v>1356</v>
      </c>
      <c r="B1357" s="3481" t="s">
        <v>4906</v>
      </c>
      <c r="C1357" s="3481" t="s">
        <v>3400</v>
      </c>
      <c r="D1357" s="3482">
        <v>33.619999999999997</v>
      </c>
    </row>
    <row r="1358" spans="1:4">
      <c r="A1358" s="3536">
        <v>1357</v>
      </c>
      <c r="B1358" s="3481" t="s">
        <v>4907</v>
      </c>
      <c r="C1358" s="3481" t="s">
        <v>3400</v>
      </c>
      <c r="D1358" s="3482">
        <v>33.619999999999997</v>
      </c>
    </row>
    <row r="1359" spans="1:4">
      <c r="A1359" s="3536">
        <v>1358</v>
      </c>
      <c r="B1359" s="3481" t="s">
        <v>4908</v>
      </c>
      <c r="C1359" s="3481" t="s">
        <v>3400</v>
      </c>
      <c r="D1359" s="3482">
        <v>33.619999999999997</v>
      </c>
    </row>
    <row r="1360" spans="1:4">
      <c r="A1360" s="3536">
        <v>1359</v>
      </c>
      <c r="B1360" s="3481" t="s">
        <v>4909</v>
      </c>
      <c r="C1360" s="3481" t="s">
        <v>3400</v>
      </c>
      <c r="D1360" s="3482">
        <v>33.619999999999997</v>
      </c>
    </row>
    <row r="1361" spans="1:4">
      <c r="A1361" s="3536">
        <v>1360</v>
      </c>
      <c r="B1361" s="3481" t="s">
        <v>4910</v>
      </c>
      <c r="C1361" s="3481" t="s">
        <v>3400</v>
      </c>
      <c r="D1361" s="3482">
        <v>33.619999999999997</v>
      </c>
    </row>
    <row r="1362" spans="1:4">
      <c r="A1362" s="3536">
        <v>1361</v>
      </c>
      <c r="B1362" s="3481" t="s">
        <v>4911</v>
      </c>
      <c r="C1362" s="3481" t="s">
        <v>3400</v>
      </c>
      <c r="D1362" s="3482">
        <v>33.619999999999997</v>
      </c>
    </row>
    <row r="1363" spans="1:4">
      <c r="A1363" s="3536">
        <v>1362</v>
      </c>
      <c r="B1363" s="3481" t="s">
        <v>4912</v>
      </c>
      <c r="C1363" s="3481" t="s">
        <v>3400</v>
      </c>
      <c r="D1363" s="3482">
        <v>33.619999999999997</v>
      </c>
    </row>
    <row r="1364" spans="1:4">
      <c r="A1364" s="3536">
        <v>1363</v>
      </c>
      <c r="B1364" s="3481" t="s">
        <v>4913</v>
      </c>
      <c r="C1364" s="3481" t="s">
        <v>3400</v>
      </c>
      <c r="D1364" s="3482">
        <v>33.619999999999997</v>
      </c>
    </row>
    <row r="1365" spans="1:4">
      <c r="A1365" s="3536">
        <v>1364</v>
      </c>
      <c r="B1365" s="3481" t="s">
        <v>4914</v>
      </c>
      <c r="C1365" s="3481" t="s">
        <v>3400</v>
      </c>
      <c r="D1365" s="3482">
        <v>33.619999999999997</v>
      </c>
    </row>
    <row r="1366" spans="1:4">
      <c r="A1366" s="3536">
        <v>1365</v>
      </c>
      <c r="B1366" s="3481" t="s">
        <v>4915</v>
      </c>
      <c r="C1366" s="3481" t="s">
        <v>3400</v>
      </c>
      <c r="D1366" s="3482">
        <v>33.619999999999997</v>
      </c>
    </row>
    <row r="1367" spans="1:4">
      <c r="A1367" s="3536">
        <v>1366</v>
      </c>
      <c r="B1367" s="3481" t="s">
        <v>4916</v>
      </c>
      <c r="C1367" s="3481" t="s">
        <v>3400</v>
      </c>
      <c r="D1367" s="3482">
        <v>33.619999999999997</v>
      </c>
    </row>
    <row r="1368" spans="1:4">
      <c r="A1368" s="3536">
        <v>1367</v>
      </c>
      <c r="B1368" s="3481" t="s">
        <v>4917</v>
      </c>
      <c r="C1368" s="3481" t="s">
        <v>3400</v>
      </c>
      <c r="D1368" s="3482">
        <v>33.619999999999997</v>
      </c>
    </row>
    <row r="1369" spans="1:4">
      <c r="A1369" s="3536">
        <v>1368</v>
      </c>
      <c r="B1369" s="3481" t="s">
        <v>4918</v>
      </c>
      <c r="C1369" s="3481" t="s">
        <v>3400</v>
      </c>
      <c r="D1369" s="3482">
        <v>33.619999999999997</v>
      </c>
    </row>
    <row r="1370" spans="1:4">
      <c r="A1370" s="3536">
        <v>1369</v>
      </c>
      <c r="B1370" s="3481" t="s">
        <v>4919</v>
      </c>
      <c r="C1370" s="3481" t="s">
        <v>3400</v>
      </c>
      <c r="D1370" s="3482">
        <v>33.619999999999997</v>
      </c>
    </row>
    <row r="1371" spans="1:4">
      <c r="A1371" s="3536">
        <v>1370</v>
      </c>
      <c r="B1371" s="3481" t="s">
        <v>4920</v>
      </c>
      <c r="C1371" s="3481" t="s">
        <v>3400</v>
      </c>
      <c r="D1371" s="3482">
        <v>33.619999999999997</v>
      </c>
    </row>
    <row r="1372" spans="1:4">
      <c r="A1372" s="3536">
        <v>1371</v>
      </c>
      <c r="B1372" s="3481" t="s">
        <v>4921</v>
      </c>
      <c r="C1372" s="3481" t="s">
        <v>3400</v>
      </c>
      <c r="D1372" s="3482">
        <v>33.619999999999997</v>
      </c>
    </row>
    <row r="1373" spans="1:4">
      <c r="A1373" s="3536">
        <v>1372</v>
      </c>
      <c r="B1373" s="3481" t="s">
        <v>4922</v>
      </c>
      <c r="C1373" s="3481" t="s">
        <v>3400</v>
      </c>
      <c r="D1373" s="3482">
        <v>33.619999999999997</v>
      </c>
    </row>
    <row r="1374" spans="1:4">
      <c r="A1374" s="3536">
        <v>1373</v>
      </c>
      <c r="B1374" s="3481" t="s">
        <v>4923</v>
      </c>
      <c r="C1374" s="3481" t="s">
        <v>3400</v>
      </c>
      <c r="D1374" s="3482">
        <v>33.619999999999997</v>
      </c>
    </row>
    <row r="1375" spans="1:4">
      <c r="A1375" s="3536">
        <v>1374</v>
      </c>
      <c r="B1375" s="3481" t="s">
        <v>4924</v>
      </c>
      <c r="C1375" s="3481" t="s">
        <v>3400</v>
      </c>
      <c r="D1375" s="3482">
        <v>33.619999999999997</v>
      </c>
    </row>
    <row r="1376" spans="1:4">
      <c r="A1376" s="3536">
        <v>1375</v>
      </c>
      <c r="B1376" s="3481" t="s">
        <v>4925</v>
      </c>
      <c r="C1376" s="3481" t="s">
        <v>3400</v>
      </c>
      <c r="D1376" s="3482">
        <v>33.619999999999997</v>
      </c>
    </row>
    <row r="1377" spans="1:4">
      <c r="A1377" s="3536">
        <v>1376</v>
      </c>
      <c r="B1377" s="3481" t="s">
        <v>4926</v>
      </c>
      <c r="C1377" s="3481" t="s">
        <v>3400</v>
      </c>
      <c r="D1377" s="3482">
        <v>33.619999999999997</v>
      </c>
    </row>
    <row r="1378" spans="1:4">
      <c r="A1378" s="3536">
        <v>1377</v>
      </c>
      <c r="B1378" s="3481" t="s">
        <v>4927</v>
      </c>
      <c r="C1378" s="3481" t="s">
        <v>3400</v>
      </c>
      <c r="D1378" s="3482">
        <v>33.619999999999997</v>
      </c>
    </row>
    <row r="1379" spans="1:4">
      <c r="A1379" s="3536">
        <v>1378</v>
      </c>
      <c r="B1379" s="3481" t="s">
        <v>4928</v>
      </c>
      <c r="C1379" s="3481" t="s">
        <v>3400</v>
      </c>
      <c r="D1379" s="3482">
        <v>33.619999999999997</v>
      </c>
    </row>
    <row r="1380" spans="1:4">
      <c r="A1380" s="3536">
        <v>1379</v>
      </c>
      <c r="B1380" s="3481" t="s">
        <v>4929</v>
      </c>
      <c r="C1380" s="3481" t="s">
        <v>3400</v>
      </c>
      <c r="D1380" s="3482">
        <v>69.78</v>
      </c>
    </row>
    <row r="1381" spans="1:4">
      <c r="A1381" s="3536">
        <v>1380</v>
      </c>
      <c r="B1381" s="3481" t="s">
        <v>4930</v>
      </c>
      <c r="C1381" s="3481" t="s">
        <v>3400</v>
      </c>
      <c r="D1381" s="3482">
        <v>33.619999999999997</v>
      </c>
    </row>
    <row r="1382" spans="1:4">
      <c r="A1382" s="3536">
        <v>1381</v>
      </c>
      <c r="B1382" s="3481" t="s">
        <v>4931</v>
      </c>
      <c r="C1382" s="3481" t="s">
        <v>3400</v>
      </c>
      <c r="D1382" s="3482">
        <v>33.619999999999997</v>
      </c>
    </row>
    <row r="1383" spans="1:4">
      <c r="A1383" s="3536">
        <v>1382</v>
      </c>
      <c r="B1383" s="3481" t="s">
        <v>4932</v>
      </c>
      <c r="C1383" s="3481" t="s">
        <v>3400</v>
      </c>
      <c r="D1383" s="3482">
        <v>33.619999999999997</v>
      </c>
    </row>
    <row r="1384" spans="1:4">
      <c r="A1384" s="3536">
        <v>1383</v>
      </c>
      <c r="B1384" s="3481" t="s">
        <v>4933</v>
      </c>
      <c r="C1384" s="3481" t="s">
        <v>3400</v>
      </c>
      <c r="D1384" s="3482">
        <v>33.619999999999997</v>
      </c>
    </row>
    <row r="1385" spans="1:4">
      <c r="A1385" s="3536">
        <v>1384</v>
      </c>
      <c r="B1385" s="3481" t="s">
        <v>4934</v>
      </c>
      <c r="C1385" s="3481" t="s">
        <v>3400</v>
      </c>
      <c r="D1385" s="3482">
        <v>33.619999999999997</v>
      </c>
    </row>
    <row r="1386" spans="1:4">
      <c r="A1386" s="3536">
        <v>1385</v>
      </c>
      <c r="B1386" s="3481" t="s">
        <v>4935</v>
      </c>
      <c r="C1386" s="3481" t="s">
        <v>3400</v>
      </c>
      <c r="D1386" s="3482">
        <v>33.619999999999997</v>
      </c>
    </row>
    <row r="1387" spans="1:4">
      <c r="A1387" s="3536">
        <v>1386</v>
      </c>
      <c r="B1387" s="3481" t="s">
        <v>4936</v>
      </c>
      <c r="C1387" s="3481" t="s">
        <v>3400</v>
      </c>
      <c r="D1387" s="3482">
        <v>33.619999999999997</v>
      </c>
    </row>
    <row r="1388" spans="1:4">
      <c r="A1388" s="3536">
        <v>1387</v>
      </c>
      <c r="B1388" s="3481" t="s">
        <v>4937</v>
      </c>
      <c r="C1388" s="3481" t="s">
        <v>3400</v>
      </c>
      <c r="D1388" s="3482">
        <v>33.619999999999997</v>
      </c>
    </row>
    <row r="1389" spans="1:4">
      <c r="A1389" s="3536">
        <v>1388</v>
      </c>
      <c r="B1389" s="3481" t="s">
        <v>4938</v>
      </c>
      <c r="C1389" s="3481" t="s">
        <v>3400</v>
      </c>
      <c r="D1389" s="3482">
        <v>46.52</v>
      </c>
    </row>
    <row r="1390" spans="1:4">
      <c r="A1390" s="3536">
        <v>1389</v>
      </c>
      <c r="B1390" s="3481" t="s">
        <v>4939</v>
      </c>
      <c r="C1390" s="3481" t="s">
        <v>3400</v>
      </c>
      <c r="D1390" s="3482">
        <v>46.52</v>
      </c>
    </row>
    <row r="1391" spans="1:4">
      <c r="A1391" s="3536">
        <v>1390</v>
      </c>
      <c r="B1391" s="3481" t="s">
        <v>4940</v>
      </c>
      <c r="C1391" s="3481" t="s">
        <v>3400</v>
      </c>
      <c r="D1391" s="3482">
        <v>46.52</v>
      </c>
    </row>
    <row r="1392" spans="1:4">
      <c r="A1392" s="3536">
        <v>1391</v>
      </c>
      <c r="B1392" s="3481" t="s">
        <v>4941</v>
      </c>
      <c r="C1392" s="3481" t="s">
        <v>3400</v>
      </c>
      <c r="D1392" s="3482">
        <v>46.52</v>
      </c>
    </row>
    <row r="1393" spans="1:4">
      <c r="A1393" s="3536">
        <v>1392</v>
      </c>
      <c r="B1393" s="3481" t="s">
        <v>4942</v>
      </c>
      <c r="C1393" s="3481" t="s">
        <v>3400</v>
      </c>
      <c r="D1393" s="3482">
        <v>46.52</v>
      </c>
    </row>
    <row r="1394" spans="1:4">
      <c r="A1394" s="3536">
        <v>1393</v>
      </c>
      <c r="B1394" s="3481" t="s">
        <v>4943</v>
      </c>
      <c r="C1394" s="3481" t="s">
        <v>3400</v>
      </c>
      <c r="D1394" s="3482">
        <v>46.52</v>
      </c>
    </row>
    <row r="1395" spans="1:4">
      <c r="A1395" s="3536">
        <v>1394</v>
      </c>
      <c r="B1395" s="3481" t="s">
        <v>4944</v>
      </c>
      <c r="C1395" s="3481" t="s">
        <v>3400</v>
      </c>
      <c r="D1395" s="3482">
        <v>46.52</v>
      </c>
    </row>
    <row r="1396" spans="1:4">
      <c r="A1396" s="3536">
        <v>1395</v>
      </c>
      <c r="B1396" s="3481" t="s">
        <v>4945</v>
      </c>
      <c r="C1396" s="3481" t="s">
        <v>3400</v>
      </c>
      <c r="D1396" s="3482">
        <v>46.52</v>
      </c>
    </row>
    <row r="1397" spans="1:4">
      <c r="A1397" s="3536">
        <v>1396</v>
      </c>
      <c r="B1397" s="3481" t="s">
        <v>4946</v>
      </c>
      <c r="C1397" s="3481" t="s">
        <v>3400</v>
      </c>
      <c r="D1397" s="3482">
        <v>23.26</v>
      </c>
    </row>
    <row r="1398" spans="1:4">
      <c r="A1398" s="3536">
        <v>1397</v>
      </c>
      <c r="B1398" s="3481" t="s">
        <v>4947</v>
      </c>
      <c r="C1398" s="3481" t="s">
        <v>3400</v>
      </c>
      <c r="D1398" s="3482">
        <v>23.26</v>
      </c>
    </row>
    <row r="1399" spans="1:4">
      <c r="A1399" s="3536">
        <v>1398</v>
      </c>
      <c r="B1399" s="3481" t="s">
        <v>4948</v>
      </c>
      <c r="C1399" s="3481" t="s">
        <v>3400</v>
      </c>
      <c r="D1399" s="3482">
        <v>23.26</v>
      </c>
    </row>
    <row r="1400" spans="1:4">
      <c r="A1400" s="3536">
        <v>1399</v>
      </c>
      <c r="B1400" s="3481" t="s">
        <v>4949</v>
      </c>
      <c r="C1400" s="3481" t="s">
        <v>3400</v>
      </c>
      <c r="D1400" s="3482">
        <v>33.619999999999997</v>
      </c>
    </row>
    <row r="1401" spans="1:4">
      <c r="A1401" s="3536">
        <v>1400</v>
      </c>
      <c r="B1401" s="3481" t="s">
        <v>4950</v>
      </c>
      <c r="C1401" s="3481" t="s">
        <v>3400</v>
      </c>
      <c r="D1401" s="3482">
        <v>33.619999999999997</v>
      </c>
    </row>
    <row r="1402" spans="1:4">
      <c r="A1402" s="3536">
        <v>1401</v>
      </c>
      <c r="B1402" s="3481" t="s">
        <v>4951</v>
      </c>
      <c r="C1402" s="3481" t="s">
        <v>3400</v>
      </c>
      <c r="D1402" s="3482">
        <v>33.619999999999997</v>
      </c>
    </row>
    <row r="1403" spans="1:4">
      <c r="A1403" s="3536">
        <v>1402</v>
      </c>
      <c r="B1403" s="3481" t="s">
        <v>4952</v>
      </c>
      <c r="C1403" s="3481" t="s">
        <v>3400</v>
      </c>
      <c r="D1403" s="3482">
        <v>33.619999999999997</v>
      </c>
    </row>
    <row r="1404" spans="1:4">
      <c r="A1404" s="3536">
        <v>1403</v>
      </c>
      <c r="B1404" s="3481" t="s">
        <v>4953</v>
      </c>
      <c r="C1404" s="3481" t="s">
        <v>3400</v>
      </c>
      <c r="D1404" s="3482">
        <v>33.619999999999997</v>
      </c>
    </row>
    <row r="1405" spans="1:4">
      <c r="A1405" s="3536">
        <v>1404</v>
      </c>
      <c r="B1405" s="3481" t="s">
        <v>4954</v>
      </c>
      <c r="C1405" s="3481" t="s">
        <v>3400</v>
      </c>
      <c r="D1405" s="3482">
        <v>33.619999999999997</v>
      </c>
    </row>
    <row r="1406" spans="1:4">
      <c r="A1406" s="3536">
        <v>1405</v>
      </c>
      <c r="B1406" s="3481" t="s">
        <v>4955</v>
      </c>
      <c r="C1406" s="3481" t="s">
        <v>3400</v>
      </c>
      <c r="D1406" s="3482">
        <v>33.619999999999997</v>
      </c>
    </row>
    <row r="1407" spans="1:4">
      <c r="A1407" s="3536">
        <v>1406</v>
      </c>
      <c r="B1407" s="3481" t="s">
        <v>4956</v>
      </c>
      <c r="C1407" s="3481" t="s">
        <v>3400</v>
      </c>
      <c r="D1407" s="3482">
        <v>33.619999999999997</v>
      </c>
    </row>
    <row r="1408" spans="1:4">
      <c r="A1408" s="3536">
        <v>1407</v>
      </c>
      <c r="B1408" s="3481" t="s">
        <v>4957</v>
      </c>
      <c r="C1408" s="3481" t="s">
        <v>3400</v>
      </c>
      <c r="D1408" s="3482">
        <v>33.619999999999997</v>
      </c>
    </row>
    <row r="1409" spans="1:4">
      <c r="A1409" s="3536">
        <v>1408</v>
      </c>
      <c r="B1409" s="3481" t="s">
        <v>4958</v>
      </c>
      <c r="C1409" s="3481" t="s">
        <v>3400</v>
      </c>
      <c r="D1409" s="3482">
        <v>33.619999999999997</v>
      </c>
    </row>
    <row r="1410" spans="1:4">
      <c r="A1410" s="3536">
        <v>1409</v>
      </c>
      <c r="B1410" s="3481" t="s">
        <v>4959</v>
      </c>
      <c r="C1410" s="3481" t="s">
        <v>3400</v>
      </c>
      <c r="D1410" s="3482">
        <v>33.619999999999997</v>
      </c>
    </row>
    <row r="1411" spans="1:4">
      <c r="A1411" s="3536">
        <v>1410</v>
      </c>
      <c r="B1411" s="3481" t="s">
        <v>4960</v>
      </c>
      <c r="C1411" s="3481" t="s">
        <v>3400</v>
      </c>
      <c r="D1411" s="3482">
        <v>33.619999999999997</v>
      </c>
    </row>
    <row r="1412" spans="1:4">
      <c r="A1412" s="3536">
        <v>1411</v>
      </c>
      <c r="B1412" s="3481" t="s">
        <v>4961</v>
      </c>
      <c r="C1412" s="3481" t="s">
        <v>3400</v>
      </c>
      <c r="D1412" s="3482">
        <v>33.619999999999997</v>
      </c>
    </row>
    <row r="1413" spans="1:4">
      <c r="A1413" s="3536">
        <v>1412</v>
      </c>
      <c r="B1413" s="3481" t="s">
        <v>4962</v>
      </c>
      <c r="C1413" s="3481" t="s">
        <v>3400</v>
      </c>
      <c r="D1413" s="3482">
        <v>33.619999999999997</v>
      </c>
    </row>
    <row r="1414" spans="1:4">
      <c r="A1414" s="3536">
        <v>1413</v>
      </c>
      <c r="B1414" s="3481" t="s">
        <v>4963</v>
      </c>
      <c r="C1414" s="3481" t="s">
        <v>3400</v>
      </c>
      <c r="D1414" s="3482">
        <v>33.619999999999997</v>
      </c>
    </row>
    <row r="1415" spans="1:4">
      <c r="A1415" s="3536">
        <v>1414</v>
      </c>
      <c r="B1415" s="3481" t="s">
        <v>4964</v>
      </c>
      <c r="C1415" s="3481" t="s">
        <v>3400</v>
      </c>
      <c r="D1415" s="3482">
        <v>33.619999999999997</v>
      </c>
    </row>
    <row r="1416" spans="1:4">
      <c r="A1416" s="3536">
        <v>1415</v>
      </c>
      <c r="B1416" s="3481" t="s">
        <v>4965</v>
      </c>
      <c r="C1416" s="3481" t="s">
        <v>3400</v>
      </c>
      <c r="D1416" s="3482">
        <v>33.619999999999997</v>
      </c>
    </row>
    <row r="1417" spans="1:4">
      <c r="A1417" s="3536">
        <v>1416</v>
      </c>
      <c r="B1417" s="3481" t="s">
        <v>4966</v>
      </c>
      <c r="C1417" s="3481" t="s">
        <v>3400</v>
      </c>
      <c r="D1417" s="3482">
        <v>33.619999999999997</v>
      </c>
    </row>
    <row r="1418" spans="1:4">
      <c r="A1418" s="3536">
        <v>1417</v>
      </c>
      <c r="B1418" s="3481" t="s">
        <v>4967</v>
      </c>
      <c r="C1418" s="3481" t="s">
        <v>3400</v>
      </c>
      <c r="D1418" s="3482">
        <v>33.619999999999997</v>
      </c>
    </row>
    <row r="1419" spans="1:4">
      <c r="A1419" s="3536">
        <v>1418</v>
      </c>
      <c r="B1419" s="3481" t="s">
        <v>4968</v>
      </c>
      <c r="C1419" s="3481" t="s">
        <v>3400</v>
      </c>
      <c r="D1419" s="3482">
        <v>33.619999999999997</v>
      </c>
    </row>
    <row r="1420" spans="1:4">
      <c r="A1420" s="3536">
        <v>1419</v>
      </c>
      <c r="B1420" s="3481" t="s">
        <v>4969</v>
      </c>
      <c r="C1420" s="3481" t="s">
        <v>3400</v>
      </c>
      <c r="D1420" s="3482">
        <v>33.619999999999997</v>
      </c>
    </row>
    <row r="1421" spans="1:4">
      <c r="A1421" s="3536">
        <v>1420</v>
      </c>
      <c r="B1421" s="3481" t="s">
        <v>4970</v>
      </c>
      <c r="C1421" s="3481" t="s">
        <v>3400</v>
      </c>
      <c r="D1421" s="3482">
        <v>33.619999999999997</v>
      </c>
    </row>
    <row r="1422" spans="1:4">
      <c r="A1422" s="3536">
        <v>1421</v>
      </c>
      <c r="B1422" s="3481" t="s">
        <v>4971</v>
      </c>
      <c r="C1422" s="3481" t="s">
        <v>3400</v>
      </c>
      <c r="D1422" s="3482">
        <v>33.619999999999997</v>
      </c>
    </row>
    <row r="1423" spans="1:4">
      <c r="A1423" s="3536">
        <v>1422</v>
      </c>
      <c r="B1423" s="3481" t="s">
        <v>4972</v>
      </c>
      <c r="C1423" s="3481" t="s">
        <v>3400</v>
      </c>
      <c r="D1423" s="3482">
        <v>33.619999999999997</v>
      </c>
    </row>
    <row r="1424" spans="1:4">
      <c r="A1424" s="3536">
        <v>1423</v>
      </c>
      <c r="B1424" s="3481" t="s">
        <v>4973</v>
      </c>
      <c r="C1424" s="3481" t="s">
        <v>3400</v>
      </c>
      <c r="D1424" s="3482">
        <v>33.619999999999997</v>
      </c>
    </row>
    <row r="1425" spans="1:4">
      <c r="A1425" s="3536">
        <v>1424</v>
      </c>
      <c r="B1425" s="3481" t="s">
        <v>4974</v>
      </c>
      <c r="C1425" s="3481" t="s">
        <v>3400</v>
      </c>
      <c r="D1425" s="3482">
        <v>33.619999999999997</v>
      </c>
    </row>
    <row r="1426" spans="1:4">
      <c r="A1426" s="3536">
        <v>1425</v>
      </c>
      <c r="B1426" s="3481" t="s">
        <v>4975</v>
      </c>
      <c r="C1426" s="3481" t="s">
        <v>3400</v>
      </c>
      <c r="D1426" s="3482">
        <v>33.619999999999997</v>
      </c>
    </row>
    <row r="1427" spans="1:4">
      <c r="A1427" s="3536">
        <v>1426</v>
      </c>
      <c r="B1427" s="3481" t="s">
        <v>4976</v>
      </c>
      <c r="C1427" s="3481" t="s">
        <v>3400</v>
      </c>
      <c r="D1427" s="3482">
        <v>33.619999999999997</v>
      </c>
    </row>
    <row r="1428" spans="1:4">
      <c r="A1428" s="3536">
        <v>1427</v>
      </c>
      <c r="B1428" s="3481" t="s">
        <v>4977</v>
      </c>
      <c r="C1428" s="3481" t="s">
        <v>3400</v>
      </c>
      <c r="D1428" s="3482">
        <v>33.619999999999997</v>
      </c>
    </row>
    <row r="1429" spans="1:4">
      <c r="A1429" s="3536">
        <v>1428</v>
      </c>
      <c r="B1429" s="3481" t="s">
        <v>4978</v>
      </c>
      <c r="C1429" s="3481" t="s">
        <v>3400</v>
      </c>
      <c r="D1429" s="3482">
        <v>33.619999999999997</v>
      </c>
    </row>
    <row r="1430" spans="1:4">
      <c r="A1430" s="3536">
        <v>1429</v>
      </c>
      <c r="B1430" s="3481" t="s">
        <v>4979</v>
      </c>
      <c r="C1430" s="3481" t="s">
        <v>3400</v>
      </c>
      <c r="D1430" s="3482">
        <v>33.619999999999997</v>
      </c>
    </row>
    <row r="1431" spans="1:4">
      <c r="A1431" s="3536">
        <v>1430</v>
      </c>
      <c r="B1431" s="3481" t="s">
        <v>4980</v>
      </c>
      <c r="C1431" s="3481" t="s">
        <v>3400</v>
      </c>
      <c r="D1431" s="3482">
        <v>33.619999999999997</v>
      </c>
    </row>
    <row r="1432" spans="1:4">
      <c r="A1432" s="3536">
        <v>1431</v>
      </c>
      <c r="B1432" s="3481" t="s">
        <v>4981</v>
      </c>
      <c r="C1432" s="3481" t="s">
        <v>3400</v>
      </c>
      <c r="D1432" s="3482">
        <v>46.52</v>
      </c>
    </row>
    <row r="1433" spans="1:4">
      <c r="A1433" s="3536">
        <v>1432</v>
      </c>
      <c r="B1433" s="3481" t="s">
        <v>4982</v>
      </c>
      <c r="C1433" s="3481" t="s">
        <v>3400</v>
      </c>
      <c r="D1433" s="3482">
        <v>46.52</v>
      </c>
    </row>
    <row r="1434" spans="1:4">
      <c r="A1434" s="3536">
        <v>1433</v>
      </c>
      <c r="B1434" s="3481" t="s">
        <v>4983</v>
      </c>
      <c r="C1434" s="3481" t="s">
        <v>3400</v>
      </c>
      <c r="D1434" s="3482">
        <v>46.52</v>
      </c>
    </row>
    <row r="1435" spans="1:4">
      <c r="A1435" s="3536">
        <v>1434</v>
      </c>
      <c r="B1435" s="3481" t="s">
        <v>4984</v>
      </c>
      <c r="C1435" s="3481" t="s">
        <v>3400</v>
      </c>
      <c r="D1435" s="3482">
        <v>46.52</v>
      </c>
    </row>
    <row r="1436" spans="1:4">
      <c r="A1436" s="3536">
        <v>1435</v>
      </c>
      <c r="B1436" s="3481" t="s">
        <v>4985</v>
      </c>
      <c r="C1436" s="3481" t="s">
        <v>3400</v>
      </c>
      <c r="D1436" s="3482">
        <v>46.52</v>
      </c>
    </row>
    <row r="1437" spans="1:4">
      <c r="A1437" s="3536">
        <v>1436</v>
      </c>
      <c r="B1437" s="3481" t="s">
        <v>4986</v>
      </c>
      <c r="C1437" s="3481" t="s">
        <v>3400</v>
      </c>
      <c r="D1437" s="3482">
        <v>46.52</v>
      </c>
    </row>
    <row r="1438" spans="1:4">
      <c r="A1438" s="3536">
        <v>1437</v>
      </c>
      <c r="B1438" s="3481" t="s">
        <v>4987</v>
      </c>
      <c r="C1438" s="3481" t="s">
        <v>3400</v>
      </c>
      <c r="D1438" s="3482">
        <v>46.52</v>
      </c>
    </row>
    <row r="1439" spans="1:4">
      <c r="A1439" s="3536">
        <v>1438</v>
      </c>
      <c r="B1439" s="3481" t="s">
        <v>4988</v>
      </c>
      <c r="C1439" s="3481" t="s">
        <v>3400</v>
      </c>
      <c r="D1439" s="3482">
        <v>46.52</v>
      </c>
    </row>
    <row r="1440" spans="1:4">
      <c r="A1440" s="3536">
        <v>1439</v>
      </c>
      <c r="B1440" s="3481" t="s">
        <v>4989</v>
      </c>
      <c r="C1440" s="3481" t="s">
        <v>3400</v>
      </c>
      <c r="D1440" s="3482">
        <v>46.52</v>
      </c>
    </row>
    <row r="1441" spans="1:4">
      <c r="A1441" s="3536">
        <v>1440</v>
      </c>
      <c r="B1441" s="3481" t="s">
        <v>4990</v>
      </c>
      <c r="C1441" s="3481" t="s">
        <v>3400</v>
      </c>
      <c r="D1441" s="3482">
        <v>46.52</v>
      </c>
    </row>
    <row r="1442" spans="1:4">
      <c r="A1442" s="3536">
        <v>1441</v>
      </c>
      <c r="B1442" s="3481" t="s">
        <v>4991</v>
      </c>
      <c r="C1442" s="3481" t="s">
        <v>3400</v>
      </c>
      <c r="D1442" s="3482">
        <v>23.26</v>
      </c>
    </row>
    <row r="1443" spans="1:4">
      <c r="A1443" s="3536">
        <v>1442</v>
      </c>
      <c r="B1443" s="3481" t="s">
        <v>4992</v>
      </c>
      <c r="C1443" s="3481" t="s">
        <v>3400</v>
      </c>
      <c r="D1443" s="3482">
        <v>46.52</v>
      </c>
    </row>
    <row r="1444" spans="1:4">
      <c r="A1444" s="3536">
        <v>1443</v>
      </c>
      <c r="B1444" s="3481" t="s">
        <v>4993</v>
      </c>
      <c r="C1444" s="3481" t="s">
        <v>3400</v>
      </c>
      <c r="D1444" s="3482">
        <v>46.52</v>
      </c>
    </row>
    <row r="1445" spans="1:4">
      <c r="A1445" s="3536">
        <v>1444</v>
      </c>
      <c r="B1445" s="3481" t="s">
        <v>4994</v>
      </c>
      <c r="C1445" s="3481" t="s">
        <v>3400</v>
      </c>
      <c r="D1445" s="3482">
        <v>46.52</v>
      </c>
    </row>
    <row r="1446" spans="1:4">
      <c r="A1446" s="3536">
        <v>1445</v>
      </c>
      <c r="B1446" s="3481" t="s">
        <v>4995</v>
      </c>
      <c r="C1446" s="3481" t="s">
        <v>3400</v>
      </c>
      <c r="D1446" s="3482">
        <v>46.52</v>
      </c>
    </row>
    <row r="1447" spans="1:4">
      <c r="A1447" s="3536">
        <v>1446</v>
      </c>
      <c r="B1447" s="3481" t="s">
        <v>4996</v>
      </c>
      <c r="C1447" s="3481" t="s">
        <v>3400</v>
      </c>
      <c r="D1447" s="3482">
        <v>46.52</v>
      </c>
    </row>
    <row r="1448" spans="1:4">
      <c r="A1448" s="3536">
        <v>1447</v>
      </c>
      <c r="B1448" s="3481" t="s">
        <v>4997</v>
      </c>
      <c r="C1448" s="3481" t="s">
        <v>3400</v>
      </c>
      <c r="D1448" s="3482">
        <v>46.52</v>
      </c>
    </row>
    <row r="1449" spans="1:4">
      <c r="A1449" s="3536">
        <v>1448</v>
      </c>
      <c r="B1449" s="3481" t="s">
        <v>4998</v>
      </c>
      <c r="C1449" s="3481" t="s">
        <v>3400</v>
      </c>
      <c r="D1449" s="3482">
        <v>46.52</v>
      </c>
    </row>
    <row r="1450" spans="1:4">
      <c r="A1450" s="3536">
        <v>1449</v>
      </c>
      <c r="B1450" s="3481" t="s">
        <v>4999</v>
      </c>
      <c r="C1450" s="3481" t="s">
        <v>3400</v>
      </c>
      <c r="D1450" s="3482">
        <v>46.52</v>
      </c>
    </row>
    <row r="1451" spans="1:4">
      <c r="A1451" s="3536">
        <v>1450</v>
      </c>
      <c r="B1451" s="3481" t="s">
        <v>5000</v>
      </c>
      <c r="C1451" s="3481" t="s">
        <v>3400</v>
      </c>
      <c r="D1451" s="3482">
        <v>46.52</v>
      </c>
    </row>
    <row r="1452" spans="1:4">
      <c r="A1452" s="3536">
        <v>1451</v>
      </c>
      <c r="B1452" s="3481" t="s">
        <v>5001</v>
      </c>
      <c r="C1452" s="3481" t="s">
        <v>3400</v>
      </c>
      <c r="D1452" s="3482">
        <v>46.52</v>
      </c>
    </row>
    <row r="1453" spans="1:4">
      <c r="A1453" s="3536">
        <v>1452</v>
      </c>
      <c r="B1453" s="3481" t="s">
        <v>5002</v>
      </c>
      <c r="C1453" s="3481" t="s">
        <v>3400</v>
      </c>
      <c r="D1453" s="3482">
        <v>46.52</v>
      </c>
    </row>
    <row r="1454" spans="1:4">
      <c r="A1454" s="3536">
        <v>1453</v>
      </c>
      <c r="B1454" s="3481" t="s">
        <v>5003</v>
      </c>
      <c r="C1454" s="3481" t="s">
        <v>3400</v>
      </c>
      <c r="D1454" s="3482">
        <v>46.52</v>
      </c>
    </row>
    <row r="1455" spans="1:4">
      <c r="A1455" s="3536">
        <v>1454</v>
      </c>
      <c r="B1455" s="3481" t="s">
        <v>5004</v>
      </c>
      <c r="C1455" s="3481" t="s">
        <v>3400</v>
      </c>
      <c r="D1455" s="3482">
        <v>46.52</v>
      </c>
    </row>
    <row r="1456" spans="1:4">
      <c r="A1456" s="3536">
        <v>1455</v>
      </c>
      <c r="B1456" s="3481" t="s">
        <v>5005</v>
      </c>
      <c r="C1456" s="3481" t="s">
        <v>3400</v>
      </c>
      <c r="D1456" s="3482">
        <v>46.52</v>
      </c>
    </row>
    <row r="1457" spans="1:4">
      <c r="A1457" s="3536">
        <v>1456</v>
      </c>
      <c r="B1457" s="3481" t="s">
        <v>5006</v>
      </c>
      <c r="C1457" s="3481" t="s">
        <v>3400</v>
      </c>
      <c r="D1457" s="3482">
        <v>46.52</v>
      </c>
    </row>
    <row r="1458" spans="1:4">
      <c r="A1458" s="3536">
        <v>1457</v>
      </c>
      <c r="B1458" s="3481" t="s">
        <v>5007</v>
      </c>
      <c r="C1458" s="3481" t="s">
        <v>3400</v>
      </c>
      <c r="D1458" s="3482">
        <v>46.52</v>
      </c>
    </row>
    <row r="1459" spans="1:4">
      <c r="A1459" s="3536">
        <v>1458</v>
      </c>
      <c r="B1459" s="3481" t="s">
        <v>5008</v>
      </c>
      <c r="C1459" s="3481" t="s">
        <v>3400</v>
      </c>
      <c r="D1459" s="3482">
        <v>46.52</v>
      </c>
    </row>
    <row r="1460" spans="1:4">
      <c r="A1460" s="3536">
        <v>1459</v>
      </c>
      <c r="B1460" s="3481" t="s">
        <v>5009</v>
      </c>
      <c r="C1460" s="3481" t="s">
        <v>3400</v>
      </c>
      <c r="D1460" s="3482">
        <v>46.52</v>
      </c>
    </row>
    <row r="1461" spans="1:4">
      <c r="A1461" s="3536">
        <v>1460</v>
      </c>
      <c r="B1461" s="3481" t="s">
        <v>5010</v>
      </c>
      <c r="C1461" s="3481" t="s">
        <v>3400</v>
      </c>
      <c r="D1461" s="3482">
        <v>46.52</v>
      </c>
    </row>
    <row r="1462" spans="1:4">
      <c r="A1462" s="3536">
        <v>1461</v>
      </c>
      <c r="B1462" s="3481" t="s">
        <v>5011</v>
      </c>
      <c r="C1462" s="3481" t="s">
        <v>3400</v>
      </c>
      <c r="D1462" s="3482">
        <v>46.52</v>
      </c>
    </row>
    <row r="1463" spans="1:4">
      <c r="A1463" s="3536">
        <v>1462</v>
      </c>
      <c r="B1463" s="3481" t="s">
        <v>5012</v>
      </c>
      <c r="C1463" s="3481" t="s">
        <v>3400</v>
      </c>
      <c r="D1463" s="3482">
        <v>46.52</v>
      </c>
    </row>
    <row r="1464" spans="1:4">
      <c r="A1464" s="3536">
        <v>1463</v>
      </c>
      <c r="B1464" s="3481" t="s">
        <v>5013</v>
      </c>
      <c r="C1464" s="3481" t="s">
        <v>3400</v>
      </c>
      <c r="D1464" s="3482">
        <v>46.52</v>
      </c>
    </row>
    <row r="1465" spans="1:4">
      <c r="A1465" s="3536">
        <v>1464</v>
      </c>
      <c r="B1465" s="3481" t="s">
        <v>5014</v>
      </c>
      <c r="C1465" s="3481" t="s">
        <v>3400</v>
      </c>
      <c r="D1465" s="3482">
        <v>46.52</v>
      </c>
    </row>
    <row r="1466" spans="1:4">
      <c r="A1466" s="3536">
        <v>1465</v>
      </c>
      <c r="B1466" s="3481" t="s">
        <v>5015</v>
      </c>
      <c r="C1466" s="3481" t="s">
        <v>3400</v>
      </c>
      <c r="D1466" s="3482">
        <v>46.52</v>
      </c>
    </row>
    <row r="1467" spans="1:4">
      <c r="A1467" s="3536">
        <v>1466</v>
      </c>
      <c r="B1467" s="3481" t="s">
        <v>5016</v>
      </c>
      <c r="C1467" s="3481" t="s">
        <v>3400</v>
      </c>
      <c r="D1467" s="3482">
        <v>46.52</v>
      </c>
    </row>
    <row r="1468" spans="1:4">
      <c r="A1468" s="3536">
        <v>1467</v>
      </c>
      <c r="B1468" s="3481" t="s">
        <v>5017</v>
      </c>
      <c r="C1468" s="3481" t="s">
        <v>3400</v>
      </c>
      <c r="D1468" s="3482">
        <v>46.52</v>
      </c>
    </row>
    <row r="1469" spans="1:4">
      <c r="A1469" s="3536">
        <v>1468</v>
      </c>
      <c r="B1469" s="3481" t="s">
        <v>5018</v>
      </c>
      <c r="C1469" s="3481" t="s">
        <v>3400</v>
      </c>
      <c r="D1469" s="3482">
        <v>46.52</v>
      </c>
    </row>
    <row r="1470" spans="1:4">
      <c r="A1470" s="3536">
        <v>1469</v>
      </c>
      <c r="B1470" s="3481" t="s">
        <v>5019</v>
      </c>
      <c r="C1470" s="3481" t="s">
        <v>3400</v>
      </c>
      <c r="D1470" s="3482">
        <v>46.52</v>
      </c>
    </row>
    <row r="1471" spans="1:4">
      <c r="A1471" s="3536">
        <v>1470</v>
      </c>
      <c r="B1471" s="3481" t="s">
        <v>5020</v>
      </c>
      <c r="C1471" s="3481" t="s">
        <v>3400</v>
      </c>
      <c r="D1471" s="3482">
        <v>46.52</v>
      </c>
    </row>
    <row r="1472" spans="1:4">
      <c r="A1472" s="3536">
        <v>1471</v>
      </c>
      <c r="B1472" s="3481" t="s">
        <v>5021</v>
      </c>
      <c r="C1472" s="3481" t="s">
        <v>3400</v>
      </c>
      <c r="D1472" s="3482">
        <v>33.619999999999997</v>
      </c>
    </row>
    <row r="1473" spans="1:4">
      <c r="A1473" s="3536">
        <v>1472</v>
      </c>
      <c r="B1473" s="3481" t="s">
        <v>5022</v>
      </c>
      <c r="C1473" s="3481" t="s">
        <v>3400</v>
      </c>
      <c r="D1473" s="3482">
        <v>33.619999999999997</v>
      </c>
    </row>
    <row r="1474" spans="1:4">
      <c r="A1474" s="3536">
        <v>1473</v>
      </c>
      <c r="B1474" s="3481" t="s">
        <v>5023</v>
      </c>
      <c r="C1474" s="3481" t="s">
        <v>3400</v>
      </c>
      <c r="D1474" s="3482">
        <v>33.619999999999997</v>
      </c>
    </row>
    <row r="1475" spans="1:4">
      <c r="A1475" s="3536">
        <v>1474</v>
      </c>
      <c r="B1475" s="3481" t="s">
        <v>5024</v>
      </c>
      <c r="C1475" s="3481" t="s">
        <v>3400</v>
      </c>
      <c r="D1475" s="3482">
        <v>33.619999999999997</v>
      </c>
    </row>
    <row r="1476" spans="1:4">
      <c r="A1476" s="3536">
        <v>1475</v>
      </c>
      <c r="B1476" s="3481" t="s">
        <v>5025</v>
      </c>
      <c r="C1476" s="3481" t="s">
        <v>3400</v>
      </c>
      <c r="D1476" s="3482">
        <v>33.619999999999997</v>
      </c>
    </row>
    <row r="1477" spans="1:4">
      <c r="A1477" s="3536">
        <v>1476</v>
      </c>
      <c r="B1477" s="3481" t="s">
        <v>5026</v>
      </c>
      <c r="C1477" s="3481" t="s">
        <v>3400</v>
      </c>
      <c r="D1477" s="3482">
        <v>33.619999999999997</v>
      </c>
    </row>
    <row r="1478" spans="1:4">
      <c r="A1478" s="3536">
        <v>1477</v>
      </c>
      <c r="B1478" s="3481" t="s">
        <v>5027</v>
      </c>
      <c r="C1478" s="3481" t="s">
        <v>3400</v>
      </c>
      <c r="D1478" s="3482">
        <v>33.619999999999997</v>
      </c>
    </row>
    <row r="1479" spans="1:4">
      <c r="A1479" s="3536">
        <v>1478</v>
      </c>
      <c r="B1479" s="3481" t="s">
        <v>5028</v>
      </c>
      <c r="C1479" s="3481" t="s">
        <v>3400</v>
      </c>
      <c r="D1479" s="3482">
        <v>33.619999999999997</v>
      </c>
    </row>
    <row r="1480" spans="1:4">
      <c r="A1480" s="3536">
        <v>1479</v>
      </c>
      <c r="B1480" s="3481" t="s">
        <v>5029</v>
      </c>
      <c r="C1480" s="3481" t="s">
        <v>3400</v>
      </c>
      <c r="D1480" s="3482">
        <v>33.619999999999997</v>
      </c>
    </row>
    <row r="1481" spans="1:4">
      <c r="A1481" s="3536">
        <v>1480</v>
      </c>
      <c r="B1481" s="3481" t="s">
        <v>5030</v>
      </c>
      <c r="C1481" s="3481" t="s">
        <v>3400</v>
      </c>
      <c r="D1481" s="3482">
        <v>33.619999999999997</v>
      </c>
    </row>
    <row r="1482" spans="1:4">
      <c r="A1482" s="3536">
        <v>1481</v>
      </c>
      <c r="B1482" s="3481" t="s">
        <v>5031</v>
      </c>
      <c r="C1482" s="3481" t="s">
        <v>3400</v>
      </c>
      <c r="D1482" s="3482">
        <v>33.619999999999997</v>
      </c>
    </row>
    <row r="1483" spans="1:4">
      <c r="A1483" s="3536">
        <v>1482</v>
      </c>
      <c r="B1483" s="3481" t="s">
        <v>5032</v>
      </c>
      <c r="C1483" s="3481" t="s">
        <v>3400</v>
      </c>
      <c r="D1483" s="3482">
        <v>33.619999999999997</v>
      </c>
    </row>
    <row r="1484" spans="1:4">
      <c r="A1484" s="3536">
        <v>1483</v>
      </c>
      <c r="B1484" s="3481" t="s">
        <v>5033</v>
      </c>
      <c r="C1484" s="3481" t="s">
        <v>3400</v>
      </c>
      <c r="D1484" s="3482">
        <v>33.619999999999997</v>
      </c>
    </row>
    <row r="1485" spans="1:4">
      <c r="A1485" s="3536">
        <v>1484</v>
      </c>
      <c r="B1485" s="3481" t="s">
        <v>5034</v>
      </c>
      <c r="C1485" s="3481" t="s">
        <v>3400</v>
      </c>
      <c r="D1485" s="3482">
        <v>46.52</v>
      </c>
    </row>
    <row r="1486" spans="1:4">
      <c r="A1486" s="3536">
        <v>1485</v>
      </c>
      <c r="B1486" s="3481" t="s">
        <v>5035</v>
      </c>
      <c r="C1486" s="3481" t="s">
        <v>3400</v>
      </c>
      <c r="D1486" s="3482">
        <v>46.52</v>
      </c>
    </row>
    <row r="1487" spans="1:4">
      <c r="A1487" s="3536">
        <v>1486</v>
      </c>
      <c r="B1487" s="3481" t="s">
        <v>5036</v>
      </c>
      <c r="C1487" s="3481" t="s">
        <v>3400</v>
      </c>
      <c r="D1487" s="3482">
        <v>46.52</v>
      </c>
    </row>
    <row r="1488" spans="1:4">
      <c r="A1488" s="3536">
        <v>1487</v>
      </c>
      <c r="B1488" s="3481" t="s">
        <v>5037</v>
      </c>
      <c r="C1488" s="3481" t="s">
        <v>3400</v>
      </c>
      <c r="D1488" s="3482">
        <v>46.52</v>
      </c>
    </row>
    <row r="1489" spans="1:4">
      <c r="A1489" s="3536">
        <v>1488</v>
      </c>
      <c r="B1489" s="3481" t="s">
        <v>5038</v>
      </c>
      <c r="C1489" s="3481" t="s">
        <v>3400</v>
      </c>
      <c r="D1489" s="3482">
        <v>46.52</v>
      </c>
    </row>
    <row r="1490" spans="1:4">
      <c r="A1490" s="3536">
        <v>1489</v>
      </c>
      <c r="B1490" s="3481" t="s">
        <v>5039</v>
      </c>
      <c r="C1490" s="3481" t="s">
        <v>3400</v>
      </c>
      <c r="D1490" s="3482">
        <v>46.52</v>
      </c>
    </row>
    <row r="1491" spans="1:4">
      <c r="A1491" s="3536">
        <v>1490</v>
      </c>
      <c r="B1491" s="3481" t="s">
        <v>5040</v>
      </c>
      <c r="C1491" s="3481" t="s">
        <v>3400</v>
      </c>
      <c r="D1491" s="3482">
        <v>46.52</v>
      </c>
    </row>
    <row r="1492" spans="1:4">
      <c r="A1492" s="3536">
        <v>1491</v>
      </c>
      <c r="B1492" s="3481" t="s">
        <v>5041</v>
      </c>
      <c r="C1492" s="3481" t="s">
        <v>3400</v>
      </c>
      <c r="D1492" s="3482">
        <v>46.52</v>
      </c>
    </row>
    <row r="1493" spans="1:4">
      <c r="A1493" s="3536">
        <v>1492</v>
      </c>
      <c r="B1493" s="3481" t="s">
        <v>5042</v>
      </c>
      <c r="C1493" s="3481" t="s">
        <v>3400</v>
      </c>
      <c r="D1493" s="3482">
        <v>46.52</v>
      </c>
    </row>
    <row r="1494" spans="1:4">
      <c r="A1494" s="3536">
        <v>1493</v>
      </c>
      <c r="B1494" s="3481" t="s">
        <v>5043</v>
      </c>
      <c r="C1494" s="3481" t="s">
        <v>3400</v>
      </c>
      <c r="D1494" s="3482">
        <v>46.52</v>
      </c>
    </row>
    <row r="1495" spans="1:4">
      <c r="A1495" s="3536">
        <v>1494</v>
      </c>
      <c r="B1495" s="3481" t="s">
        <v>5044</v>
      </c>
      <c r="C1495" s="3481" t="s">
        <v>3400</v>
      </c>
      <c r="D1495" s="3482">
        <v>46.52</v>
      </c>
    </row>
    <row r="1496" spans="1:4">
      <c r="A1496" s="3536">
        <v>1495</v>
      </c>
      <c r="B1496" s="3481" t="s">
        <v>5045</v>
      </c>
      <c r="C1496" s="3481" t="s">
        <v>3400</v>
      </c>
      <c r="D1496" s="3482">
        <v>46.52</v>
      </c>
    </row>
    <row r="1497" spans="1:4">
      <c r="A1497" s="3536">
        <v>1496</v>
      </c>
      <c r="B1497" s="3481" t="s">
        <v>5046</v>
      </c>
      <c r="C1497" s="3481" t="s">
        <v>3400</v>
      </c>
      <c r="D1497" s="3482">
        <v>50.43</v>
      </c>
    </row>
    <row r="1498" spans="1:4">
      <c r="A1498" s="3536">
        <v>1497</v>
      </c>
      <c r="B1498" s="3481" t="s">
        <v>5047</v>
      </c>
      <c r="C1498" s="3481" t="s">
        <v>3400</v>
      </c>
      <c r="D1498" s="3482">
        <v>33.619999999999997</v>
      </c>
    </row>
    <row r="1499" spans="1:4">
      <c r="A1499" s="3536">
        <v>1498</v>
      </c>
      <c r="B1499" s="3481" t="s">
        <v>5048</v>
      </c>
      <c r="C1499" s="3481" t="s">
        <v>3400</v>
      </c>
      <c r="D1499" s="3482">
        <v>33.619999999999997</v>
      </c>
    </row>
    <row r="1500" spans="1:4">
      <c r="A1500" s="3536">
        <v>1499</v>
      </c>
      <c r="B1500" s="3481" t="s">
        <v>5049</v>
      </c>
      <c r="C1500" s="3481" t="s">
        <v>3400</v>
      </c>
      <c r="D1500" s="3482">
        <v>33.619999999999997</v>
      </c>
    </row>
    <row r="1501" spans="1:4">
      <c r="A1501" s="3536">
        <v>1500</v>
      </c>
      <c r="B1501" s="3481" t="s">
        <v>5050</v>
      </c>
      <c r="C1501" s="3481" t="s">
        <v>3400</v>
      </c>
      <c r="D1501" s="3482">
        <v>46.52</v>
      </c>
    </row>
    <row r="1502" spans="1:4">
      <c r="A1502" s="3536">
        <v>1501</v>
      </c>
      <c r="B1502" s="3481" t="s">
        <v>5051</v>
      </c>
      <c r="C1502" s="3481" t="s">
        <v>3400</v>
      </c>
      <c r="D1502" s="3482">
        <v>46.52</v>
      </c>
    </row>
    <row r="1503" spans="1:4">
      <c r="A1503" s="3536">
        <v>1502</v>
      </c>
      <c r="B1503" s="3481" t="s">
        <v>5052</v>
      </c>
      <c r="C1503" s="3481" t="s">
        <v>3400</v>
      </c>
      <c r="D1503" s="3482">
        <v>46.52</v>
      </c>
    </row>
    <row r="1504" spans="1:4">
      <c r="A1504" s="3536">
        <v>1503</v>
      </c>
      <c r="B1504" s="3481" t="s">
        <v>5053</v>
      </c>
      <c r="C1504" s="3481" t="s">
        <v>3400</v>
      </c>
      <c r="D1504" s="3482">
        <v>46.52</v>
      </c>
    </row>
    <row r="1505" spans="1:4">
      <c r="A1505" s="3536">
        <v>1504</v>
      </c>
      <c r="B1505" s="3481" t="s">
        <v>5054</v>
      </c>
      <c r="C1505" s="3481" t="s">
        <v>3400</v>
      </c>
      <c r="D1505" s="3482">
        <v>46.52</v>
      </c>
    </row>
    <row r="1506" spans="1:4">
      <c r="A1506" s="3536">
        <v>1505</v>
      </c>
      <c r="B1506" s="3481" t="s">
        <v>5055</v>
      </c>
      <c r="C1506" s="3481" t="s">
        <v>3400</v>
      </c>
      <c r="D1506" s="3482">
        <v>46.52</v>
      </c>
    </row>
    <row r="1507" spans="1:4">
      <c r="A1507" s="3536">
        <v>1506</v>
      </c>
      <c r="B1507" s="3481" t="s">
        <v>5056</v>
      </c>
      <c r="C1507" s="3481" t="s">
        <v>3400</v>
      </c>
      <c r="D1507" s="3482">
        <v>46.52</v>
      </c>
    </row>
    <row r="1508" spans="1:4">
      <c r="A1508" s="3536">
        <v>1507</v>
      </c>
      <c r="B1508" s="3481" t="s">
        <v>5057</v>
      </c>
      <c r="C1508" s="3481" t="s">
        <v>3400</v>
      </c>
      <c r="D1508" s="3482">
        <v>46.52</v>
      </c>
    </row>
    <row r="1509" spans="1:4">
      <c r="A1509" s="3536">
        <v>1508</v>
      </c>
      <c r="B1509" s="3481" t="s">
        <v>5058</v>
      </c>
      <c r="C1509" s="3481" t="s">
        <v>3400</v>
      </c>
      <c r="D1509" s="3482">
        <v>46.52</v>
      </c>
    </row>
    <row r="1510" spans="1:4">
      <c r="A1510" s="3536">
        <v>1509</v>
      </c>
      <c r="B1510" s="3481" t="s">
        <v>5059</v>
      </c>
      <c r="C1510" s="3481" t="s">
        <v>3400</v>
      </c>
      <c r="D1510" s="3482">
        <v>46.52</v>
      </c>
    </row>
    <row r="1511" spans="1:4">
      <c r="A1511" s="3536">
        <v>1510</v>
      </c>
      <c r="B1511" s="3481" t="s">
        <v>5060</v>
      </c>
      <c r="C1511" s="3481" t="s">
        <v>3400</v>
      </c>
      <c r="D1511" s="3482">
        <v>46.52</v>
      </c>
    </row>
    <row r="1512" spans="1:4">
      <c r="A1512" s="3536">
        <v>1511</v>
      </c>
      <c r="B1512" s="3481" t="s">
        <v>5061</v>
      </c>
      <c r="C1512" s="3481" t="s">
        <v>3400</v>
      </c>
      <c r="D1512" s="3482">
        <v>46.52</v>
      </c>
    </row>
    <row r="1513" spans="1:4">
      <c r="A1513" s="3536">
        <v>1512</v>
      </c>
      <c r="B1513" s="3481" t="s">
        <v>5062</v>
      </c>
      <c r="C1513" s="3481" t="s">
        <v>3400</v>
      </c>
      <c r="D1513" s="3482">
        <v>46.52</v>
      </c>
    </row>
    <row r="1514" spans="1:4">
      <c r="A1514" s="3536">
        <v>1513</v>
      </c>
      <c r="B1514" s="3481" t="s">
        <v>5063</v>
      </c>
      <c r="C1514" s="3481" t="s">
        <v>3400</v>
      </c>
      <c r="D1514" s="3482">
        <v>46.52</v>
      </c>
    </row>
    <row r="1515" spans="1:4">
      <c r="A1515" s="3536">
        <v>1514</v>
      </c>
      <c r="B1515" s="3481" t="s">
        <v>5064</v>
      </c>
      <c r="C1515" s="3481" t="s">
        <v>3400</v>
      </c>
      <c r="D1515" s="3482">
        <v>46.52</v>
      </c>
    </row>
    <row r="1516" spans="1:4">
      <c r="A1516" s="3536">
        <v>1515</v>
      </c>
      <c r="B1516" s="3481" t="s">
        <v>5065</v>
      </c>
      <c r="C1516" s="3481" t="s">
        <v>3400</v>
      </c>
      <c r="D1516" s="3482">
        <v>46.52</v>
      </c>
    </row>
    <row r="1517" spans="1:4">
      <c r="A1517" s="3536">
        <v>1516</v>
      </c>
      <c r="B1517" s="3481" t="s">
        <v>5066</v>
      </c>
      <c r="C1517" s="3481" t="s">
        <v>3400</v>
      </c>
      <c r="D1517" s="3482">
        <v>46.52</v>
      </c>
    </row>
    <row r="1518" spans="1:4">
      <c r="A1518" s="3536">
        <v>1517</v>
      </c>
      <c r="B1518" s="3481" t="s">
        <v>5067</v>
      </c>
      <c r="C1518" s="3481" t="s">
        <v>3400</v>
      </c>
      <c r="D1518" s="3482">
        <v>46.52</v>
      </c>
    </row>
    <row r="1519" spans="1:4">
      <c r="A1519" s="3536">
        <v>1518</v>
      </c>
      <c r="B1519" s="3481" t="s">
        <v>5068</v>
      </c>
      <c r="C1519" s="3481" t="s">
        <v>3400</v>
      </c>
      <c r="D1519" s="3482">
        <v>46.52</v>
      </c>
    </row>
    <row r="1520" spans="1:4">
      <c r="A1520" s="3536">
        <v>1519</v>
      </c>
      <c r="B1520" s="3481" t="s">
        <v>5069</v>
      </c>
      <c r="C1520" s="3481" t="s">
        <v>3400</v>
      </c>
      <c r="D1520" s="3482">
        <v>46.52</v>
      </c>
    </row>
    <row r="1521" spans="1:4">
      <c r="A1521" s="3536">
        <v>1520</v>
      </c>
      <c r="B1521" s="3481" t="s">
        <v>5070</v>
      </c>
      <c r="C1521" s="3481" t="s">
        <v>3400</v>
      </c>
      <c r="D1521" s="3482">
        <v>46.52</v>
      </c>
    </row>
    <row r="1522" spans="1:4">
      <c r="A1522" s="3536">
        <v>1521</v>
      </c>
      <c r="B1522" s="3481" t="s">
        <v>5071</v>
      </c>
      <c r="C1522" s="3481" t="s">
        <v>3400</v>
      </c>
      <c r="D1522" s="3482">
        <v>46.52</v>
      </c>
    </row>
    <row r="1523" spans="1:4">
      <c r="A1523" s="3536">
        <v>1522</v>
      </c>
      <c r="B1523" s="3481" t="s">
        <v>5072</v>
      </c>
      <c r="C1523" s="3481" t="s">
        <v>3400</v>
      </c>
      <c r="D1523" s="3482">
        <v>46.52</v>
      </c>
    </row>
    <row r="1524" spans="1:4">
      <c r="A1524" s="3536">
        <v>1523</v>
      </c>
      <c r="B1524" s="3481" t="s">
        <v>5073</v>
      </c>
      <c r="C1524" s="3481" t="s">
        <v>3400</v>
      </c>
      <c r="D1524" s="3482">
        <v>46.52</v>
      </c>
    </row>
    <row r="1525" spans="1:4">
      <c r="A1525" s="3536">
        <v>1524</v>
      </c>
      <c r="B1525" s="3481" t="s">
        <v>5074</v>
      </c>
      <c r="C1525" s="3481" t="s">
        <v>3400</v>
      </c>
      <c r="D1525" s="3482">
        <v>46.52</v>
      </c>
    </row>
    <row r="1526" spans="1:4">
      <c r="A1526" s="3536">
        <v>1525</v>
      </c>
      <c r="B1526" s="3481" t="s">
        <v>5075</v>
      </c>
      <c r="C1526" s="3481" t="s">
        <v>3400</v>
      </c>
      <c r="D1526" s="3482">
        <v>46.52</v>
      </c>
    </row>
    <row r="1527" spans="1:4">
      <c r="A1527" s="3536">
        <v>1526</v>
      </c>
      <c r="B1527" s="3481" t="s">
        <v>5076</v>
      </c>
      <c r="C1527" s="3481" t="s">
        <v>3400</v>
      </c>
      <c r="D1527" s="3482">
        <v>46.52</v>
      </c>
    </row>
    <row r="1528" spans="1:4">
      <c r="A1528" s="3536">
        <v>1527</v>
      </c>
      <c r="B1528" s="3481" t="s">
        <v>5077</v>
      </c>
      <c r="C1528" s="3481" t="s">
        <v>3400</v>
      </c>
      <c r="D1528" s="3482">
        <v>46.52</v>
      </c>
    </row>
    <row r="1529" spans="1:4">
      <c r="A1529" s="3536">
        <v>1528</v>
      </c>
      <c r="B1529" s="3481" t="s">
        <v>5078</v>
      </c>
      <c r="C1529" s="3481" t="s">
        <v>3400</v>
      </c>
      <c r="D1529" s="3482">
        <v>46.52</v>
      </c>
    </row>
    <row r="1530" spans="1:4">
      <c r="A1530" s="3536">
        <v>1529</v>
      </c>
      <c r="B1530" s="3481" t="s">
        <v>5079</v>
      </c>
      <c r="C1530" s="3481" t="s">
        <v>3400</v>
      </c>
      <c r="D1530" s="3482">
        <v>46.52</v>
      </c>
    </row>
    <row r="1531" spans="1:4">
      <c r="A1531" s="3536">
        <v>1530</v>
      </c>
      <c r="B1531" s="3481" t="s">
        <v>5080</v>
      </c>
      <c r="C1531" s="3481" t="s">
        <v>3400</v>
      </c>
      <c r="D1531" s="3482">
        <v>46.52</v>
      </c>
    </row>
    <row r="1532" spans="1:4">
      <c r="A1532" s="3536">
        <v>1531</v>
      </c>
      <c r="B1532" s="3481" t="s">
        <v>5081</v>
      </c>
      <c r="C1532" s="3481" t="s">
        <v>3400</v>
      </c>
      <c r="D1532" s="3482">
        <v>46.52</v>
      </c>
    </row>
    <row r="1533" spans="1:4">
      <c r="A1533" s="3536">
        <v>1532</v>
      </c>
      <c r="B1533" s="3481" t="s">
        <v>5082</v>
      </c>
      <c r="C1533" s="3481" t="s">
        <v>3400</v>
      </c>
      <c r="D1533" s="3482">
        <v>23.26</v>
      </c>
    </row>
    <row r="1534" spans="1:4">
      <c r="A1534" s="3536">
        <v>1533</v>
      </c>
      <c r="B1534" s="3481" t="s">
        <v>5083</v>
      </c>
      <c r="C1534" s="3481" t="s">
        <v>3400</v>
      </c>
      <c r="D1534" s="3482">
        <v>23.26</v>
      </c>
    </row>
    <row r="1535" spans="1:4">
      <c r="A1535" s="3536">
        <v>1534</v>
      </c>
      <c r="B1535" s="3481" t="s">
        <v>5084</v>
      </c>
      <c r="C1535" s="3481" t="s">
        <v>3400</v>
      </c>
      <c r="D1535" s="3482">
        <v>23.26</v>
      </c>
    </row>
    <row r="1536" spans="1:4">
      <c r="A1536" s="3536">
        <v>1535</v>
      </c>
      <c r="B1536" s="3481" t="s">
        <v>5085</v>
      </c>
      <c r="C1536" s="3481" t="s">
        <v>3400</v>
      </c>
      <c r="D1536" s="3482">
        <v>23.26</v>
      </c>
    </row>
    <row r="1537" spans="1:4">
      <c r="A1537" s="3536">
        <v>1536</v>
      </c>
      <c r="B1537" s="3481" t="s">
        <v>5086</v>
      </c>
      <c r="C1537" s="3481" t="s">
        <v>3400</v>
      </c>
      <c r="D1537" s="3482">
        <v>23.26</v>
      </c>
    </row>
    <row r="1538" spans="1:4">
      <c r="A1538" s="3536">
        <v>1537</v>
      </c>
      <c r="B1538" s="3481" t="s">
        <v>5087</v>
      </c>
      <c r="C1538" s="3481" t="s">
        <v>3400</v>
      </c>
      <c r="D1538" s="3482">
        <v>23.26</v>
      </c>
    </row>
    <row r="1539" spans="1:4">
      <c r="A1539" s="3536">
        <v>1538</v>
      </c>
      <c r="B1539" s="3481" t="s">
        <v>5088</v>
      </c>
      <c r="C1539" s="3481" t="s">
        <v>3400</v>
      </c>
      <c r="D1539" s="3482">
        <v>23.26</v>
      </c>
    </row>
    <row r="1540" spans="1:4">
      <c r="A1540" s="3536">
        <v>1539</v>
      </c>
      <c r="B1540" s="3481" t="s">
        <v>5089</v>
      </c>
      <c r="C1540" s="3481" t="s">
        <v>3400</v>
      </c>
      <c r="D1540" s="3482">
        <v>33.619999999999997</v>
      </c>
    </row>
    <row r="1541" spans="1:4">
      <c r="A1541" s="3536">
        <v>1540</v>
      </c>
      <c r="B1541" s="3481" t="s">
        <v>5090</v>
      </c>
      <c r="C1541" s="3481" t="s">
        <v>3400</v>
      </c>
      <c r="D1541" s="3482">
        <v>33.619999999999997</v>
      </c>
    </row>
    <row r="1542" spans="1:4">
      <c r="A1542" s="3536">
        <v>1541</v>
      </c>
      <c r="B1542" s="3481" t="s">
        <v>5091</v>
      </c>
      <c r="C1542" s="3481" t="s">
        <v>3400</v>
      </c>
      <c r="D1542" s="3482">
        <v>33.619999999999997</v>
      </c>
    </row>
    <row r="1543" spans="1:4">
      <c r="A1543" s="3536">
        <v>1542</v>
      </c>
      <c r="B1543" s="3481" t="s">
        <v>5092</v>
      </c>
      <c r="C1543" s="3481" t="s">
        <v>3400</v>
      </c>
      <c r="D1543" s="3482">
        <v>33.619999999999997</v>
      </c>
    </row>
    <row r="1544" spans="1:4">
      <c r="A1544" s="3536">
        <v>1543</v>
      </c>
      <c r="B1544" s="3481" t="s">
        <v>5093</v>
      </c>
      <c r="C1544" s="3481" t="s">
        <v>3400</v>
      </c>
      <c r="D1544" s="3482">
        <v>33.619999999999997</v>
      </c>
    </row>
    <row r="1545" spans="1:4">
      <c r="A1545" s="3536">
        <v>1544</v>
      </c>
      <c r="B1545" s="3481" t="s">
        <v>5094</v>
      </c>
      <c r="C1545" s="3481" t="s">
        <v>3400</v>
      </c>
      <c r="D1545" s="3482">
        <v>46.52</v>
      </c>
    </row>
    <row r="1546" spans="1:4">
      <c r="A1546" s="3536">
        <v>1545</v>
      </c>
      <c r="B1546" s="3481" t="s">
        <v>5095</v>
      </c>
      <c r="C1546" s="3481" t="s">
        <v>3400</v>
      </c>
      <c r="D1546" s="3482">
        <v>46.52</v>
      </c>
    </row>
    <row r="1547" spans="1:4">
      <c r="A1547" s="3536">
        <v>1546</v>
      </c>
      <c r="B1547" s="3481" t="s">
        <v>5096</v>
      </c>
      <c r="C1547" s="3481" t="s">
        <v>3400</v>
      </c>
      <c r="D1547" s="3482">
        <v>46.52</v>
      </c>
    </row>
    <row r="1548" spans="1:4">
      <c r="A1548" s="3536">
        <v>1547</v>
      </c>
      <c r="B1548" s="3481" t="s">
        <v>5097</v>
      </c>
      <c r="C1548" s="3481" t="s">
        <v>3400</v>
      </c>
      <c r="D1548" s="3482">
        <v>46.52</v>
      </c>
    </row>
    <row r="1549" spans="1:4">
      <c r="A1549" s="3536">
        <v>1548</v>
      </c>
      <c r="B1549" s="3481" t="s">
        <v>5098</v>
      </c>
      <c r="C1549" s="3481" t="s">
        <v>3400</v>
      </c>
      <c r="D1549" s="3482">
        <v>46.52</v>
      </c>
    </row>
    <row r="1550" spans="1:4">
      <c r="A1550" s="3536">
        <v>1549</v>
      </c>
      <c r="B1550" s="3481" t="s">
        <v>5099</v>
      </c>
      <c r="C1550" s="3481" t="s">
        <v>3400</v>
      </c>
      <c r="D1550" s="3482">
        <v>46.52</v>
      </c>
    </row>
    <row r="1551" spans="1:4">
      <c r="A1551" s="3536">
        <v>1550</v>
      </c>
      <c r="B1551" s="3481" t="s">
        <v>5100</v>
      </c>
      <c r="C1551" s="3481" t="s">
        <v>3400</v>
      </c>
      <c r="D1551" s="3482">
        <v>46.52</v>
      </c>
    </row>
    <row r="1552" spans="1:4">
      <c r="A1552" s="3536">
        <v>1551</v>
      </c>
      <c r="B1552" s="3481" t="s">
        <v>5101</v>
      </c>
      <c r="C1552" s="3481" t="s">
        <v>3400</v>
      </c>
      <c r="D1552" s="3482">
        <v>46.52</v>
      </c>
    </row>
    <row r="1553" spans="1:4">
      <c r="A1553" s="3536">
        <v>1552</v>
      </c>
      <c r="B1553" s="3481" t="s">
        <v>5102</v>
      </c>
      <c r="C1553" s="3481" t="s">
        <v>3400</v>
      </c>
      <c r="D1553" s="3482">
        <v>46.52</v>
      </c>
    </row>
    <row r="1554" spans="1:4">
      <c r="A1554" s="3536">
        <v>1553</v>
      </c>
      <c r="B1554" s="3481" t="s">
        <v>5103</v>
      </c>
      <c r="C1554" s="3481" t="s">
        <v>3400</v>
      </c>
      <c r="D1554" s="3482">
        <v>46.52</v>
      </c>
    </row>
    <row r="1555" spans="1:4">
      <c r="A1555" s="3536">
        <v>1554</v>
      </c>
      <c r="B1555" s="3481" t="s">
        <v>5104</v>
      </c>
      <c r="C1555" s="3481" t="s">
        <v>3400</v>
      </c>
      <c r="D1555" s="3482">
        <v>46.52</v>
      </c>
    </row>
    <row r="1556" spans="1:4">
      <c r="A1556" s="3536">
        <v>1555</v>
      </c>
      <c r="B1556" s="3481" t="s">
        <v>5105</v>
      </c>
      <c r="C1556" s="3481" t="s">
        <v>3400</v>
      </c>
      <c r="D1556" s="3482">
        <v>46.52</v>
      </c>
    </row>
    <row r="1557" spans="1:4">
      <c r="A1557" s="3536">
        <v>1556</v>
      </c>
      <c r="B1557" s="3481" t="s">
        <v>5106</v>
      </c>
      <c r="C1557" s="3481" t="s">
        <v>3400</v>
      </c>
      <c r="D1557" s="3482">
        <v>33.619999999999997</v>
      </c>
    </row>
    <row r="1558" spans="1:4">
      <c r="A1558" s="3536">
        <v>1557</v>
      </c>
      <c r="B1558" s="3481" t="s">
        <v>5107</v>
      </c>
      <c r="C1558" s="3481" t="s">
        <v>3400</v>
      </c>
      <c r="D1558" s="3482">
        <v>33.619999999999997</v>
      </c>
    </row>
    <row r="1559" spans="1:4">
      <c r="A1559" s="3536">
        <v>1558</v>
      </c>
      <c r="B1559" s="3481" t="s">
        <v>5108</v>
      </c>
      <c r="C1559" s="3481" t="s">
        <v>3400</v>
      </c>
      <c r="D1559" s="3482">
        <v>33.619999999999997</v>
      </c>
    </row>
    <row r="1560" spans="1:4">
      <c r="A1560" s="3536">
        <v>1559</v>
      </c>
      <c r="B1560" s="3481" t="s">
        <v>5109</v>
      </c>
      <c r="C1560" s="3481" t="s">
        <v>3400</v>
      </c>
      <c r="D1560" s="3482">
        <v>33.619999999999997</v>
      </c>
    </row>
    <row r="1561" spans="1:4">
      <c r="A1561" s="3536">
        <v>1560</v>
      </c>
      <c r="B1561" s="3481" t="s">
        <v>5110</v>
      </c>
      <c r="C1561" s="3481" t="s">
        <v>3400</v>
      </c>
      <c r="D1561" s="3482">
        <v>33.619999999999997</v>
      </c>
    </row>
    <row r="1562" spans="1:4">
      <c r="A1562" s="3536">
        <v>1561</v>
      </c>
      <c r="B1562" s="3481" t="s">
        <v>5111</v>
      </c>
      <c r="C1562" s="3481" t="s">
        <v>3400</v>
      </c>
      <c r="D1562" s="3482">
        <v>33.619999999999997</v>
      </c>
    </row>
    <row r="1563" spans="1:4">
      <c r="A1563" s="3536">
        <v>1562</v>
      </c>
      <c r="B1563" s="3481" t="s">
        <v>5112</v>
      </c>
      <c r="C1563" s="3481" t="s">
        <v>3400</v>
      </c>
      <c r="D1563" s="3482">
        <v>33.619999999999997</v>
      </c>
    </row>
    <row r="1564" spans="1:4">
      <c r="A1564" s="3536">
        <v>1563</v>
      </c>
      <c r="B1564" s="3481" t="s">
        <v>5113</v>
      </c>
      <c r="C1564" s="3481" t="s">
        <v>3400</v>
      </c>
      <c r="D1564" s="3482">
        <v>33.619999999999997</v>
      </c>
    </row>
    <row r="1565" spans="1:4">
      <c r="A1565" s="3536">
        <v>1564</v>
      </c>
      <c r="B1565" s="3481" t="s">
        <v>5114</v>
      </c>
      <c r="C1565" s="3481" t="s">
        <v>3400</v>
      </c>
      <c r="D1565" s="3482">
        <v>33.619999999999997</v>
      </c>
    </row>
    <row r="1566" spans="1:4">
      <c r="A1566" s="3536">
        <v>1565</v>
      </c>
      <c r="B1566" s="3481" t="s">
        <v>5115</v>
      </c>
      <c r="C1566" s="3481" t="s">
        <v>3400</v>
      </c>
      <c r="D1566" s="3482">
        <v>33.619999999999997</v>
      </c>
    </row>
    <row r="1567" spans="1:4">
      <c r="A1567" s="3536">
        <v>1566</v>
      </c>
      <c r="B1567" s="3481" t="s">
        <v>5116</v>
      </c>
      <c r="C1567" s="3481" t="s">
        <v>3400</v>
      </c>
      <c r="D1567" s="3482">
        <v>33.619999999999997</v>
      </c>
    </row>
    <row r="1568" spans="1:4">
      <c r="A1568" s="3536">
        <v>1567</v>
      </c>
      <c r="B1568" s="3481" t="s">
        <v>5117</v>
      </c>
      <c r="C1568" s="3481" t="s">
        <v>3400</v>
      </c>
      <c r="D1568" s="3482">
        <v>33.619999999999997</v>
      </c>
    </row>
    <row r="1569" spans="1:4">
      <c r="A1569" s="3536">
        <v>1568</v>
      </c>
      <c r="B1569" s="3481" t="s">
        <v>5118</v>
      </c>
      <c r="C1569" s="3481" t="s">
        <v>3400</v>
      </c>
      <c r="D1569" s="3482">
        <v>33.619999999999997</v>
      </c>
    </row>
    <row r="1570" spans="1:4">
      <c r="A1570" s="3536">
        <v>1569</v>
      </c>
      <c r="B1570" s="3481" t="s">
        <v>5119</v>
      </c>
      <c r="C1570" s="3481" t="s">
        <v>3400</v>
      </c>
      <c r="D1570" s="3482">
        <v>33.619999999999997</v>
      </c>
    </row>
    <row r="1571" spans="1:4">
      <c r="A1571" s="3536">
        <v>1570</v>
      </c>
      <c r="B1571" s="3481" t="s">
        <v>5120</v>
      </c>
      <c r="C1571" s="3481" t="s">
        <v>3400</v>
      </c>
      <c r="D1571" s="3482">
        <v>23.26</v>
      </c>
    </row>
    <row r="1572" spans="1:4">
      <c r="A1572" s="3536">
        <v>1571</v>
      </c>
      <c r="B1572" s="3481" t="s">
        <v>5121</v>
      </c>
      <c r="C1572" s="3481" t="s">
        <v>3400</v>
      </c>
      <c r="D1572" s="3482">
        <v>23.26</v>
      </c>
    </row>
    <row r="1573" spans="1:4">
      <c r="A1573" s="3536">
        <v>1572</v>
      </c>
      <c r="B1573" s="3481" t="s">
        <v>5122</v>
      </c>
      <c r="C1573" s="3481" t="s">
        <v>3400</v>
      </c>
      <c r="D1573" s="3482">
        <v>46.52</v>
      </c>
    </row>
    <row r="1574" spans="1:4">
      <c r="A1574" s="3536">
        <v>1573</v>
      </c>
      <c r="B1574" s="3481" t="s">
        <v>5123</v>
      </c>
      <c r="C1574" s="3481" t="s">
        <v>3400</v>
      </c>
      <c r="D1574" s="3482">
        <v>46.52</v>
      </c>
    </row>
    <row r="1575" spans="1:4">
      <c r="A1575" s="3536">
        <v>1574</v>
      </c>
      <c r="B1575" s="3481" t="s">
        <v>5124</v>
      </c>
      <c r="C1575" s="3481" t="s">
        <v>3400</v>
      </c>
      <c r="D1575" s="3482">
        <v>46.52</v>
      </c>
    </row>
    <row r="1576" spans="1:4">
      <c r="A1576" s="3536">
        <v>1575</v>
      </c>
      <c r="B1576" s="3481" t="s">
        <v>5125</v>
      </c>
      <c r="C1576" s="3481" t="s">
        <v>3400</v>
      </c>
      <c r="D1576" s="3482">
        <v>46.52</v>
      </c>
    </row>
    <row r="1577" spans="1:4">
      <c r="A1577" s="3536">
        <v>1576</v>
      </c>
      <c r="B1577" s="3481" t="s">
        <v>5126</v>
      </c>
      <c r="C1577" s="3481" t="s">
        <v>3400</v>
      </c>
      <c r="D1577" s="3482">
        <v>46.52</v>
      </c>
    </row>
    <row r="1578" spans="1:4">
      <c r="A1578" s="3536">
        <v>1577</v>
      </c>
      <c r="B1578" s="3481" t="s">
        <v>5127</v>
      </c>
      <c r="C1578" s="3481" t="s">
        <v>3400</v>
      </c>
      <c r="D1578" s="3482">
        <v>46.52</v>
      </c>
    </row>
    <row r="1579" spans="1:4">
      <c r="A1579" s="3536">
        <v>1578</v>
      </c>
      <c r="B1579" s="3481" t="s">
        <v>5128</v>
      </c>
      <c r="C1579" s="3481" t="s">
        <v>3400</v>
      </c>
      <c r="D1579" s="3482">
        <v>46.52</v>
      </c>
    </row>
    <row r="1580" spans="1:4">
      <c r="A1580" s="3536">
        <v>1579</v>
      </c>
      <c r="B1580" s="3481" t="s">
        <v>5129</v>
      </c>
      <c r="C1580" s="3481" t="s">
        <v>3400</v>
      </c>
      <c r="D1580" s="3482">
        <v>46.52</v>
      </c>
    </row>
    <row r="1581" spans="1:4">
      <c r="A1581" s="3536">
        <v>1580</v>
      </c>
      <c r="B1581" s="3481" t="s">
        <v>5130</v>
      </c>
      <c r="C1581" s="3481" t="s">
        <v>3400</v>
      </c>
      <c r="D1581" s="3482">
        <v>46.52</v>
      </c>
    </row>
    <row r="1582" spans="1:4">
      <c r="A1582" s="3536">
        <v>1581</v>
      </c>
      <c r="B1582" s="3481" t="s">
        <v>5131</v>
      </c>
      <c r="C1582" s="3481" t="s">
        <v>3400</v>
      </c>
      <c r="D1582" s="3482">
        <v>46.52</v>
      </c>
    </row>
    <row r="1583" spans="1:4">
      <c r="A1583" s="3536">
        <v>1582</v>
      </c>
      <c r="B1583" s="3481" t="s">
        <v>5132</v>
      </c>
      <c r="C1583" s="3481" t="s">
        <v>3400</v>
      </c>
      <c r="D1583" s="3482">
        <v>46.52</v>
      </c>
    </row>
    <row r="1584" spans="1:4">
      <c r="A1584" s="3536">
        <v>1583</v>
      </c>
      <c r="B1584" s="3481" t="s">
        <v>5133</v>
      </c>
      <c r="C1584" s="3481" t="s">
        <v>3400</v>
      </c>
      <c r="D1584" s="3482">
        <v>46.52</v>
      </c>
    </row>
    <row r="1585" spans="1:4">
      <c r="A1585" s="3536">
        <v>1584</v>
      </c>
      <c r="B1585" s="3481" t="s">
        <v>5134</v>
      </c>
      <c r="C1585" s="3481" t="s">
        <v>3400</v>
      </c>
      <c r="D1585" s="3482">
        <v>46.52</v>
      </c>
    </row>
    <row r="1586" spans="1:4">
      <c r="A1586" s="3536">
        <v>1585</v>
      </c>
      <c r="B1586" s="3481" t="s">
        <v>5135</v>
      </c>
      <c r="C1586" s="3481" t="s">
        <v>3400</v>
      </c>
      <c r="D1586" s="3482">
        <v>33.619999999999997</v>
      </c>
    </row>
    <row r="1587" spans="1:4">
      <c r="A1587" s="3536">
        <v>1586</v>
      </c>
      <c r="B1587" s="3481" t="s">
        <v>5136</v>
      </c>
      <c r="C1587" s="3481" t="s">
        <v>3400</v>
      </c>
      <c r="D1587" s="3482">
        <v>33.619999999999997</v>
      </c>
    </row>
    <row r="1588" spans="1:4">
      <c r="A1588" s="3536">
        <v>1587</v>
      </c>
      <c r="B1588" s="3481" t="s">
        <v>5137</v>
      </c>
      <c r="C1588" s="3481" t="s">
        <v>3400</v>
      </c>
      <c r="D1588" s="3482">
        <v>33.619999999999997</v>
      </c>
    </row>
    <row r="1589" spans="1:4">
      <c r="A1589" s="3536">
        <v>1588</v>
      </c>
      <c r="B1589" s="3481" t="s">
        <v>5138</v>
      </c>
      <c r="C1589" s="3481" t="s">
        <v>3400</v>
      </c>
      <c r="D1589" s="3482">
        <v>33.619999999999997</v>
      </c>
    </row>
    <row r="1590" spans="1:4">
      <c r="A1590" s="3536">
        <v>1589</v>
      </c>
      <c r="B1590" s="3481" t="s">
        <v>5139</v>
      </c>
      <c r="C1590" s="3481" t="s">
        <v>3400</v>
      </c>
      <c r="D1590" s="3482">
        <v>33.619999999999997</v>
      </c>
    </row>
    <row r="1591" spans="1:4">
      <c r="A1591" s="3536">
        <v>1590</v>
      </c>
      <c r="B1591" s="3481" t="s">
        <v>5140</v>
      </c>
      <c r="C1591" s="3481" t="s">
        <v>3400</v>
      </c>
      <c r="D1591" s="3482">
        <v>33.619999999999997</v>
      </c>
    </row>
    <row r="1592" spans="1:4">
      <c r="A1592" s="3536">
        <v>1591</v>
      </c>
      <c r="B1592" s="3481" t="s">
        <v>5141</v>
      </c>
      <c r="C1592" s="3481" t="s">
        <v>3400</v>
      </c>
      <c r="D1592" s="3482">
        <v>50.43</v>
      </c>
    </row>
    <row r="1593" spans="1:4">
      <c r="A1593" s="3536">
        <v>1592</v>
      </c>
      <c r="B1593" s="3481" t="s">
        <v>5142</v>
      </c>
      <c r="C1593" s="3481" t="s">
        <v>3400</v>
      </c>
      <c r="D1593" s="3482">
        <v>46.52</v>
      </c>
    </row>
    <row r="1594" spans="1:4">
      <c r="A1594" s="3536">
        <v>1593</v>
      </c>
      <c r="B1594" s="3481" t="s">
        <v>5143</v>
      </c>
      <c r="C1594" s="3481" t="s">
        <v>3400</v>
      </c>
      <c r="D1594" s="3482">
        <v>46.52</v>
      </c>
    </row>
    <row r="1595" spans="1:4">
      <c r="A1595" s="3536">
        <v>1594</v>
      </c>
      <c r="B1595" s="3481" t="s">
        <v>5144</v>
      </c>
      <c r="C1595" s="3481" t="s">
        <v>3400</v>
      </c>
      <c r="D1595" s="3482">
        <v>23.26</v>
      </c>
    </row>
    <row r="1596" spans="1:4">
      <c r="A1596" s="3536">
        <v>1595</v>
      </c>
      <c r="B1596" s="3481" t="s">
        <v>5145</v>
      </c>
      <c r="C1596" s="3481" t="s">
        <v>3400</v>
      </c>
      <c r="D1596" s="3482">
        <v>23.26</v>
      </c>
    </row>
    <row r="1597" spans="1:4">
      <c r="A1597" s="3536">
        <v>1596</v>
      </c>
      <c r="B1597" s="3481" t="s">
        <v>5146</v>
      </c>
      <c r="C1597" s="3481" t="s">
        <v>3400</v>
      </c>
      <c r="D1597" s="3482">
        <v>23.26</v>
      </c>
    </row>
    <row r="1598" spans="1:4">
      <c r="A1598" s="3536">
        <v>1597</v>
      </c>
      <c r="B1598" s="3481" t="s">
        <v>5147</v>
      </c>
      <c r="C1598" s="3481" t="s">
        <v>3400</v>
      </c>
      <c r="D1598" s="3482">
        <v>23.26</v>
      </c>
    </row>
    <row r="1599" spans="1:4">
      <c r="A1599" s="3536">
        <v>1598</v>
      </c>
      <c r="B1599" s="3481" t="s">
        <v>5148</v>
      </c>
      <c r="C1599" s="3481" t="s">
        <v>3400</v>
      </c>
      <c r="D1599" s="3482">
        <v>23.26</v>
      </c>
    </row>
    <row r="1600" spans="1:4">
      <c r="A1600" s="3536">
        <v>1599</v>
      </c>
      <c r="B1600" s="3481" t="s">
        <v>5149</v>
      </c>
      <c r="C1600" s="3481" t="s">
        <v>3400</v>
      </c>
      <c r="D1600" s="3482">
        <v>23.26</v>
      </c>
    </row>
    <row r="1601" spans="1:4">
      <c r="A1601" s="3536">
        <v>1600</v>
      </c>
      <c r="B1601" s="3481" t="s">
        <v>5150</v>
      </c>
      <c r="C1601" s="3481" t="s">
        <v>3400</v>
      </c>
      <c r="D1601" s="3482">
        <v>23.26</v>
      </c>
    </row>
    <row r="1602" spans="1:4">
      <c r="A1602" s="3536">
        <v>1601</v>
      </c>
      <c r="B1602" s="3481" t="s">
        <v>5151</v>
      </c>
      <c r="C1602" s="3481" t="s">
        <v>3400</v>
      </c>
      <c r="D1602" s="3482">
        <v>23.26</v>
      </c>
    </row>
    <row r="1603" spans="1:4">
      <c r="A1603" s="3536">
        <v>1602</v>
      </c>
      <c r="B1603" s="3481" t="s">
        <v>5152</v>
      </c>
      <c r="C1603" s="3481" t="s">
        <v>3400</v>
      </c>
      <c r="D1603" s="3482">
        <v>23.26</v>
      </c>
    </row>
    <row r="1604" spans="1:4">
      <c r="A1604" s="3536">
        <v>1603</v>
      </c>
      <c r="B1604" s="3481" t="s">
        <v>5153</v>
      </c>
      <c r="C1604" s="3481" t="s">
        <v>3400</v>
      </c>
      <c r="D1604" s="3482">
        <v>23.26</v>
      </c>
    </row>
    <row r="1605" spans="1:4">
      <c r="A1605" s="3536">
        <v>1604</v>
      </c>
      <c r="B1605" s="3481" t="s">
        <v>5154</v>
      </c>
      <c r="C1605" s="3481" t="s">
        <v>3400</v>
      </c>
      <c r="D1605" s="3482">
        <v>23.26</v>
      </c>
    </row>
    <row r="1606" spans="1:4">
      <c r="A1606" s="3536">
        <v>1605</v>
      </c>
      <c r="B1606" s="3481" t="s">
        <v>5155</v>
      </c>
      <c r="C1606" s="3481" t="s">
        <v>3400</v>
      </c>
      <c r="D1606" s="3482">
        <v>46.52</v>
      </c>
    </row>
    <row r="1607" spans="1:4">
      <c r="A1607" s="3536">
        <v>1606</v>
      </c>
      <c r="B1607" s="3481" t="s">
        <v>5156</v>
      </c>
      <c r="C1607" s="3481" t="s">
        <v>3400</v>
      </c>
      <c r="D1607" s="3482">
        <v>46.52</v>
      </c>
    </row>
    <row r="1608" spans="1:4">
      <c r="A1608" s="3536">
        <v>1607</v>
      </c>
      <c r="B1608" s="3481" t="s">
        <v>5157</v>
      </c>
      <c r="C1608" s="3481" t="s">
        <v>3400</v>
      </c>
      <c r="D1608" s="3482">
        <v>23.26</v>
      </c>
    </row>
    <row r="1609" spans="1:4">
      <c r="A1609" s="3536">
        <v>1608</v>
      </c>
      <c r="B1609" s="3481" t="s">
        <v>5158</v>
      </c>
      <c r="C1609" s="3481" t="s">
        <v>3400</v>
      </c>
      <c r="D1609" s="3482">
        <v>46.52</v>
      </c>
    </row>
    <row r="1610" spans="1:4">
      <c r="A1610" s="3536">
        <v>1609</v>
      </c>
      <c r="B1610" s="3481" t="s">
        <v>5159</v>
      </c>
      <c r="C1610" s="3481" t="s">
        <v>3400</v>
      </c>
      <c r="D1610" s="3482">
        <v>46.52</v>
      </c>
    </row>
    <row r="1611" spans="1:4">
      <c r="A1611" s="3536">
        <v>1610</v>
      </c>
      <c r="B1611" s="3481" t="s">
        <v>5160</v>
      </c>
      <c r="C1611" s="3481" t="s">
        <v>3400</v>
      </c>
      <c r="D1611" s="3482">
        <v>46.52</v>
      </c>
    </row>
    <row r="1612" spans="1:4">
      <c r="A1612" s="3536">
        <v>1611</v>
      </c>
      <c r="B1612" s="3481" t="s">
        <v>5161</v>
      </c>
      <c r="C1612" s="3481" t="s">
        <v>3400</v>
      </c>
      <c r="D1612" s="3482">
        <v>46.52</v>
      </c>
    </row>
    <row r="1613" spans="1:4">
      <c r="A1613" s="3536">
        <v>1612</v>
      </c>
      <c r="B1613" s="3481" t="s">
        <v>5162</v>
      </c>
      <c r="C1613" s="3481" t="s">
        <v>3400</v>
      </c>
      <c r="D1613" s="3482">
        <v>46.52</v>
      </c>
    </row>
    <row r="1614" spans="1:4">
      <c r="A1614" s="3536">
        <v>1613</v>
      </c>
      <c r="B1614" s="3481" t="s">
        <v>5163</v>
      </c>
      <c r="C1614" s="3481" t="s">
        <v>3400</v>
      </c>
      <c r="D1614" s="3482">
        <v>46.52</v>
      </c>
    </row>
    <row r="1615" spans="1:4">
      <c r="A1615" s="3536">
        <v>1614</v>
      </c>
      <c r="B1615" s="3481" t="s">
        <v>5164</v>
      </c>
      <c r="C1615" s="3481" t="s">
        <v>3400</v>
      </c>
      <c r="D1615" s="3482">
        <v>46.52</v>
      </c>
    </row>
    <row r="1616" spans="1:4">
      <c r="A1616" s="3536">
        <v>1615</v>
      </c>
      <c r="B1616" s="3481" t="s">
        <v>5165</v>
      </c>
      <c r="C1616" s="3481" t="s">
        <v>3400</v>
      </c>
      <c r="D1616" s="3482">
        <v>46.52</v>
      </c>
    </row>
    <row r="1617" spans="1:4">
      <c r="A1617" s="3536">
        <v>1616</v>
      </c>
      <c r="B1617" s="3481" t="s">
        <v>5166</v>
      </c>
      <c r="C1617" s="3481" t="s">
        <v>3400</v>
      </c>
      <c r="D1617" s="3482">
        <v>46.52</v>
      </c>
    </row>
    <row r="1618" spans="1:4">
      <c r="A1618" s="3536">
        <v>1617</v>
      </c>
      <c r="B1618" s="3481" t="s">
        <v>5167</v>
      </c>
      <c r="C1618" s="3481" t="s">
        <v>3400</v>
      </c>
      <c r="D1618" s="3482">
        <v>46.52</v>
      </c>
    </row>
    <row r="1619" spans="1:4">
      <c r="A1619" s="3536">
        <v>1618</v>
      </c>
      <c r="B1619" s="3481" t="s">
        <v>5168</v>
      </c>
      <c r="C1619" s="3481" t="s">
        <v>3400</v>
      </c>
      <c r="D1619" s="3482">
        <v>46.52</v>
      </c>
    </row>
    <row r="1620" spans="1:4">
      <c r="A1620" s="3536">
        <v>1619</v>
      </c>
      <c r="B1620" s="3481" t="s">
        <v>5169</v>
      </c>
      <c r="C1620" s="3481" t="s">
        <v>3400</v>
      </c>
      <c r="D1620" s="3482">
        <v>46.52</v>
      </c>
    </row>
    <row r="1621" spans="1:4">
      <c r="A1621" s="3536">
        <v>1620</v>
      </c>
      <c r="B1621" s="3481" t="s">
        <v>5170</v>
      </c>
      <c r="C1621" s="3481" t="s">
        <v>3400</v>
      </c>
      <c r="D1621" s="3482">
        <v>46.52</v>
      </c>
    </row>
    <row r="1622" spans="1:4">
      <c r="A1622" s="3536">
        <v>1621</v>
      </c>
      <c r="B1622" s="3481" t="s">
        <v>5171</v>
      </c>
      <c r="C1622" s="3481" t="s">
        <v>3400</v>
      </c>
      <c r="D1622" s="3482">
        <v>46.52</v>
      </c>
    </row>
    <row r="1623" spans="1:4">
      <c r="A1623" s="3536">
        <v>1622</v>
      </c>
      <c r="B1623" s="3481" t="s">
        <v>5172</v>
      </c>
      <c r="C1623" s="3481" t="s">
        <v>3400</v>
      </c>
      <c r="D1623" s="3482">
        <v>46.52</v>
      </c>
    </row>
    <row r="1624" spans="1:4">
      <c r="A1624" s="3536">
        <v>1623</v>
      </c>
      <c r="B1624" s="3481" t="s">
        <v>5173</v>
      </c>
      <c r="C1624" s="3481" t="s">
        <v>3400</v>
      </c>
      <c r="D1624" s="3482">
        <v>46.52</v>
      </c>
    </row>
    <row r="1625" spans="1:4">
      <c r="A1625" s="3536">
        <v>1624</v>
      </c>
      <c r="B1625" s="3481" t="s">
        <v>5174</v>
      </c>
      <c r="C1625" s="3481" t="s">
        <v>3400</v>
      </c>
      <c r="D1625" s="3482">
        <v>46.52</v>
      </c>
    </row>
    <row r="1626" spans="1:4">
      <c r="A1626" s="3536">
        <v>1625</v>
      </c>
      <c r="B1626" s="3481" t="s">
        <v>5175</v>
      </c>
      <c r="C1626" s="3481" t="s">
        <v>3400</v>
      </c>
      <c r="D1626" s="3482">
        <v>46.52</v>
      </c>
    </row>
    <row r="1627" spans="1:4">
      <c r="A1627" s="3536">
        <v>1626</v>
      </c>
      <c r="B1627" s="3481" t="s">
        <v>5176</v>
      </c>
      <c r="C1627" s="3481" t="s">
        <v>3400</v>
      </c>
      <c r="D1627" s="3482">
        <v>46.52</v>
      </c>
    </row>
    <row r="1628" spans="1:4">
      <c r="A1628" s="3536">
        <v>1627</v>
      </c>
      <c r="B1628" s="3481" t="s">
        <v>5177</v>
      </c>
      <c r="C1628" s="3481" t="s">
        <v>3400</v>
      </c>
      <c r="D1628" s="3482">
        <v>46.52</v>
      </c>
    </row>
    <row r="1629" spans="1:4">
      <c r="A1629" s="3536">
        <v>1628</v>
      </c>
      <c r="B1629" s="3481" t="s">
        <v>5178</v>
      </c>
      <c r="C1629" s="3481" t="s">
        <v>3400</v>
      </c>
      <c r="D1629" s="3482">
        <v>46.52</v>
      </c>
    </row>
    <row r="1630" spans="1:4">
      <c r="A1630" s="3536">
        <v>1629</v>
      </c>
      <c r="B1630" s="3481" t="s">
        <v>5179</v>
      </c>
      <c r="C1630" s="3481" t="s">
        <v>3400</v>
      </c>
      <c r="D1630" s="3482">
        <v>46.52</v>
      </c>
    </row>
    <row r="1631" spans="1:4">
      <c r="A1631" s="3536">
        <v>1630</v>
      </c>
      <c r="B1631" s="3481" t="s">
        <v>5180</v>
      </c>
      <c r="C1631" s="3481" t="s">
        <v>3400</v>
      </c>
      <c r="D1631" s="3482">
        <v>46.52</v>
      </c>
    </row>
    <row r="1632" spans="1:4">
      <c r="A1632" s="3536">
        <v>1631</v>
      </c>
      <c r="B1632" s="3481" t="s">
        <v>5181</v>
      </c>
      <c r="C1632" s="3481" t="s">
        <v>3400</v>
      </c>
      <c r="D1632" s="3482">
        <v>46.52</v>
      </c>
    </row>
    <row r="1633" spans="1:4">
      <c r="A1633" s="3536">
        <v>1632</v>
      </c>
      <c r="B1633" s="3481" t="s">
        <v>5182</v>
      </c>
      <c r="C1633" s="3481" t="s">
        <v>3400</v>
      </c>
      <c r="D1633" s="3482">
        <v>46.52</v>
      </c>
    </row>
    <row r="1634" spans="1:4">
      <c r="A1634" s="3536">
        <v>1633</v>
      </c>
      <c r="B1634" s="3481" t="s">
        <v>5183</v>
      </c>
      <c r="C1634" s="3481" t="s">
        <v>3400</v>
      </c>
      <c r="D1634" s="3482">
        <v>46.52</v>
      </c>
    </row>
    <row r="1635" spans="1:4">
      <c r="A1635" s="3536">
        <v>1634</v>
      </c>
      <c r="B1635" s="3481" t="s">
        <v>5184</v>
      </c>
      <c r="C1635" s="3481" t="s">
        <v>3400</v>
      </c>
      <c r="D1635" s="3482">
        <v>46.52</v>
      </c>
    </row>
    <row r="1636" spans="1:4">
      <c r="A1636" s="3536">
        <v>1635</v>
      </c>
      <c r="B1636" s="3481" t="s">
        <v>5185</v>
      </c>
      <c r="C1636" s="3481" t="s">
        <v>3400</v>
      </c>
      <c r="D1636" s="3482">
        <v>46.52</v>
      </c>
    </row>
    <row r="1637" spans="1:4">
      <c r="A1637" s="3536">
        <v>1636</v>
      </c>
      <c r="B1637" s="3481" t="s">
        <v>5186</v>
      </c>
      <c r="C1637" s="3481" t="s">
        <v>3400</v>
      </c>
      <c r="D1637" s="3482">
        <v>46.52</v>
      </c>
    </row>
    <row r="1638" spans="1:4">
      <c r="A1638" s="3536">
        <v>1637</v>
      </c>
      <c r="B1638" s="3481" t="s">
        <v>5187</v>
      </c>
      <c r="C1638" s="3481" t="s">
        <v>3400</v>
      </c>
      <c r="D1638" s="3482">
        <v>46.52</v>
      </c>
    </row>
    <row r="1639" spans="1:4">
      <c r="A1639" s="3536">
        <v>1638</v>
      </c>
      <c r="B1639" s="3481" t="s">
        <v>5188</v>
      </c>
      <c r="C1639" s="3481" t="s">
        <v>3400</v>
      </c>
      <c r="D1639" s="3482">
        <v>46.52</v>
      </c>
    </row>
    <row r="1640" spans="1:4">
      <c r="A1640" s="3536">
        <v>1639</v>
      </c>
      <c r="B1640" s="3481" t="s">
        <v>5189</v>
      </c>
      <c r="C1640" s="3481" t="s">
        <v>3400</v>
      </c>
      <c r="D1640" s="3482">
        <v>46.52</v>
      </c>
    </row>
    <row r="1641" spans="1:4">
      <c r="A1641" s="3536">
        <v>1640</v>
      </c>
      <c r="B1641" s="3481" t="s">
        <v>5190</v>
      </c>
      <c r="C1641" s="3481" t="s">
        <v>3400</v>
      </c>
      <c r="D1641" s="3482">
        <v>46.52</v>
      </c>
    </row>
    <row r="1642" spans="1:4">
      <c r="A1642" s="3536">
        <v>1641</v>
      </c>
      <c r="B1642" s="3481" t="s">
        <v>5191</v>
      </c>
      <c r="C1642" s="3481" t="s">
        <v>3400</v>
      </c>
      <c r="D1642" s="3482">
        <v>46.52</v>
      </c>
    </row>
    <row r="1643" spans="1:4">
      <c r="A1643" s="3536">
        <v>1642</v>
      </c>
      <c r="B1643" s="3481" t="s">
        <v>5192</v>
      </c>
      <c r="C1643" s="3481" t="s">
        <v>3400</v>
      </c>
      <c r="D1643" s="3482">
        <v>46.52</v>
      </c>
    </row>
    <row r="1644" spans="1:4">
      <c r="A1644" s="3536">
        <v>1643</v>
      </c>
      <c r="B1644" s="3481" t="s">
        <v>5193</v>
      </c>
      <c r="C1644" s="3481" t="s">
        <v>3400</v>
      </c>
      <c r="D1644" s="3482">
        <v>46.52</v>
      </c>
    </row>
    <row r="1645" spans="1:4">
      <c r="A1645" s="3536">
        <v>1644</v>
      </c>
      <c r="B1645" s="3481" t="s">
        <v>5194</v>
      </c>
      <c r="C1645" s="3481" t="s">
        <v>3400</v>
      </c>
      <c r="D1645" s="3482">
        <v>46.52</v>
      </c>
    </row>
    <row r="1646" spans="1:4">
      <c r="A1646" s="3536">
        <v>1645</v>
      </c>
      <c r="B1646" s="3481" t="s">
        <v>5195</v>
      </c>
      <c r="C1646" s="3481" t="s">
        <v>3400</v>
      </c>
      <c r="D1646" s="3482">
        <v>46.52</v>
      </c>
    </row>
    <row r="1647" spans="1:4">
      <c r="A1647" s="3536">
        <v>1646</v>
      </c>
      <c r="B1647" s="3481" t="s">
        <v>5196</v>
      </c>
      <c r="C1647" s="3481" t="s">
        <v>3400</v>
      </c>
      <c r="D1647" s="3482">
        <v>46.52</v>
      </c>
    </row>
    <row r="1648" spans="1:4">
      <c r="A1648" s="3536">
        <v>1647</v>
      </c>
      <c r="B1648" s="3481" t="s">
        <v>5197</v>
      </c>
      <c r="C1648" s="3481" t="s">
        <v>3400</v>
      </c>
      <c r="D1648" s="3482">
        <v>46.52</v>
      </c>
    </row>
    <row r="1649" spans="1:4">
      <c r="A1649" s="3536">
        <v>1648</v>
      </c>
      <c r="B1649" s="3481" t="s">
        <v>5198</v>
      </c>
      <c r="C1649" s="3481" t="s">
        <v>3400</v>
      </c>
      <c r="D1649" s="3482">
        <v>46.52</v>
      </c>
    </row>
    <row r="1650" spans="1:4">
      <c r="A1650" s="3536">
        <v>1649</v>
      </c>
      <c r="B1650" s="3481" t="s">
        <v>5199</v>
      </c>
      <c r="C1650" s="3481" t="s">
        <v>3400</v>
      </c>
      <c r="D1650" s="3482">
        <v>46.52</v>
      </c>
    </row>
    <row r="1651" spans="1:4">
      <c r="A1651" s="3536">
        <v>1650</v>
      </c>
      <c r="B1651" s="3481" t="s">
        <v>5200</v>
      </c>
      <c r="C1651" s="3481" t="s">
        <v>3400</v>
      </c>
      <c r="D1651" s="3482">
        <v>46.52</v>
      </c>
    </row>
    <row r="1652" spans="1:4">
      <c r="A1652" s="3536">
        <v>1651</v>
      </c>
      <c r="B1652" s="3481" t="s">
        <v>5201</v>
      </c>
      <c r="C1652" s="3481" t="s">
        <v>3400</v>
      </c>
      <c r="D1652" s="3482">
        <v>46.52</v>
      </c>
    </row>
    <row r="1653" spans="1:4">
      <c r="A1653" s="3536">
        <v>1652</v>
      </c>
      <c r="B1653" s="3481" t="s">
        <v>5202</v>
      </c>
      <c r="C1653" s="3481" t="s">
        <v>3400</v>
      </c>
      <c r="D1653" s="3482">
        <v>46.52</v>
      </c>
    </row>
    <row r="1654" spans="1:4">
      <c r="A1654" s="3536">
        <v>1653</v>
      </c>
      <c r="B1654" s="3481" t="s">
        <v>5203</v>
      </c>
      <c r="C1654" s="3481" t="s">
        <v>3400</v>
      </c>
      <c r="D1654" s="3482">
        <v>46.52</v>
      </c>
    </row>
    <row r="1655" spans="1:4">
      <c r="A1655" s="3536">
        <v>1654</v>
      </c>
      <c r="B1655" s="3481" t="s">
        <v>5204</v>
      </c>
      <c r="C1655" s="3481" t="s">
        <v>3400</v>
      </c>
      <c r="D1655" s="3482">
        <v>46.52</v>
      </c>
    </row>
    <row r="1656" spans="1:4">
      <c r="A1656" s="3536">
        <v>1655</v>
      </c>
      <c r="B1656" s="3481" t="s">
        <v>5205</v>
      </c>
      <c r="C1656" s="3481" t="s">
        <v>3400</v>
      </c>
      <c r="D1656" s="3482">
        <v>46.52</v>
      </c>
    </row>
    <row r="1657" spans="1:4">
      <c r="A1657" s="3536">
        <v>1656</v>
      </c>
      <c r="B1657" s="3481" t="s">
        <v>5206</v>
      </c>
      <c r="C1657" s="3481" t="s">
        <v>3400</v>
      </c>
      <c r="D1657" s="3482">
        <v>46.52</v>
      </c>
    </row>
    <row r="1658" spans="1:4">
      <c r="A1658" s="3536">
        <v>1657</v>
      </c>
      <c r="B1658" s="3481" t="s">
        <v>5207</v>
      </c>
      <c r="C1658" s="3481" t="s">
        <v>3400</v>
      </c>
      <c r="D1658" s="3482">
        <v>46.52</v>
      </c>
    </row>
    <row r="1659" spans="1:4">
      <c r="A1659" s="3536">
        <v>1658</v>
      </c>
      <c r="B1659" s="3481" t="s">
        <v>5208</v>
      </c>
      <c r="C1659" s="3481" t="s">
        <v>3400</v>
      </c>
      <c r="D1659" s="3482">
        <v>46.52</v>
      </c>
    </row>
    <row r="1660" spans="1:4">
      <c r="A1660" s="3536">
        <v>1659</v>
      </c>
      <c r="B1660" s="3481" t="s">
        <v>5209</v>
      </c>
      <c r="C1660" s="3481" t="s">
        <v>3400</v>
      </c>
      <c r="D1660" s="3482">
        <v>46.52</v>
      </c>
    </row>
    <row r="1661" spans="1:4">
      <c r="A1661" s="3536">
        <v>1660</v>
      </c>
      <c r="B1661" s="3481" t="s">
        <v>5210</v>
      </c>
      <c r="C1661" s="3481" t="s">
        <v>3400</v>
      </c>
      <c r="D1661" s="3482">
        <v>46.52</v>
      </c>
    </row>
    <row r="1662" spans="1:4">
      <c r="A1662" s="3536">
        <v>1661</v>
      </c>
      <c r="B1662" s="3481" t="s">
        <v>5211</v>
      </c>
      <c r="C1662" s="3481" t="s">
        <v>3400</v>
      </c>
      <c r="D1662" s="3482">
        <v>46.52</v>
      </c>
    </row>
    <row r="1663" spans="1:4">
      <c r="A1663" s="3536">
        <v>1662</v>
      </c>
      <c r="B1663" s="3481" t="s">
        <v>5212</v>
      </c>
      <c r="C1663" s="3481" t="s">
        <v>3400</v>
      </c>
      <c r="D1663" s="3482">
        <v>46.52</v>
      </c>
    </row>
    <row r="1664" spans="1:4">
      <c r="A1664" s="3536">
        <v>1663</v>
      </c>
      <c r="B1664" s="3481" t="s">
        <v>5213</v>
      </c>
      <c r="C1664" s="3481" t="s">
        <v>3400</v>
      </c>
      <c r="D1664" s="3482">
        <v>46.52</v>
      </c>
    </row>
    <row r="1665" spans="1:4">
      <c r="A1665" s="3536">
        <v>1664</v>
      </c>
      <c r="B1665" s="3481" t="s">
        <v>5214</v>
      </c>
      <c r="C1665" s="3481" t="s">
        <v>3400</v>
      </c>
      <c r="D1665" s="3482">
        <v>46.52</v>
      </c>
    </row>
    <row r="1666" spans="1:4">
      <c r="A1666" s="3536">
        <v>1665</v>
      </c>
      <c r="B1666" s="3481" t="s">
        <v>5215</v>
      </c>
      <c r="C1666" s="3481" t="s">
        <v>3400</v>
      </c>
      <c r="D1666" s="3482">
        <v>46.52</v>
      </c>
    </row>
    <row r="1667" spans="1:4">
      <c r="A1667" s="3536">
        <v>1666</v>
      </c>
      <c r="B1667" s="3481" t="s">
        <v>5216</v>
      </c>
      <c r="C1667" s="3481" t="s">
        <v>3400</v>
      </c>
      <c r="D1667" s="3482">
        <v>46.52</v>
      </c>
    </row>
    <row r="1668" spans="1:4">
      <c r="A1668" s="3536">
        <v>1667</v>
      </c>
      <c r="B1668" s="3481" t="s">
        <v>5217</v>
      </c>
      <c r="C1668" s="3481" t="s">
        <v>3400</v>
      </c>
      <c r="D1668" s="3482">
        <v>46.52</v>
      </c>
    </row>
    <row r="1669" spans="1:4">
      <c r="A1669" s="3536">
        <v>1668</v>
      </c>
      <c r="B1669" s="3481" t="s">
        <v>5218</v>
      </c>
      <c r="C1669" s="3481" t="s">
        <v>3400</v>
      </c>
      <c r="D1669" s="3482">
        <v>46.52</v>
      </c>
    </row>
    <row r="1670" spans="1:4">
      <c r="A1670" s="3536">
        <v>1669</v>
      </c>
      <c r="B1670" s="3481" t="s">
        <v>5219</v>
      </c>
      <c r="C1670" s="3481" t="s">
        <v>3400</v>
      </c>
      <c r="D1670" s="3482">
        <v>46.52</v>
      </c>
    </row>
    <row r="1671" spans="1:4">
      <c r="A1671" s="3536">
        <v>1670</v>
      </c>
      <c r="B1671" s="3481" t="s">
        <v>5220</v>
      </c>
      <c r="C1671" s="3481" t="s">
        <v>3400</v>
      </c>
      <c r="D1671" s="3482">
        <v>46.52</v>
      </c>
    </row>
    <row r="1672" spans="1:4">
      <c r="A1672" s="3536">
        <v>1671</v>
      </c>
      <c r="B1672" s="3481" t="s">
        <v>5221</v>
      </c>
      <c r="C1672" s="3481" t="s">
        <v>3400</v>
      </c>
      <c r="D1672" s="3482">
        <v>46.52</v>
      </c>
    </row>
    <row r="1673" spans="1:4">
      <c r="A1673" s="3536">
        <v>1672</v>
      </c>
      <c r="B1673" s="3481" t="s">
        <v>5222</v>
      </c>
      <c r="C1673" s="3481" t="s">
        <v>3400</v>
      </c>
      <c r="D1673" s="3482">
        <v>46.52</v>
      </c>
    </row>
    <row r="1674" spans="1:4">
      <c r="A1674" s="3536">
        <v>1673</v>
      </c>
      <c r="B1674" s="3481" t="s">
        <v>5223</v>
      </c>
      <c r="C1674" s="3481" t="s">
        <v>3400</v>
      </c>
      <c r="D1674" s="3482">
        <v>46.52</v>
      </c>
    </row>
    <row r="1675" spans="1:4">
      <c r="A1675" s="3536">
        <v>1674</v>
      </c>
      <c r="B1675" s="3481" t="s">
        <v>5224</v>
      </c>
      <c r="C1675" s="3481" t="s">
        <v>3400</v>
      </c>
      <c r="D1675" s="3482">
        <v>46.52</v>
      </c>
    </row>
    <row r="1676" spans="1:4">
      <c r="A1676" s="3536">
        <v>1675</v>
      </c>
      <c r="B1676" s="3481" t="s">
        <v>5225</v>
      </c>
      <c r="C1676" s="3481" t="s">
        <v>3400</v>
      </c>
      <c r="D1676" s="3482">
        <v>46.52</v>
      </c>
    </row>
    <row r="1677" spans="1:4">
      <c r="A1677" s="3536">
        <v>1676</v>
      </c>
      <c r="B1677" s="3481" t="s">
        <v>5226</v>
      </c>
      <c r="C1677" s="3481" t="s">
        <v>3400</v>
      </c>
      <c r="D1677" s="3482">
        <v>46.52</v>
      </c>
    </row>
    <row r="1678" spans="1:4">
      <c r="A1678" s="3536">
        <v>1677</v>
      </c>
      <c r="B1678" s="3481" t="s">
        <v>5227</v>
      </c>
      <c r="C1678" s="3481" t="s">
        <v>3400</v>
      </c>
      <c r="D1678" s="3482">
        <v>46.52</v>
      </c>
    </row>
    <row r="1679" spans="1:4">
      <c r="A1679" s="3536">
        <v>1678</v>
      </c>
      <c r="B1679" s="3481" t="s">
        <v>5228</v>
      </c>
      <c r="C1679" s="3481" t="s">
        <v>3400</v>
      </c>
      <c r="D1679" s="3482">
        <v>46.52</v>
      </c>
    </row>
    <row r="1680" spans="1:4">
      <c r="A1680" s="3536">
        <v>1679</v>
      </c>
      <c r="B1680" s="3481" t="s">
        <v>5229</v>
      </c>
      <c r="C1680" s="3481" t="s">
        <v>3400</v>
      </c>
      <c r="D1680" s="3482">
        <v>46.52</v>
      </c>
    </row>
    <row r="1681" spans="1:4">
      <c r="A1681" s="3536">
        <v>1680</v>
      </c>
      <c r="B1681" s="3481" t="s">
        <v>5230</v>
      </c>
      <c r="C1681" s="3481" t="s">
        <v>3400</v>
      </c>
      <c r="D1681" s="3482">
        <v>46.52</v>
      </c>
    </row>
    <row r="1682" spans="1:4">
      <c r="A1682" s="3536">
        <v>1681</v>
      </c>
      <c r="B1682" s="3481" t="s">
        <v>5231</v>
      </c>
      <c r="C1682" s="3481" t="s">
        <v>3400</v>
      </c>
      <c r="D1682" s="3482">
        <v>46.52</v>
      </c>
    </row>
    <row r="1683" spans="1:4">
      <c r="A1683" s="3536">
        <v>1682</v>
      </c>
      <c r="B1683" s="3481" t="s">
        <v>5232</v>
      </c>
      <c r="C1683" s="3481" t="s">
        <v>3400</v>
      </c>
      <c r="D1683" s="3482">
        <v>46.52</v>
      </c>
    </row>
    <row r="1684" spans="1:4">
      <c r="A1684" s="3536">
        <v>1683</v>
      </c>
      <c r="B1684" s="3481" t="s">
        <v>5233</v>
      </c>
      <c r="C1684" s="3481" t="s">
        <v>3400</v>
      </c>
      <c r="D1684" s="3482">
        <v>46.52</v>
      </c>
    </row>
    <row r="1685" spans="1:4">
      <c r="A1685" s="3536">
        <v>1684</v>
      </c>
      <c r="B1685" s="3481" t="s">
        <v>5234</v>
      </c>
      <c r="C1685" s="3481" t="s">
        <v>3400</v>
      </c>
      <c r="D1685" s="3482">
        <v>46.52</v>
      </c>
    </row>
    <row r="1686" spans="1:4">
      <c r="A1686" s="3536">
        <v>1685</v>
      </c>
      <c r="B1686" s="3481" t="s">
        <v>5235</v>
      </c>
      <c r="C1686" s="3481" t="s">
        <v>3400</v>
      </c>
      <c r="D1686" s="3482">
        <v>46.52</v>
      </c>
    </row>
    <row r="1687" spans="1:4">
      <c r="A1687" s="3536">
        <v>1686</v>
      </c>
      <c r="B1687" s="3481" t="s">
        <v>5236</v>
      </c>
      <c r="C1687" s="3481" t="s">
        <v>3400</v>
      </c>
      <c r="D1687" s="3482">
        <v>46.52</v>
      </c>
    </row>
    <row r="1688" spans="1:4">
      <c r="A1688" s="3536">
        <v>1687</v>
      </c>
      <c r="B1688" s="3481" t="s">
        <v>5237</v>
      </c>
      <c r="C1688" s="3481" t="s">
        <v>3400</v>
      </c>
      <c r="D1688" s="3482">
        <v>46.52</v>
      </c>
    </row>
    <row r="1689" spans="1:4">
      <c r="A1689" s="3536">
        <v>1688</v>
      </c>
      <c r="B1689" s="3481" t="s">
        <v>5238</v>
      </c>
      <c r="C1689" s="3481" t="s">
        <v>3400</v>
      </c>
      <c r="D1689" s="3482">
        <v>46.52</v>
      </c>
    </row>
    <row r="1690" spans="1:4">
      <c r="A1690" s="3536">
        <v>1689</v>
      </c>
      <c r="B1690" s="3481" t="s">
        <v>5239</v>
      </c>
      <c r="C1690" s="3481" t="s">
        <v>3400</v>
      </c>
      <c r="D1690" s="3482">
        <v>46.52</v>
      </c>
    </row>
    <row r="1691" spans="1:4">
      <c r="A1691" s="3536">
        <v>1690</v>
      </c>
      <c r="B1691" s="3481" t="s">
        <v>5240</v>
      </c>
      <c r="C1691" s="3481" t="s">
        <v>3400</v>
      </c>
      <c r="D1691" s="3482">
        <v>46.52</v>
      </c>
    </row>
    <row r="1692" spans="1:4">
      <c r="A1692" s="3536">
        <v>1691</v>
      </c>
      <c r="B1692" s="3481" t="s">
        <v>5241</v>
      </c>
      <c r="C1692" s="3481" t="s">
        <v>3400</v>
      </c>
      <c r="D1692" s="3482">
        <v>46.52</v>
      </c>
    </row>
    <row r="1693" spans="1:4">
      <c r="A1693" s="3536">
        <v>1692</v>
      </c>
      <c r="B1693" s="3481" t="s">
        <v>5242</v>
      </c>
      <c r="C1693" s="3481" t="s">
        <v>3400</v>
      </c>
      <c r="D1693" s="3482">
        <v>46.52</v>
      </c>
    </row>
    <row r="1694" spans="1:4">
      <c r="A1694" s="3536">
        <v>1693</v>
      </c>
      <c r="B1694" s="3481" t="s">
        <v>5243</v>
      </c>
      <c r="C1694" s="3481" t="s">
        <v>3400</v>
      </c>
      <c r="D1694" s="3482">
        <v>46.52</v>
      </c>
    </row>
    <row r="1695" spans="1:4">
      <c r="A1695" s="3536">
        <v>1694</v>
      </c>
      <c r="B1695" s="3481" t="s">
        <v>5244</v>
      </c>
      <c r="C1695" s="3481" t="s">
        <v>3400</v>
      </c>
      <c r="D1695" s="3482">
        <v>46.52</v>
      </c>
    </row>
    <row r="1696" spans="1:4">
      <c r="A1696" s="3536">
        <v>1695</v>
      </c>
      <c r="B1696" s="3481" t="s">
        <v>5245</v>
      </c>
      <c r="C1696" s="3481" t="s">
        <v>3400</v>
      </c>
      <c r="D1696" s="3482">
        <v>46.52</v>
      </c>
    </row>
    <row r="1697" spans="1:4">
      <c r="A1697" s="3536">
        <v>1696</v>
      </c>
      <c r="B1697" s="3481" t="s">
        <v>5246</v>
      </c>
      <c r="C1697" s="3481" t="s">
        <v>3400</v>
      </c>
      <c r="D1697" s="3482">
        <v>46.52</v>
      </c>
    </row>
    <row r="1698" spans="1:4">
      <c r="A1698" s="3536">
        <v>1697</v>
      </c>
      <c r="B1698" s="3481" t="s">
        <v>5247</v>
      </c>
      <c r="C1698" s="3481" t="s">
        <v>3400</v>
      </c>
      <c r="D1698" s="3482">
        <v>46.52</v>
      </c>
    </row>
    <row r="1699" spans="1:4">
      <c r="A1699" s="3536">
        <v>1698</v>
      </c>
      <c r="B1699" s="3481" t="s">
        <v>5248</v>
      </c>
      <c r="C1699" s="3481" t="s">
        <v>3400</v>
      </c>
      <c r="D1699" s="3482">
        <v>46.52</v>
      </c>
    </row>
    <row r="1700" spans="1:4">
      <c r="A1700" s="3536">
        <v>1699</v>
      </c>
      <c r="B1700" s="3481" t="s">
        <v>5249</v>
      </c>
      <c r="C1700" s="3481" t="s">
        <v>3400</v>
      </c>
      <c r="D1700" s="3482">
        <v>46.52</v>
      </c>
    </row>
    <row r="1701" spans="1:4">
      <c r="A1701" s="3536">
        <v>1700</v>
      </c>
      <c r="B1701" s="3481" t="s">
        <v>5250</v>
      </c>
      <c r="C1701" s="3481" t="s">
        <v>3400</v>
      </c>
      <c r="D1701" s="3482">
        <v>46.52</v>
      </c>
    </row>
    <row r="1702" spans="1:4">
      <c r="A1702" s="3536">
        <v>1701</v>
      </c>
      <c r="B1702" s="3481" t="s">
        <v>5251</v>
      </c>
      <c r="C1702" s="3481" t="s">
        <v>3400</v>
      </c>
      <c r="D1702" s="3482">
        <v>46.52</v>
      </c>
    </row>
    <row r="1703" spans="1:4">
      <c r="A1703" s="3536">
        <v>1702</v>
      </c>
      <c r="B1703" s="3481" t="s">
        <v>5252</v>
      </c>
      <c r="C1703" s="3481" t="s">
        <v>3400</v>
      </c>
      <c r="D1703" s="3482">
        <v>46.52</v>
      </c>
    </row>
    <row r="1704" spans="1:4">
      <c r="A1704" s="3536">
        <v>1703</v>
      </c>
      <c r="B1704" s="3481" t="s">
        <v>5253</v>
      </c>
      <c r="C1704" s="3481" t="s">
        <v>3400</v>
      </c>
      <c r="D1704" s="3482">
        <v>46.52</v>
      </c>
    </row>
    <row r="1705" spans="1:4">
      <c r="A1705" s="3536">
        <v>1704</v>
      </c>
      <c r="B1705" s="3481" t="s">
        <v>5254</v>
      </c>
      <c r="C1705" s="3481" t="s">
        <v>3400</v>
      </c>
      <c r="D1705" s="3482">
        <v>46.52</v>
      </c>
    </row>
    <row r="1706" spans="1:4">
      <c r="A1706" s="3536">
        <v>1705</v>
      </c>
      <c r="B1706" s="3481" t="s">
        <v>5255</v>
      </c>
      <c r="C1706" s="3481" t="s">
        <v>3400</v>
      </c>
      <c r="D1706" s="3482">
        <v>46.52</v>
      </c>
    </row>
    <row r="1707" spans="1:4">
      <c r="A1707" s="3536">
        <v>1706</v>
      </c>
      <c r="B1707" s="3481" t="s">
        <v>5256</v>
      </c>
      <c r="C1707" s="3481" t="s">
        <v>3400</v>
      </c>
      <c r="D1707" s="3482">
        <v>46.52</v>
      </c>
    </row>
    <row r="1708" spans="1:4">
      <c r="A1708" s="3536">
        <v>1707</v>
      </c>
      <c r="B1708" s="3481" t="s">
        <v>5257</v>
      </c>
      <c r="C1708" s="3481" t="s">
        <v>3400</v>
      </c>
      <c r="D1708" s="3482">
        <v>46.52</v>
      </c>
    </row>
    <row r="1709" spans="1:4">
      <c r="A1709" s="3536">
        <v>1708</v>
      </c>
      <c r="B1709" s="3481" t="s">
        <v>5258</v>
      </c>
      <c r="C1709" s="3481" t="s">
        <v>3400</v>
      </c>
      <c r="D1709" s="3482">
        <v>46.52</v>
      </c>
    </row>
    <row r="1710" spans="1:4">
      <c r="A1710" s="3536">
        <v>1709</v>
      </c>
      <c r="B1710" s="3481" t="s">
        <v>5259</v>
      </c>
      <c r="C1710" s="3481" t="s">
        <v>3400</v>
      </c>
      <c r="D1710" s="3482">
        <v>46.52</v>
      </c>
    </row>
    <row r="1711" spans="1:4">
      <c r="A1711" s="3536">
        <v>1710</v>
      </c>
      <c r="B1711" s="3481" t="s">
        <v>5260</v>
      </c>
      <c r="C1711" s="3481" t="s">
        <v>3400</v>
      </c>
      <c r="D1711" s="3482">
        <v>46.52</v>
      </c>
    </row>
    <row r="1712" spans="1:4">
      <c r="A1712" s="3536">
        <v>1711</v>
      </c>
      <c r="B1712" s="3481" t="s">
        <v>5261</v>
      </c>
      <c r="C1712" s="3481" t="s">
        <v>3400</v>
      </c>
      <c r="D1712" s="3482">
        <v>46.52</v>
      </c>
    </row>
    <row r="1713" spans="1:4">
      <c r="A1713" s="3536">
        <v>1712</v>
      </c>
      <c r="B1713" s="3481" t="s">
        <v>5262</v>
      </c>
      <c r="C1713" s="3481" t="s">
        <v>3400</v>
      </c>
      <c r="D1713" s="3482">
        <v>46.52</v>
      </c>
    </row>
    <row r="1714" spans="1:4">
      <c r="A1714" s="3536">
        <v>1713</v>
      </c>
      <c r="B1714" s="3481" t="s">
        <v>5263</v>
      </c>
      <c r="C1714" s="3481" t="s">
        <v>3400</v>
      </c>
      <c r="D1714" s="3482">
        <v>46.52</v>
      </c>
    </row>
    <row r="1715" spans="1:4">
      <c r="A1715" s="3536">
        <v>1714</v>
      </c>
      <c r="B1715" s="3481" t="s">
        <v>5264</v>
      </c>
      <c r="C1715" s="3481" t="s">
        <v>3400</v>
      </c>
      <c r="D1715" s="3482">
        <v>46.52</v>
      </c>
    </row>
    <row r="1716" spans="1:4">
      <c r="A1716" s="3536">
        <v>1715</v>
      </c>
      <c r="B1716" s="3481" t="s">
        <v>5265</v>
      </c>
      <c r="C1716" s="3481" t="s">
        <v>3400</v>
      </c>
      <c r="D1716" s="3482">
        <v>23.26</v>
      </c>
    </row>
    <row r="1717" spans="1:4">
      <c r="A1717" s="3536">
        <v>1716</v>
      </c>
      <c r="B1717" s="3481" t="s">
        <v>5266</v>
      </c>
      <c r="C1717" s="3481" t="s">
        <v>3400</v>
      </c>
      <c r="D1717" s="3482">
        <v>23.26</v>
      </c>
    </row>
    <row r="1718" spans="1:4">
      <c r="A1718" s="3536">
        <v>1717</v>
      </c>
      <c r="B1718" s="3481" t="s">
        <v>5267</v>
      </c>
      <c r="C1718" s="3481" t="s">
        <v>3400</v>
      </c>
      <c r="D1718" s="3482">
        <v>23.26</v>
      </c>
    </row>
    <row r="1719" spans="1:4">
      <c r="A1719" s="3536">
        <v>1718</v>
      </c>
      <c r="B1719" s="3481" t="s">
        <v>5268</v>
      </c>
      <c r="C1719" s="3481" t="s">
        <v>3400</v>
      </c>
      <c r="D1719" s="3482">
        <v>23.26</v>
      </c>
    </row>
    <row r="1720" spans="1:4">
      <c r="A1720" s="3536">
        <v>1719</v>
      </c>
      <c r="B1720" s="3481" t="s">
        <v>5269</v>
      </c>
      <c r="C1720" s="3481" t="s">
        <v>3400</v>
      </c>
      <c r="D1720" s="3482">
        <v>23.26</v>
      </c>
    </row>
    <row r="1721" spans="1:4">
      <c r="A1721" s="3536">
        <v>1720</v>
      </c>
      <c r="B1721" s="3481" t="s">
        <v>5270</v>
      </c>
      <c r="C1721" s="3481" t="s">
        <v>3400</v>
      </c>
      <c r="D1721" s="3482">
        <v>21.15</v>
      </c>
    </row>
    <row r="1722" spans="1:4">
      <c r="A1722" s="3536">
        <v>1721</v>
      </c>
      <c r="B1722" s="3481" t="s">
        <v>5271</v>
      </c>
      <c r="C1722" s="3481" t="s">
        <v>3400</v>
      </c>
      <c r="D1722" s="3482">
        <v>21.15</v>
      </c>
    </row>
    <row r="1723" spans="1:4">
      <c r="A1723" s="3536">
        <v>1722</v>
      </c>
      <c r="B1723" s="3481" t="s">
        <v>5272</v>
      </c>
      <c r="C1723" s="3481" t="s">
        <v>3400</v>
      </c>
      <c r="D1723" s="3482">
        <v>23.26</v>
      </c>
    </row>
    <row r="1724" spans="1:4">
      <c r="A1724" s="3536">
        <v>1723</v>
      </c>
      <c r="B1724" s="3481" t="s">
        <v>5273</v>
      </c>
      <c r="C1724" s="3481" t="s">
        <v>3400</v>
      </c>
      <c r="D1724" s="3482">
        <v>23.26</v>
      </c>
    </row>
    <row r="1725" spans="1:4">
      <c r="A1725" s="3536">
        <v>1724</v>
      </c>
      <c r="B1725" s="3481" t="s">
        <v>5274</v>
      </c>
      <c r="C1725" s="3481" t="s">
        <v>3400</v>
      </c>
      <c r="D1725" s="3482">
        <v>23.26</v>
      </c>
    </row>
    <row r="1726" spans="1:4">
      <c r="A1726" s="3536">
        <v>1725</v>
      </c>
      <c r="B1726" s="3481" t="s">
        <v>5275</v>
      </c>
      <c r="C1726" s="3481" t="s">
        <v>3400</v>
      </c>
      <c r="D1726" s="3482">
        <v>23.26</v>
      </c>
    </row>
    <row r="1727" spans="1:4">
      <c r="A1727" s="3536">
        <v>1726</v>
      </c>
      <c r="B1727" s="3481" t="s">
        <v>5276</v>
      </c>
      <c r="C1727" s="3481" t="s">
        <v>3400</v>
      </c>
      <c r="D1727" s="3482">
        <v>23.26</v>
      </c>
    </row>
    <row r="1728" spans="1:4">
      <c r="A1728" s="3536">
        <v>1727</v>
      </c>
      <c r="B1728" s="3481" t="s">
        <v>5277</v>
      </c>
      <c r="C1728" s="3481" t="s">
        <v>3400</v>
      </c>
      <c r="D1728" s="3482">
        <v>23.26</v>
      </c>
    </row>
    <row r="1729" spans="1:4">
      <c r="A1729" s="3536">
        <v>1728</v>
      </c>
      <c r="B1729" s="3481" t="s">
        <v>5278</v>
      </c>
      <c r="C1729" s="3481" t="s">
        <v>3400</v>
      </c>
      <c r="D1729" s="3482">
        <v>23.26</v>
      </c>
    </row>
    <row r="1730" spans="1:4">
      <c r="A1730" s="3536">
        <v>1729</v>
      </c>
      <c r="B1730" s="3481" t="s">
        <v>5279</v>
      </c>
      <c r="C1730" s="3481" t="s">
        <v>3400</v>
      </c>
      <c r="D1730" s="3482">
        <v>23.26</v>
      </c>
    </row>
    <row r="1731" spans="1:4">
      <c r="A1731" s="3536">
        <v>1730</v>
      </c>
      <c r="B1731" s="3481" t="s">
        <v>5280</v>
      </c>
      <c r="C1731" s="3481" t="s">
        <v>3400</v>
      </c>
      <c r="D1731" s="3482">
        <v>23.26</v>
      </c>
    </row>
    <row r="1732" spans="1:4">
      <c r="A1732" s="3536">
        <v>1731</v>
      </c>
      <c r="B1732" s="3481" t="s">
        <v>5281</v>
      </c>
      <c r="C1732" s="3481" t="s">
        <v>3400</v>
      </c>
      <c r="D1732" s="3482">
        <v>23.26</v>
      </c>
    </row>
    <row r="1733" spans="1:4">
      <c r="A1733" s="3536">
        <v>1732</v>
      </c>
      <c r="B1733" s="3481" t="s">
        <v>5282</v>
      </c>
      <c r="C1733" s="3481" t="s">
        <v>3400</v>
      </c>
      <c r="D1733" s="3482">
        <v>23.26</v>
      </c>
    </row>
    <row r="1734" spans="1:4">
      <c r="A1734" s="3536">
        <v>1733</v>
      </c>
      <c r="B1734" s="3481" t="s">
        <v>5283</v>
      </c>
      <c r="C1734" s="3481" t="s">
        <v>3400</v>
      </c>
      <c r="D1734" s="3482">
        <v>23.26</v>
      </c>
    </row>
    <row r="1735" spans="1:4">
      <c r="A1735" s="3536">
        <v>1734</v>
      </c>
      <c r="B1735" s="3481" t="s">
        <v>5284</v>
      </c>
      <c r="C1735" s="3481" t="s">
        <v>3400</v>
      </c>
      <c r="D1735" s="3482">
        <v>23.26</v>
      </c>
    </row>
    <row r="1736" spans="1:4">
      <c r="A1736" s="3536">
        <v>1735</v>
      </c>
      <c r="B1736" s="3481" t="s">
        <v>5285</v>
      </c>
      <c r="C1736" s="3481" t="s">
        <v>3400</v>
      </c>
      <c r="D1736" s="3482">
        <v>23.26</v>
      </c>
    </row>
    <row r="1737" spans="1:4">
      <c r="A1737" s="3536">
        <v>1736</v>
      </c>
      <c r="B1737" s="3481" t="s">
        <v>5286</v>
      </c>
      <c r="C1737" s="3481" t="s">
        <v>3400</v>
      </c>
      <c r="D1737" s="3482">
        <v>23.26</v>
      </c>
    </row>
    <row r="1738" spans="1:4">
      <c r="A1738" s="3536">
        <v>1737</v>
      </c>
      <c r="B1738" s="3481" t="s">
        <v>5287</v>
      </c>
      <c r="C1738" s="3481" t="s">
        <v>3400</v>
      </c>
      <c r="D1738" s="3482">
        <v>23.26</v>
      </c>
    </row>
    <row r="1739" spans="1:4">
      <c r="A1739" s="3536">
        <v>1738</v>
      </c>
      <c r="B1739" s="3481" t="s">
        <v>5288</v>
      </c>
      <c r="C1739" s="3481" t="s">
        <v>3400</v>
      </c>
      <c r="D1739" s="3482">
        <v>23.26</v>
      </c>
    </row>
    <row r="1740" spans="1:4">
      <c r="A1740" s="3536">
        <v>1739</v>
      </c>
      <c r="B1740" s="3481" t="s">
        <v>5289</v>
      </c>
      <c r="C1740" s="3481" t="s">
        <v>3400</v>
      </c>
      <c r="D1740" s="3482">
        <v>23.26</v>
      </c>
    </row>
    <row r="1741" spans="1:4">
      <c r="A1741" s="3536">
        <v>1740</v>
      </c>
      <c r="B1741" s="3481" t="s">
        <v>5290</v>
      </c>
      <c r="C1741" s="3481" t="s">
        <v>3400</v>
      </c>
      <c r="D1741" s="3482">
        <v>23.26</v>
      </c>
    </row>
    <row r="1742" spans="1:4">
      <c r="A1742" s="3536">
        <v>1741</v>
      </c>
      <c r="B1742" s="3481" t="s">
        <v>5291</v>
      </c>
      <c r="C1742" s="3481" t="s">
        <v>3400</v>
      </c>
      <c r="D1742" s="3482">
        <v>23.26</v>
      </c>
    </row>
    <row r="1743" spans="1:4">
      <c r="A1743" s="3536">
        <v>1742</v>
      </c>
      <c r="B1743" s="3481" t="s">
        <v>5292</v>
      </c>
      <c r="C1743" s="3481" t="s">
        <v>3400</v>
      </c>
      <c r="D1743" s="3482">
        <v>23.26</v>
      </c>
    </row>
    <row r="1744" spans="1:4">
      <c r="A1744" s="3536">
        <v>1743</v>
      </c>
      <c r="B1744" s="3481" t="s">
        <v>5293</v>
      </c>
      <c r="C1744" s="3481" t="s">
        <v>3400</v>
      </c>
      <c r="D1744" s="3482">
        <v>23.26</v>
      </c>
    </row>
    <row r="1745" spans="1:4">
      <c r="A1745" s="3536">
        <v>1744</v>
      </c>
      <c r="B1745" s="3481" t="s">
        <v>5294</v>
      </c>
      <c r="C1745" s="3481" t="s">
        <v>3400</v>
      </c>
      <c r="D1745" s="3482">
        <v>23.26</v>
      </c>
    </row>
    <row r="1746" spans="1:4">
      <c r="A1746" s="3536">
        <v>1745</v>
      </c>
      <c r="B1746" s="3481" t="s">
        <v>5295</v>
      </c>
      <c r="C1746" s="3481" t="s">
        <v>3400</v>
      </c>
      <c r="D1746" s="3482">
        <v>23.26</v>
      </c>
    </row>
    <row r="1747" spans="1:4">
      <c r="A1747" s="3536">
        <v>1746</v>
      </c>
      <c r="B1747" s="3481" t="s">
        <v>5296</v>
      </c>
      <c r="C1747" s="3481" t="s">
        <v>3400</v>
      </c>
      <c r="D1747" s="3482">
        <v>23.26</v>
      </c>
    </row>
    <row r="1748" spans="1:4">
      <c r="A1748" s="3536">
        <v>1747</v>
      </c>
      <c r="B1748" s="3481" t="s">
        <v>5297</v>
      </c>
      <c r="C1748" s="3481" t="s">
        <v>3400</v>
      </c>
      <c r="D1748" s="3482">
        <v>23.26</v>
      </c>
    </row>
    <row r="1749" spans="1:4">
      <c r="A1749" s="3536">
        <v>1748</v>
      </c>
      <c r="B1749" s="3481" t="s">
        <v>5298</v>
      </c>
      <c r="C1749" s="3481" t="s">
        <v>3400</v>
      </c>
      <c r="D1749" s="3482">
        <v>23.26</v>
      </c>
    </row>
    <row r="1750" spans="1:4">
      <c r="A1750" s="3536">
        <v>1749</v>
      </c>
      <c r="B1750" s="3481" t="s">
        <v>5299</v>
      </c>
      <c r="C1750" s="3481" t="s">
        <v>3400</v>
      </c>
      <c r="D1750" s="3482">
        <v>23.26</v>
      </c>
    </row>
    <row r="1751" spans="1:4">
      <c r="A1751" s="3536">
        <v>1750</v>
      </c>
      <c r="B1751" s="3481" t="s">
        <v>5300</v>
      </c>
      <c r="C1751" s="3481" t="s">
        <v>3400</v>
      </c>
      <c r="D1751" s="3482">
        <v>23.26</v>
      </c>
    </row>
    <row r="1752" spans="1:4">
      <c r="A1752" s="3536">
        <v>1751</v>
      </c>
      <c r="B1752" s="3481" t="s">
        <v>5301</v>
      </c>
      <c r="C1752" s="3481" t="s">
        <v>3400</v>
      </c>
      <c r="D1752" s="3482">
        <v>23.26</v>
      </c>
    </row>
    <row r="1753" spans="1:4">
      <c r="A1753" s="3536">
        <v>1752</v>
      </c>
      <c r="B1753" s="3481" t="s">
        <v>5302</v>
      </c>
      <c r="C1753" s="3481" t="s">
        <v>3400</v>
      </c>
      <c r="D1753" s="3482">
        <v>23.26</v>
      </c>
    </row>
    <row r="1754" spans="1:4">
      <c r="A1754" s="3536">
        <v>1753</v>
      </c>
      <c r="B1754" s="3481" t="s">
        <v>5303</v>
      </c>
      <c r="C1754" s="3481" t="s">
        <v>3400</v>
      </c>
      <c r="D1754" s="3482">
        <v>23.26</v>
      </c>
    </row>
    <row r="1755" spans="1:4">
      <c r="A1755" s="3536">
        <v>1754</v>
      </c>
      <c r="B1755" s="3481" t="s">
        <v>5304</v>
      </c>
      <c r="C1755" s="3481" t="s">
        <v>3400</v>
      </c>
      <c r="D1755" s="3482">
        <v>23.26</v>
      </c>
    </row>
    <row r="1756" spans="1:4">
      <c r="A1756" s="3536">
        <v>1755</v>
      </c>
      <c r="B1756" s="3481" t="s">
        <v>5306</v>
      </c>
      <c r="C1756" s="3481" t="s">
        <v>3400</v>
      </c>
      <c r="D1756" s="3482">
        <v>23.26</v>
      </c>
    </row>
    <row r="1757" spans="1:4">
      <c r="A1757" s="3536">
        <v>1756</v>
      </c>
      <c r="B1757" s="3481" t="s">
        <v>5307</v>
      </c>
      <c r="C1757" s="3481" t="s">
        <v>3400</v>
      </c>
      <c r="D1757" s="3482">
        <v>23.26</v>
      </c>
    </row>
    <row r="1758" spans="1:4">
      <c r="A1758" s="3536">
        <v>1757</v>
      </c>
      <c r="B1758" s="3481" t="s">
        <v>5308</v>
      </c>
      <c r="C1758" s="3481" t="s">
        <v>3400</v>
      </c>
      <c r="D1758" s="3482">
        <v>23.26</v>
      </c>
    </row>
    <row r="1759" spans="1:4">
      <c r="A1759" s="3536">
        <v>1758</v>
      </c>
      <c r="B1759" s="3481" t="s">
        <v>5309</v>
      </c>
      <c r="C1759" s="3481" t="s">
        <v>3400</v>
      </c>
      <c r="D1759" s="3482">
        <v>23.26</v>
      </c>
    </row>
    <row r="1760" spans="1:4">
      <c r="A1760" s="3536">
        <v>1759</v>
      </c>
      <c r="B1760" s="3481" t="s">
        <v>5310</v>
      </c>
      <c r="C1760" s="3481" t="s">
        <v>3400</v>
      </c>
      <c r="D1760" s="3482">
        <v>46.52</v>
      </c>
    </row>
    <row r="1761" spans="1:4">
      <c r="A1761" s="3536">
        <v>1760</v>
      </c>
      <c r="B1761" s="3481" t="s">
        <v>5311</v>
      </c>
      <c r="C1761" s="3481" t="s">
        <v>3400</v>
      </c>
      <c r="D1761" s="3482">
        <v>50.43</v>
      </c>
    </row>
    <row r="1762" spans="1:4">
      <c r="A1762" s="3536">
        <v>1761</v>
      </c>
      <c r="B1762" s="3481" t="s">
        <v>5312</v>
      </c>
      <c r="C1762" s="3481" t="s">
        <v>3400</v>
      </c>
      <c r="D1762" s="3482">
        <v>33.619999999999997</v>
      </c>
    </row>
    <row r="1763" spans="1:4">
      <c r="A1763" s="3536">
        <v>1762</v>
      </c>
      <c r="B1763" s="3481" t="s">
        <v>5313</v>
      </c>
      <c r="C1763" s="3481" t="s">
        <v>3400</v>
      </c>
      <c r="D1763" s="3482">
        <v>33.619999999999997</v>
      </c>
    </row>
    <row r="1764" spans="1:4">
      <c r="A1764" s="3536">
        <v>1763</v>
      </c>
      <c r="B1764" s="3481" t="s">
        <v>5314</v>
      </c>
      <c r="C1764" s="3481" t="s">
        <v>3400</v>
      </c>
      <c r="D1764" s="3482">
        <v>33.619999999999997</v>
      </c>
    </row>
    <row r="1765" spans="1:4">
      <c r="A1765" s="3536">
        <v>1764</v>
      </c>
      <c r="B1765" s="3481" t="s">
        <v>5315</v>
      </c>
      <c r="C1765" s="3481" t="s">
        <v>3400</v>
      </c>
      <c r="D1765" s="3482">
        <v>33.619999999999997</v>
      </c>
    </row>
    <row r="1766" spans="1:4">
      <c r="A1766" s="3536">
        <v>1765</v>
      </c>
      <c r="B1766" s="3481" t="s">
        <v>5316</v>
      </c>
      <c r="C1766" s="3481" t="s">
        <v>3400</v>
      </c>
      <c r="D1766" s="3482">
        <v>33.619999999999997</v>
      </c>
    </row>
    <row r="1767" spans="1:4">
      <c r="A1767" s="3536">
        <v>1766</v>
      </c>
      <c r="B1767" s="3481" t="s">
        <v>5317</v>
      </c>
      <c r="C1767" s="3481" t="s">
        <v>3400</v>
      </c>
      <c r="D1767" s="3482">
        <v>33.619999999999997</v>
      </c>
    </row>
    <row r="1768" spans="1:4">
      <c r="A1768" s="3536">
        <v>1767</v>
      </c>
      <c r="B1768" s="3481" t="s">
        <v>5319</v>
      </c>
      <c r="C1768" s="3481" t="s">
        <v>3400</v>
      </c>
      <c r="D1768" s="3482">
        <v>33.619999999999997</v>
      </c>
    </row>
    <row r="1769" spans="1:4">
      <c r="A1769" s="3536">
        <v>1768</v>
      </c>
      <c r="B1769" s="3481" t="s">
        <v>5320</v>
      </c>
      <c r="C1769" s="3481" t="s">
        <v>3400</v>
      </c>
      <c r="D1769" s="3482">
        <v>33.619999999999997</v>
      </c>
    </row>
    <row r="1770" spans="1:4">
      <c r="A1770" s="3536">
        <v>1769</v>
      </c>
      <c r="B1770" s="3481" t="s">
        <v>5321</v>
      </c>
      <c r="C1770" s="3481" t="s">
        <v>3400</v>
      </c>
      <c r="D1770" s="3482">
        <v>33.619999999999997</v>
      </c>
    </row>
    <row r="1771" spans="1:4">
      <c r="A1771" s="3536">
        <v>1770</v>
      </c>
      <c r="B1771" s="3481" t="s">
        <v>5322</v>
      </c>
      <c r="C1771" s="3481" t="s">
        <v>3400</v>
      </c>
      <c r="D1771" s="3482">
        <v>33.619999999999997</v>
      </c>
    </row>
    <row r="1772" spans="1:4">
      <c r="A1772" s="3536">
        <v>1771</v>
      </c>
      <c r="B1772" s="3481" t="s">
        <v>5323</v>
      </c>
      <c r="C1772" s="3481" t="s">
        <v>3400</v>
      </c>
      <c r="D1772" s="3482">
        <v>33.619999999999997</v>
      </c>
    </row>
    <row r="1773" spans="1:4">
      <c r="A1773" s="3536">
        <v>1772</v>
      </c>
      <c r="B1773" s="3481" t="s">
        <v>5324</v>
      </c>
      <c r="C1773" s="3481" t="s">
        <v>3400</v>
      </c>
      <c r="D1773" s="3482">
        <v>33.619999999999997</v>
      </c>
    </row>
    <row r="1774" spans="1:4">
      <c r="A1774" s="3536">
        <v>1773</v>
      </c>
      <c r="B1774" s="3481" t="s">
        <v>5325</v>
      </c>
      <c r="C1774" s="3481" t="s">
        <v>3400</v>
      </c>
      <c r="D1774" s="3482">
        <v>33.619999999999997</v>
      </c>
    </row>
    <row r="1775" spans="1:4">
      <c r="A1775" s="3536">
        <v>1774</v>
      </c>
      <c r="B1775" s="3481" t="s">
        <v>5326</v>
      </c>
      <c r="C1775" s="3481" t="s">
        <v>3400</v>
      </c>
      <c r="D1775" s="3482">
        <v>33.619999999999997</v>
      </c>
    </row>
    <row r="1776" spans="1:4">
      <c r="A1776" s="3536">
        <v>1775</v>
      </c>
      <c r="B1776" s="3481" t="s">
        <v>5327</v>
      </c>
      <c r="C1776" s="3481" t="s">
        <v>3400</v>
      </c>
      <c r="D1776" s="3482">
        <v>23.26</v>
      </c>
    </row>
    <row r="1777" spans="1:4">
      <c r="A1777" s="3536">
        <v>1776</v>
      </c>
      <c r="B1777" s="3481" t="s">
        <v>5328</v>
      </c>
      <c r="C1777" s="3481" t="s">
        <v>3400</v>
      </c>
      <c r="D1777" s="3482">
        <v>23.26</v>
      </c>
    </row>
    <row r="1778" spans="1:4">
      <c r="A1778" s="3536">
        <v>1777</v>
      </c>
      <c r="B1778" s="3481" t="s">
        <v>5329</v>
      </c>
      <c r="C1778" s="3481" t="s">
        <v>3400</v>
      </c>
      <c r="D1778" s="3482">
        <v>23.26</v>
      </c>
    </row>
    <row r="1779" spans="1:4">
      <c r="A1779" s="3536">
        <v>1778</v>
      </c>
      <c r="B1779" s="3481" t="s">
        <v>5330</v>
      </c>
      <c r="C1779" s="3481" t="s">
        <v>3400</v>
      </c>
      <c r="D1779" s="3482">
        <v>33.619999999999997</v>
      </c>
    </row>
    <row r="1780" spans="1:4">
      <c r="A1780" s="3536">
        <v>1779</v>
      </c>
      <c r="B1780" s="3481" t="s">
        <v>5331</v>
      </c>
      <c r="C1780" s="3481" t="s">
        <v>3400</v>
      </c>
      <c r="D1780" s="3482">
        <v>33.619999999999997</v>
      </c>
    </row>
    <row r="1781" spans="1:4">
      <c r="A1781" s="3536">
        <v>1780</v>
      </c>
      <c r="B1781" s="3481" t="s">
        <v>5332</v>
      </c>
      <c r="C1781" s="3481" t="s">
        <v>3400</v>
      </c>
      <c r="D1781" s="3482">
        <v>33.619999999999997</v>
      </c>
    </row>
    <row r="1782" spans="1:4">
      <c r="A1782" s="3536">
        <v>1781</v>
      </c>
      <c r="B1782" s="3481" t="s">
        <v>5333</v>
      </c>
      <c r="C1782" s="3481" t="s">
        <v>3400</v>
      </c>
      <c r="D1782" s="3482">
        <v>33.619999999999997</v>
      </c>
    </row>
    <row r="1783" spans="1:4">
      <c r="A1783" s="3536">
        <v>1782</v>
      </c>
      <c r="B1783" s="3481" t="s">
        <v>5334</v>
      </c>
      <c r="C1783" s="3481" t="s">
        <v>3400</v>
      </c>
      <c r="D1783" s="3482">
        <v>33.619999999999997</v>
      </c>
    </row>
    <row r="1784" spans="1:4">
      <c r="A1784" s="3536">
        <v>1783</v>
      </c>
      <c r="B1784" s="3481" t="s">
        <v>5335</v>
      </c>
      <c r="C1784" s="3481" t="s">
        <v>3400</v>
      </c>
      <c r="D1784" s="3482">
        <v>33.619999999999997</v>
      </c>
    </row>
    <row r="1785" spans="1:4">
      <c r="A1785" s="3536">
        <v>1784</v>
      </c>
      <c r="B1785" s="3481" t="s">
        <v>5336</v>
      </c>
      <c r="C1785" s="3481" t="s">
        <v>3400</v>
      </c>
      <c r="D1785" s="3482">
        <v>33.619999999999997</v>
      </c>
    </row>
    <row r="1786" spans="1:4">
      <c r="A1786" s="3536">
        <v>1785</v>
      </c>
      <c r="B1786" s="3481" t="s">
        <v>5337</v>
      </c>
      <c r="C1786" s="3481" t="s">
        <v>3400</v>
      </c>
      <c r="D1786" s="3482">
        <v>33.619999999999997</v>
      </c>
    </row>
    <row r="1787" spans="1:4">
      <c r="A1787" s="3536">
        <v>1786</v>
      </c>
      <c r="B1787" s="3481" t="s">
        <v>5338</v>
      </c>
      <c r="C1787" s="3481" t="s">
        <v>3400</v>
      </c>
      <c r="D1787" s="3482">
        <v>33.619999999999997</v>
      </c>
    </row>
    <row r="1788" spans="1:4">
      <c r="A1788" s="3536">
        <v>1787</v>
      </c>
      <c r="B1788" s="3481" t="s">
        <v>5339</v>
      </c>
      <c r="C1788" s="3481" t="s">
        <v>3400</v>
      </c>
      <c r="D1788" s="3482">
        <v>33.619999999999997</v>
      </c>
    </row>
    <row r="1789" spans="1:4">
      <c r="A1789" s="3536">
        <v>1788</v>
      </c>
      <c r="B1789" s="3481" t="s">
        <v>5340</v>
      </c>
      <c r="C1789" s="3481" t="s">
        <v>3400</v>
      </c>
      <c r="D1789" s="3482">
        <v>33.619999999999997</v>
      </c>
    </row>
    <row r="1790" spans="1:4">
      <c r="A1790" s="3536">
        <v>1789</v>
      </c>
      <c r="B1790" s="3481" t="s">
        <v>5341</v>
      </c>
      <c r="C1790" s="3481" t="s">
        <v>3400</v>
      </c>
      <c r="D1790" s="3482">
        <v>33.619999999999997</v>
      </c>
    </row>
    <row r="1791" spans="1:4">
      <c r="A1791" s="3536">
        <v>1790</v>
      </c>
      <c r="B1791" s="3481" t="s">
        <v>5342</v>
      </c>
      <c r="C1791" s="3481" t="s">
        <v>3400</v>
      </c>
      <c r="D1791" s="3482">
        <v>33.619999999999997</v>
      </c>
    </row>
    <row r="1792" spans="1:4">
      <c r="A1792" s="3536">
        <v>1791</v>
      </c>
      <c r="B1792" s="3481" t="s">
        <v>5343</v>
      </c>
      <c r="C1792" s="3481" t="s">
        <v>3400</v>
      </c>
      <c r="D1792" s="3482">
        <v>33.619999999999997</v>
      </c>
    </row>
    <row r="1793" spans="1:4">
      <c r="A1793" s="3536">
        <v>1792</v>
      </c>
      <c r="B1793" s="3481" t="s">
        <v>5344</v>
      </c>
      <c r="C1793" s="3481" t="s">
        <v>3400</v>
      </c>
      <c r="D1793" s="3482">
        <v>33.619999999999997</v>
      </c>
    </row>
    <row r="1794" spans="1:4">
      <c r="A1794" s="3536">
        <v>1793</v>
      </c>
      <c r="B1794" s="3481" t="s">
        <v>5345</v>
      </c>
      <c r="C1794" s="3481" t="s">
        <v>3400</v>
      </c>
      <c r="D1794" s="3482">
        <v>46.52</v>
      </c>
    </row>
    <row r="1795" spans="1:4">
      <c r="A1795" s="3536">
        <v>1794</v>
      </c>
      <c r="B1795" s="3481" t="s">
        <v>5346</v>
      </c>
      <c r="C1795" s="3481" t="s">
        <v>3400</v>
      </c>
      <c r="D1795" s="3482">
        <v>46.52</v>
      </c>
    </row>
    <row r="1796" spans="1:4">
      <c r="A1796" s="3536">
        <v>1795</v>
      </c>
      <c r="B1796" s="3481" t="s">
        <v>5347</v>
      </c>
      <c r="C1796" s="3481" t="s">
        <v>3400</v>
      </c>
      <c r="D1796" s="3482">
        <v>46.52</v>
      </c>
    </row>
    <row r="1797" spans="1:4">
      <c r="A1797" s="3536">
        <v>1796</v>
      </c>
      <c r="B1797" s="3481" t="s">
        <v>5348</v>
      </c>
      <c r="C1797" s="3481" t="s">
        <v>3400</v>
      </c>
      <c r="D1797" s="3482">
        <v>46.52</v>
      </c>
    </row>
    <row r="1798" spans="1:4">
      <c r="A1798" s="3536">
        <v>1797</v>
      </c>
      <c r="B1798" s="3481" t="s">
        <v>5349</v>
      </c>
      <c r="C1798" s="3481" t="s">
        <v>3400</v>
      </c>
      <c r="D1798" s="3482">
        <v>46.52</v>
      </c>
    </row>
    <row r="1799" spans="1:4">
      <c r="A1799" s="3536">
        <v>1798</v>
      </c>
      <c r="B1799" s="3481" t="s">
        <v>5350</v>
      </c>
      <c r="C1799" s="3481" t="s">
        <v>3400</v>
      </c>
      <c r="D1799" s="3482">
        <v>46.52</v>
      </c>
    </row>
    <row r="1800" spans="1:4">
      <c r="A1800" s="3536">
        <v>1799</v>
      </c>
      <c r="B1800" s="3481" t="s">
        <v>5351</v>
      </c>
      <c r="C1800" s="3481" t="s">
        <v>3400</v>
      </c>
      <c r="D1800" s="3482">
        <v>46.52</v>
      </c>
    </row>
    <row r="1801" spans="1:4">
      <c r="A1801" s="3536">
        <v>1800</v>
      </c>
      <c r="B1801" s="3481" t="s">
        <v>5352</v>
      </c>
      <c r="C1801" s="3481" t="s">
        <v>3400</v>
      </c>
      <c r="D1801" s="3482">
        <v>46.52</v>
      </c>
    </row>
    <row r="1802" spans="1:4">
      <c r="A1802" s="3536">
        <v>1801</v>
      </c>
      <c r="B1802" s="3481" t="s">
        <v>5353</v>
      </c>
      <c r="C1802" s="3481" t="s">
        <v>3400</v>
      </c>
      <c r="D1802" s="3482">
        <v>23.26</v>
      </c>
    </row>
    <row r="1803" spans="1:4">
      <c r="A1803" s="3536">
        <v>1802</v>
      </c>
      <c r="B1803" s="3481" t="s">
        <v>5354</v>
      </c>
      <c r="C1803" s="3481" t="s">
        <v>3400</v>
      </c>
      <c r="D1803" s="3482">
        <v>23.26</v>
      </c>
    </row>
    <row r="1804" spans="1:4">
      <c r="A1804" s="3536">
        <v>1803</v>
      </c>
      <c r="B1804" s="3481" t="s">
        <v>5355</v>
      </c>
      <c r="C1804" s="3481" t="s">
        <v>3400</v>
      </c>
      <c r="D1804" s="3482">
        <v>33.619999999999997</v>
      </c>
    </row>
    <row r="1805" spans="1:4">
      <c r="A1805" s="3536">
        <v>1804</v>
      </c>
      <c r="B1805" s="3481" t="s">
        <v>5356</v>
      </c>
      <c r="C1805" s="3481" t="s">
        <v>3400</v>
      </c>
      <c r="D1805" s="3482">
        <v>33.619999999999997</v>
      </c>
    </row>
    <row r="1806" spans="1:4">
      <c r="A1806" s="3536">
        <v>1805</v>
      </c>
      <c r="B1806" s="3481" t="s">
        <v>5357</v>
      </c>
      <c r="C1806" s="3481" t="s">
        <v>3400</v>
      </c>
      <c r="D1806" s="3482">
        <v>33.619999999999997</v>
      </c>
    </row>
    <row r="1807" spans="1:4">
      <c r="A1807" s="3536">
        <v>1806</v>
      </c>
      <c r="B1807" s="3481" t="s">
        <v>5358</v>
      </c>
      <c r="C1807" s="3481" t="s">
        <v>3400</v>
      </c>
      <c r="D1807" s="3482">
        <v>33.619999999999997</v>
      </c>
    </row>
    <row r="1808" spans="1:4">
      <c r="A1808" s="3536">
        <v>1807</v>
      </c>
      <c r="B1808" s="3481" t="s">
        <v>5359</v>
      </c>
      <c r="C1808" s="3481" t="s">
        <v>3400</v>
      </c>
      <c r="D1808" s="3482">
        <v>33.619999999999997</v>
      </c>
    </row>
    <row r="1809" spans="1:4">
      <c r="A1809" s="3536">
        <v>1808</v>
      </c>
      <c r="B1809" s="3481" t="s">
        <v>5360</v>
      </c>
      <c r="C1809" s="3481" t="s">
        <v>3400</v>
      </c>
      <c r="D1809" s="3482">
        <v>33.619999999999997</v>
      </c>
    </row>
    <row r="1810" spans="1:4">
      <c r="A1810" s="3536">
        <v>1809</v>
      </c>
      <c r="B1810" s="3481" t="s">
        <v>5361</v>
      </c>
      <c r="C1810" s="3481" t="s">
        <v>3400</v>
      </c>
      <c r="D1810" s="3482">
        <v>33.619999999999997</v>
      </c>
    </row>
    <row r="1811" spans="1:4">
      <c r="A1811" s="3536">
        <v>1810</v>
      </c>
      <c r="B1811" s="3481" t="s">
        <v>5362</v>
      </c>
      <c r="C1811" s="3481" t="s">
        <v>3400</v>
      </c>
      <c r="D1811" s="3482">
        <v>33.619999999999997</v>
      </c>
    </row>
    <row r="1812" spans="1:4">
      <c r="A1812" s="3536">
        <v>1811</v>
      </c>
      <c r="B1812" s="3481" t="s">
        <v>5363</v>
      </c>
      <c r="C1812" s="3481" t="s">
        <v>3400</v>
      </c>
      <c r="D1812" s="3482">
        <v>33.619999999999997</v>
      </c>
    </row>
    <row r="1813" spans="1:4">
      <c r="A1813" s="3536">
        <v>1812</v>
      </c>
      <c r="B1813" s="3481" t="s">
        <v>5364</v>
      </c>
      <c r="C1813" s="3481" t="s">
        <v>3400</v>
      </c>
      <c r="D1813" s="3482">
        <v>33.619999999999997</v>
      </c>
    </row>
    <row r="1814" spans="1:4">
      <c r="A1814" s="3536">
        <v>1813</v>
      </c>
      <c r="B1814" s="3481" t="s">
        <v>5365</v>
      </c>
      <c r="C1814" s="3481" t="s">
        <v>3400</v>
      </c>
      <c r="D1814" s="3482">
        <v>33.619999999999997</v>
      </c>
    </row>
    <row r="1815" spans="1:4">
      <c r="A1815" s="3536">
        <v>1814</v>
      </c>
      <c r="B1815" s="3481" t="s">
        <v>5366</v>
      </c>
      <c r="C1815" s="3481" t="s">
        <v>3400</v>
      </c>
      <c r="D1815" s="3482">
        <v>33.619999999999997</v>
      </c>
    </row>
    <row r="1816" spans="1:4">
      <c r="A1816" s="3536">
        <v>1815</v>
      </c>
      <c r="B1816" s="3481" t="s">
        <v>5367</v>
      </c>
      <c r="C1816" s="3481" t="s">
        <v>3400</v>
      </c>
      <c r="D1816" s="3482">
        <v>33.619999999999997</v>
      </c>
    </row>
    <row r="1817" spans="1:4">
      <c r="A1817" s="3536">
        <v>1816</v>
      </c>
      <c r="B1817" s="3481" t="s">
        <v>5368</v>
      </c>
      <c r="C1817" s="3481" t="s">
        <v>3400</v>
      </c>
      <c r="D1817" s="3482">
        <v>33.619999999999997</v>
      </c>
    </row>
    <row r="1818" spans="1:4">
      <c r="A1818" s="3536">
        <v>1817</v>
      </c>
      <c r="B1818" s="3481" t="s">
        <v>5369</v>
      </c>
      <c r="C1818" s="3481" t="s">
        <v>3400</v>
      </c>
      <c r="D1818" s="3482">
        <v>33.619999999999997</v>
      </c>
    </row>
    <row r="1819" spans="1:4">
      <c r="A1819" s="3536">
        <v>1818</v>
      </c>
      <c r="B1819" s="3481" t="s">
        <v>5370</v>
      </c>
      <c r="C1819" s="3481" t="s">
        <v>3400</v>
      </c>
      <c r="D1819" s="3482">
        <v>33.619999999999997</v>
      </c>
    </row>
    <row r="1820" spans="1:4">
      <c r="A1820" s="3536">
        <v>1819</v>
      </c>
      <c r="B1820" s="3481" t="s">
        <v>5371</v>
      </c>
      <c r="C1820" s="3481" t="s">
        <v>3400</v>
      </c>
      <c r="D1820" s="3482">
        <v>33.619999999999997</v>
      </c>
    </row>
    <row r="1821" spans="1:4">
      <c r="A1821" s="3536">
        <v>1820</v>
      </c>
      <c r="B1821" s="3481" t="s">
        <v>5372</v>
      </c>
      <c r="C1821" s="3481" t="s">
        <v>3400</v>
      </c>
      <c r="D1821" s="3482">
        <v>33.619999999999997</v>
      </c>
    </row>
    <row r="1822" spans="1:4">
      <c r="A1822" s="3536">
        <v>1821</v>
      </c>
      <c r="B1822" s="3481" t="s">
        <v>5373</v>
      </c>
      <c r="C1822" s="3481" t="s">
        <v>3400</v>
      </c>
      <c r="D1822" s="3482">
        <v>33.619999999999997</v>
      </c>
    </row>
    <row r="1823" spans="1:4">
      <c r="A1823" s="3536">
        <v>1822</v>
      </c>
      <c r="B1823" s="3481" t="s">
        <v>5374</v>
      </c>
      <c r="C1823" s="3481" t="s">
        <v>3400</v>
      </c>
      <c r="D1823" s="3482">
        <v>69.78</v>
      </c>
    </row>
    <row r="1824" spans="1:4">
      <c r="A1824" s="3536">
        <v>1823</v>
      </c>
      <c r="B1824" s="3481" t="s">
        <v>5375</v>
      </c>
      <c r="C1824" s="3481" t="s">
        <v>3400</v>
      </c>
      <c r="D1824" s="3482">
        <v>46.52</v>
      </c>
    </row>
    <row r="1825" spans="1:4">
      <c r="A1825" s="3536">
        <v>1824</v>
      </c>
      <c r="B1825" s="3481" t="s">
        <v>5376</v>
      </c>
      <c r="C1825" s="3481" t="s">
        <v>3400</v>
      </c>
      <c r="D1825" s="3482">
        <v>46.52</v>
      </c>
    </row>
    <row r="1826" spans="1:4">
      <c r="A1826" s="3536">
        <v>1825</v>
      </c>
      <c r="B1826" s="3481" t="s">
        <v>5377</v>
      </c>
      <c r="C1826" s="3481" t="s">
        <v>3400</v>
      </c>
      <c r="D1826" s="3482">
        <v>46.52</v>
      </c>
    </row>
    <row r="1827" spans="1:4">
      <c r="A1827" s="3536">
        <v>1826</v>
      </c>
      <c r="B1827" s="3481" t="s">
        <v>5378</v>
      </c>
      <c r="C1827" s="3481" t="s">
        <v>3400</v>
      </c>
      <c r="D1827" s="3482">
        <v>46.52</v>
      </c>
    </row>
    <row r="1828" spans="1:4">
      <c r="A1828" s="3536">
        <v>1827</v>
      </c>
      <c r="B1828" s="3481" t="s">
        <v>5379</v>
      </c>
      <c r="C1828" s="3481" t="s">
        <v>3400</v>
      </c>
      <c r="D1828" s="3482">
        <v>46.52</v>
      </c>
    </row>
    <row r="1829" spans="1:4">
      <c r="A1829" s="3536">
        <v>1828</v>
      </c>
      <c r="B1829" s="3481" t="s">
        <v>5380</v>
      </c>
      <c r="C1829" s="3481" t="s">
        <v>3400</v>
      </c>
      <c r="D1829" s="3482">
        <v>46.52</v>
      </c>
    </row>
    <row r="1830" spans="1:4">
      <c r="A1830" s="3536">
        <v>1829</v>
      </c>
      <c r="B1830" s="3481" t="s">
        <v>5381</v>
      </c>
      <c r="C1830" s="3481" t="s">
        <v>3400</v>
      </c>
      <c r="D1830" s="3482">
        <v>46.52</v>
      </c>
    </row>
    <row r="1831" spans="1:4">
      <c r="A1831" s="3536">
        <v>1830</v>
      </c>
      <c r="B1831" s="3481" t="s">
        <v>5382</v>
      </c>
      <c r="C1831" s="3481" t="s">
        <v>3400</v>
      </c>
      <c r="D1831" s="3482">
        <v>23.26</v>
      </c>
    </row>
    <row r="1832" spans="1:4">
      <c r="A1832" s="3536">
        <v>1831</v>
      </c>
      <c r="B1832" s="3481" t="s">
        <v>5383</v>
      </c>
      <c r="C1832" s="3481" t="s">
        <v>3400</v>
      </c>
      <c r="D1832" s="3482">
        <v>23.26</v>
      </c>
    </row>
    <row r="1833" spans="1:4">
      <c r="A1833" s="3536">
        <v>1832</v>
      </c>
      <c r="B1833" s="3481" t="s">
        <v>5384</v>
      </c>
      <c r="C1833" s="3481" t="s">
        <v>3400</v>
      </c>
      <c r="D1833" s="3482">
        <v>50.43</v>
      </c>
    </row>
    <row r="1834" spans="1:4">
      <c r="A1834" s="3536">
        <v>1833</v>
      </c>
      <c r="B1834" s="3481" t="s">
        <v>5385</v>
      </c>
      <c r="C1834" s="3481" t="s">
        <v>3400</v>
      </c>
      <c r="D1834" s="3482">
        <v>33.619999999999997</v>
      </c>
    </row>
    <row r="1835" spans="1:4">
      <c r="A1835" s="3536">
        <v>1834</v>
      </c>
      <c r="B1835" s="3481" t="s">
        <v>5386</v>
      </c>
      <c r="C1835" s="3481" t="s">
        <v>3400</v>
      </c>
      <c r="D1835" s="3482">
        <v>33.619999999999997</v>
      </c>
    </row>
    <row r="1836" spans="1:4">
      <c r="A1836" s="3536">
        <v>1835</v>
      </c>
      <c r="B1836" s="3481" t="s">
        <v>5387</v>
      </c>
      <c r="C1836" s="3481" t="s">
        <v>3400</v>
      </c>
      <c r="D1836" s="3482">
        <v>33.619999999999997</v>
      </c>
    </row>
    <row r="1837" spans="1:4">
      <c r="A1837" s="3536">
        <v>1836</v>
      </c>
      <c r="B1837" s="3481" t="s">
        <v>5388</v>
      </c>
      <c r="C1837" s="3481" t="s">
        <v>3400</v>
      </c>
      <c r="D1837" s="3482">
        <v>33.619999999999997</v>
      </c>
    </row>
    <row r="1838" spans="1:4">
      <c r="A1838" s="3536">
        <v>1837</v>
      </c>
      <c r="B1838" s="3481" t="s">
        <v>5389</v>
      </c>
      <c r="C1838" s="3481" t="s">
        <v>3400</v>
      </c>
      <c r="D1838" s="3482">
        <v>33.619999999999997</v>
      </c>
    </row>
    <row r="1839" spans="1:4">
      <c r="A1839" s="3536">
        <v>1838</v>
      </c>
      <c r="B1839" s="3481" t="s">
        <v>5390</v>
      </c>
      <c r="C1839" s="3481" t="s">
        <v>3400</v>
      </c>
      <c r="D1839" s="3482">
        <v>33.619999999999997</v>
      </c>
    </row>
    <row r="1840" spans="1:4">
      <c r="A1840" s="3536">
        <v>1839</v>
      </c>
      <c r="B1840" s="3481" t="s">
        <v>5391</v>
      </c>
      <c r="C1840" s="3481" t="s">
        <v>3400</v>
      </c>
      <c r="D1840" s="3482">
        <v>33.619999999999997</v>
      </c>
    </row>
    <row r="1841" spans="1:4">
      <c r="A1841" s="3536">
        <v>1840</v>
      </c>
      <c r="B1841" s="3481" t="s">
        <v>5392</v>
      </c>
      <c r="C1841" s="3481" t="s">
        <v>3400</v>
      </c>
      <c r="D1841" s="3482">
        <v>33.619999999999997</v>
      </c>
    </row>
    <row r="1842" spans="1:4">
      <c r="A1842" s="3536">
        <v>1841</v>
      </c>
      <c r="B1842" s="3481" t="s">
        <v>5393</v>
      </c>
      <c r="C1842" s="3481" t="s">
        <v>3400</v>
      </c>
      <c r="D1842" s="3482">
        <v>33.619999999999997</v>
      </c>
    </row>
    <row r="1843" spans="1:4">
      <c r="A1843" s="3536">
        <v>1842</v>
      </c>
      <c r="B1843" s="3481" t="s">
        <v>5394</v>
      </c>
      <c r="C1843" s="3481" t="s">
        <v>3400</v>
      </c>
      <c r="D1843" s="3482">
        <v>33.619999999999997</v>
      </c>
    </row>
    <row r="1844" spans="1:4">
      <c r="A1844" s="3536">
        <v>1843</v>
      </c>
      <c r="B1844" s="3481" t="s">
        <v>5395</v>
      </c>
      <c r="C1844" s="3481" t="s">
        <v>3400</v>
      </c>
      <c r="D1844" s="3482">
        <v>33.619999999999997</v>
      </c>
    </row>
    <row r="1845" spans="1:4">
      <c r="A1845" s="3536">
        <v>1844</v>
      </c>
      <c r="B1845" s="3481" t="s">
        <v>5396</v>
      </c>
      <c r="C1845" s="3481" t="s">
        <v>3400</v>
      </c>
      <c r="D1845" s="3482">
        <v>33.619999999999997</v>
      </c>
    </row>
    <row r="1846" spans="1:4">
      <c r="A1846" s="3536">
        <v>1845</v>
      </c>
      <c r="B1846" s="3481" t="s">
        <v>5397</v>
      </c>
      <c r="C1846" s="3481" t="s">
        <v>3400</v>
      </c>
      <c r="D1846" s="3482">
        <v>33.619999999999997</v>
      </c>
    </row>
    <row r="1847" spans="1:4">
      <c r="A1847" s="3536">
        <v>1846</v>
      </c>
      <c r="B1847" s="3481" t="s">
        <v>5398</v>
      </c>
      <c r="C1847" s="3481" t="s">
        <v>3400</v>
      </c>
      <c r="D1847" s="3482">
        <v>33.619999999999997</v>
      </c>
    </row>
    <row r="1848" spans="1:4">
      <c r="A1848" s="3536">
        <v>1847</v>
      </c>
      <c r="B1848" s="3481" t="s">
        <v>5399</v>
      </c>
      <c r="C1848" s="3481" t="s">
        <v>3400</v>
      </c>
      <c r="D1848" s="3482">
        <v>33.619999999999997</v>
      </c>
    </row>
    <row r="1849" spans="1:4">
      <c r="A1849" s="3536">
        <v>1848</v>
      </c>
      <c r="B1849" s="3481" t="s">
        <v>5400</v>
      </c>
      <c r="C1849" s="3481" t="s">
        <v>3400</v>
      </c>
      <c r="D1849" s="3482">
        <v>33.619999999999997</v>
      </c>
    </row>
    <row r="1850" spans="1:4">
      <c r="A1850" s="3536">
        <v>1849</v>
      </c>
      <c r="B1850" s="3481" t="s">
        <v>5401</v>
      </c>
      <c r="C1850" s="3481" t="s">
        <v>3400</v>
      </c>
      <c r="D1850" s="3482">
        <v>33.619999999999997</v>
      </c>
    </row>
    <row r="1851" spans="1:4">
      <c r="A1851" s="3536">
        <v>1850</v>
      </c>
      <c r="B1851" s="3481" t="s">
        <v>5402</v>
      </c>
      <c r="C1851" s="3481" t="s">
        <v>3400</v>
      </c>
      <c r="D1851" s="3482">
        <v>33.619999999999997</v>
      </c>
    </row>
    <row r="1852" spans="1:4">
      <c r="A1852" s="3536">
        <v>1851</v>
      </c>
      <c r="B1852" s="3481" t="s">
        <v>5403</v>
      </c>
      <c r="C1852" s="3481" t="s">
        <v>3400</v>
      </c>
      <c r="D1852" s="3482">
        <v>33.619999999999997</v>
      </c>
    </row>
    <row r="1853" spans="1:4">
      <c r="A1853" s="3536">
        <v>1852</v>
      </c>
      <c r="B1853" s="3481" t="s">
        <v>5404</v>
      </c>
      <c r="C1853" s="3481" t="s">
        <v>3400</v>
      </c>
      <c r="D1853" s="3482">
        <v>33.619999999999997</v>
      </c>
    </row>
    <row r="1854" spans="1:4">
      <c r="A1854" s="3536">
        <v>1853</v>
      </c>
      <c r="B1854" s="3481" t="s">
        <v>5405</v>
      </c>
      <c r="C1854" s="3481" t="s">
        <v>3400</v>
      </c>
      <c r="D1854" s="3482">
        <v>33.619999999999997</v>
      </c>
    </row>
    <row r="1855" spans="1:4">
      <c r="A1855" s="3536">
        <v>1854</v>
      </c>
      <c r="B1855" s="3481" t="s">
        <v>5406</v>
      </c>
      <c r="C1855" s="3481" t="s">
        <v>3400</v>
      </c>
      <c r="D1855" s="3482">
        <v>33.619999999999997</v>
      </c>
    </row>
    <row r="1856" spans="1:4">
      <c r="A1856" s="3536">
        <v>1855</v>
      </c>
      <c r="B1856" s="3481" t="s">
        <v>5407</v>
      </c>
      <c r="C1856" s="3481" t="s">
        <v>3400</v>
      </c>
      <c r="D1856" s="3482">
        <v>33.619999999999997</v>
      </c>
    </row>
    <row r="1857" spans="1:4">
      <c r="A1857" s="3536">
        <v>1856</v>
      </c>
      <c r="B1857" s="3481" t="s">
        <v>5408</v>
      </c>
      <c r="C1857" s="3481" t="s">
        <v>3400</v>
      </c>
      <c r="D1857" s="3482">
        <v>33.619999999999997</v>
      </c>
    </row>
    <row r="1858" spans="1:4">
      <c r="A1858" s="3536">
        <v>1857</v>
      </c>
      <c r="B1858" s="3481" t="s">
        <v>5409</v>
      </c>
      <c r="C1858" s="3481" t="s">
        <v>3400</v>
      </c>
      <c r="D1858" s="3482">
        <v>33.619999999999997</v>
      </c>
    </row>
    <row r="1859" spans="1:4">
      <c r="A1859" s="3536">
        <v>1858</v>
      </c>
      <c r="B1859" s="3481" t="s">
        <v>5410</v>
      </c>
      <c r="C1859" s="3481" t="s">
        <v>3400</v>
      </c>
      <c r="D1859" s="3482">
        <v>33.619999999999997</v>
      </c>
    </row>
    <row r="1860" spans="1:4">
      <c r="A1860" s="3536">
        <v>1859</v>
      </c>
      <c r="B1860" s="3481" t="s">
        <v>5411</v>
      </c>
      <c r="C1860" s="3481" t="s">
        <v>3400</v>
      </c>
      <c r="D1860" s="3482">
        <v>33.619999999999997</v>
      </c>
    </row>
    <row r="1861" spans="1:4">
      <c r="A1861" s="3536">
        <v>1860</v>
      </c>
      <c r="B1861" s="3481" t="s">
        <v>5412</v>
      </c>
      <c r="C1861" s="3481" t="s">
        <v>3400</v>
      </c>
      <c r="D1861" s="3482">
        <v>33.619999999999997</v>
      </c>
    </row>
    <row r="1862" spans="1:4">
      <c r="A1862" s="3536">
        <v>1861</v>
      </c>
      <c r="B1862" s="3481" t="s">
        <v>5413</v>
      </c>
      <c r="C1862" s="3481" t="s">
        <v>3400</v>
      </c>
      <c r="D1862" s="3482">
        <v>23.26</v>
      </c>
    </row>
    <row r="1863" spans="1:4">
      <c r="A1863" s="3536">
        <v>1862</v>
      </c>
      <c r="B1863" s="3481" t="s">
        <v>5414</v>
      </c>
      <c r="C1863" s="3481" t="s">
        <v>3400</v>
      </c>
      <c r="D1863" s="3482">
        <v>23.26</v>
      </c>
    </row>
    <row r="1864" spans="1:4">
      <c r="A1864" s="3536">
        <v>1863</v>
      </c>
      <c r="B1864" s="3481" t="s">
        <v>5415</v>
      </c>
      <c r="C1864" s="3481" t="s">
        <v>3400</v>
      </c>
      <c r="D1864" s="3482">
        <v>46.52</v>
      </c>
    </row>
    <row r="1865" spans="1:4">
      <c r="A1865" s="3536">
        <v>1864</v>
      </c>
      <c r="B1865" s="3481" t="s">
        <v>5416</v>
      </c>
      <c r="C1865" s="3481" t="s">
        <v>3400</v>
      </c>
      <c r="D1865" s="3482">
        <v>46.52</v>
      </c>
    </row>
    <row r="1866" spans="1:4">
      <c r="A1866" s="3536">
        <v>1865</v>
      </c>
      <c r="B1866" s="3481" t="s">
        <v>5417</v>
      </c>
      <c r="C1866" s="3481" t="s">
        <v>3400</v>
      </c>
      <c r="D1866" s="3482">
        <v>46.52</v>
      </c>
    </row>
    <row r="1867" spans="1:4">
      <c r="A1867" s="3536">
        <v>1866</v>
      </c>
      <c r="B1867" s="3481" t="s">
        <v>5418</v>
      </c>
      <c r="C1867" s="3481" t="s">
        <v>3400</v>
      </c>
      <c r="D1867" s="3482">
        <v>46.52</v>
      </c>
    </row>
    <row r="1868" spans="1:4">
      <c r="A1868" s="3536">
        <v>1867</v>
      </c>
      <c r="B1868" s="3481" t="s">
        <v>5419</v>
      </c>
      <c r="C1868" s="3481" t="s">
        <v>3400</v>
      </c>
      <c r="D1868" s="3482">
        <v>46.52</v>
      </c>
    </row>
    <row r="1869" spans="1:4">
      <c r="A1869" s="3536">
        <v>1868</v>
      </c>
      <c r="B1869" s="3481" t="s">
        <v>5420</v>
      </c>
      <c r="C1869" s="3481" t="s">
        <v>3400</v>
      </c>
      <c r="D1869" s="3482">
        <v>46.52</v>
      </c>
    </row>
    <row r="1870" spans="1:4">
      <c r="A1870" s="3536">
        <v>1869</v>
      </c>
      <c r="B1870" s="3481" t="s">
        <v>5421</v>
      </c>
      <c r="C1870" s="3481" t="s">
        <v>3400</v>
      </c>
      <c r="D1870" s="3482">
        <v>46.52</v>
      </c>
    </row>
    <row r="1871" spans="1:4">
      <c r="A1871" s="3536">
        <v>1870</v>
      </c>
      <c r="B1871" s="3481" t="s">
        <v>5422</v>
      </c>
      <c r="C1871" s="3481" t="s">
        <v>3400</v>
      </c>
      <c r="D1871" s="3482">
        <v>46.52</v>
      </c>
    </row>
    <row r="1872" spans="1:4">
      <c r="A1872" s="3536">
        <v>1871</v>
      </c>
      <c r="B1872" s="3481" t="s">
        <v>5423</v>
      </c>
      <c r="C1872" s="3481" t="s">
        <v>3400</v>
      </c>
      <c r="D1872" s="3482">
        <v>46.52</v>
      </c>
    </row>
    <row r="1873" spans="1:4">
      <c r="A1873" s="3536">
        <v>1872</v>
      </c>
      <c r="B1873" s="3481" t="s">
        <v>5424</v>
      </c>
      <c r="C1873" s="3481" t="s">
        <v>3400</v>
      </c>
      <c r="D1873" s="3482">
        <v>46.52</v>
      </c>
    </row>
    <row r="1874" spans="1:4">
      <c r="A1874" s="3536">
        <v>1873</v>
      </c>
      <c r="B1874" s="3481" t="s">
        <v>5425</v>
      </c>
      <c r="C1874" s="3481" t="s">
        <v>3400</v>
      </c>
      <c r="D1874" s="3482">
        <v>46.52</v>
      </c>
    </row>
    <row r="1875" spans="1:4">
      <c r="A1875" s="3536">
        <v>1874</v>
      </c>
      <c r="B1875" s="3481" t="s">
        <v>5426</v>
      </c>
      <c r="C1875" s="3481" t="s">
        <v>3400</v>
      </c>
      <c r="D1875" s="3482">
        <v>46.52</v>
      </c>
    </row>
    <row r="1876" spans="1:4">
      <c r="A1876" s="3536">
        <v>1875</v>
      </c>
      <c r="B1876" s="3481" t="s">
        <v>5427</v>
      </c>
      <c r="C1876" s="3481" t="s">
        <v>3400</v>
      </c>
      <c r="D1876" s="3482">
        <v>46.52</v>
      </c>
    </row>
    <row r="1877" spans="1:4">
      <c r="A1877" s="3536">
        <v>1876</v>
      </c>
      <c r="B1877" s="3481" t="s">
        <v>5428</v>
      </c>
      <c r="C1877" s="3481" t="s">
        <v>3400</v>
      </c>
      <c r="D1877" s="3482">
        <v>46.52</v>
      </c>
    </row>
    <row r="1878" spans="1:4">
      <c r="A1878" s="3536">
        <v>1877</v>
      </c>
      <c r="B1878" s="3481" t="s">
        <v>5429</v>
      </c>
      <c r="C1878" s="3481" t="s">
        <v>3400</v>
      </c>
      <c r="D1878" s="3482">
        <v>33.619999999999997</v>
      </c>
    </row>
    <row r="1879" spans="1:4">
      <c r="A1879" s="3536">
        <v>1878</v>
      </c>
      <c r="B1879" s="3481" t="s">
        <v>5430</v>
      </c>
      <c r="C1879" s="3481" t="s">
        <v>3400</v>
      </c>
      <c r="D1879" s="3482">
        <v>33.619999999999997</v>
      </c>
    </row>
    <row r="1880" spans="1:4">
      <c r="A1880" s="3536">
        <v>1879</v>
      </c>
      <c r="B1880" s="3481" t="s">
        <v>5431</v>
      </c>
      <c r="C1880" s="3481" t="s">
        <v>3400</v>
      </c>
      <c r="D1880" s="3482">
        <v>33.619999999999997</v>
      </c>
    </row>
    <row r="1881" spans="1:4">
      <c r="A1881" s="3536">
        <v>1880</v>
      </c>
      <c r="B1881" s="3481" t="s">
        <v>5432</v>
      </c>
      <c r="C1881" s="3481" t="s">
        <v>3400</v>
      </c>
      <c r="D1881" s="3482">
        <v>33.619999999999997</v>
      </c>
    </row>
    <row r="1882" spans="1:4">
      <c r="A1882" s="3536">
        <v>1881</v>
      </c>
      <c r="B1882" s="3481" t="s">
        <v>5433</v>
      </c>
      <c r="C1882" s="3481" t="s">
        <v>3400</v>
      </c>
      <c r="D1882" s="3482">
        <v>33.619999999999997</v>
      </c>
    </row>
    <row r="1883" spans="1:4">
      <c r="A1883" s="3536">
        <v>1882</v>
      </c>
      <c r="B1883" s="3481" t="s">
        <v>5434</v>
      </c>
      <c r="C1883" s="3481" t="s">
        <v>3400</v>
      </c>
      <c r="D1883" s="3482">
        <v>33.619999999999997</v>
      </c>
    </row>
    <row r="1884" spans="1:4">
      <c r="A1884" s="3536">
        <v>1883</v>
      </c>
      <c r="B1884" s="3481" t="s">
        <v>5435</v>
      </c>
      <c r="C1884" s="3481" t="s">
        <v>3400</v>
      </c>
      <c r="D1884" s="3482">
        <v>23.26</v>
      </c>
    </row>
    <row r="1885" spans="1:4">
      <c r="A1885" s="3536">
        <v>1884</v>
      </c>
      <c r="B1885" s="3481" t="s">
        <v>5436</v>
      </c>
      <c r="C1885" s="3481" t="s">
        <v>3400</v>
      </c>
      <c r="D1885" s="3482">
        <v>23.26</v>
      </c>
    </row>
    <row r="1886" spans="1:4">
      <c r="A1886" s="3536">
        <v>1885</v>
      </c>
      <c r="B1886" s="3481" t="s">
        <v>5437</v>
      </c>
      <c r="C1886" s="3481" t="s">
        <v>3400</v>
      </c>
      <c r="D1886" s="3482">
        <v>33.619999999999997</v>
      </c>
    </row>
    <row r="1887" spans="1:4">
      <c r="A1887" s="3536">
        <v>1886</v>
      </c>
      <c r="B1887" s="3481" t="s">
        <v>5438</v>
      </c>
      <c r="C1887" s="3481" t="s">
        <v>3400</v>
      </c>
      <c r="D1887" s="3482">
        <v>33.619999999999997</v>
      </c>
    </row>
    <row r="1888" spans="1:4">
      <c r="A1888" s="3536">
        <v>1887</v>
      </c>
      <c r="B1888" s="3481" t="s">
        <v>5439</v>
      </c>
      <c r="C1888" s="3481" t="s">
        <v>3400</v>
      </c>
      <c r="D1888" s="3482">
        <v>33.619999999999997</v>
      </c>
    </row>
    <row r="1889" spans="1:4">
      <c r="A1889" s="3536">
        <v>1888</v>
      </c>
      <c r="B1889" s="3481" t="s">
        <v>5440</v>
      </c>
      <c r="C1889" s="3481" t="s">
        <v>3400</v>
      </c>
      <c r="D1889" s="3482">
        <v>33.619999999999997</v>
      </c>
    </row>
    <row r="1890" spans="1:4">
      <c r="A1890" s="3536">
        <v>1889</v>
      </c>
      <c r="B1890" s="3481" t="s">
        <v>5441</v>
      </c>
      <c r="C1890" s="3481" t="s">
        <v>3400</v>
      </c>
      <c r="D1890" s="3482">
        <v>33.619999999999997</v>
      </c>
    </row>
    <row r="1891" spans="1:4">
      <c r="A1891" s="3536">
        <v>1890</v>
      </c>
      <c r="B1891" s="3481" t="s">
        <v>5442</v>
      </c>
      <c r="C1891" s="3481" t="s">
        <v>3400</v>
      </c>
      <c r="D1891" s="3482">
        <v>33.619999999999997</v>
      </c>
    </row>
    <row r="1892" spans="1:4">
      <c r="A1892" s="3536">
        <v>1891</v>
      </c>
      <c r="B1892" s="3481" t="s">
        <v>5443</v>
      </c>
      <c r="C1892" s="3481" t="s">
        <v>3400</v>
      </c>
      <c r="D1892" s="3482">
        <v>33.619999999999997</v>
      </c>
    </row>
    <row r="1893" spans="1:4">
      <c r="A1893" s="3536">
        <v>1892</v>
      </c>
      <c r="B1893" s="3481" t="s">
        <v>5444</v>
      </c>
      <c r="C1893" s="3481" t="s">
        <v>3400</v>
      </c>
      <c r="D1893" s="3482">
        <v>33.619999999999997</v>
      </c>
    </row>
    <row r="1894" spans="1:4">
      <c r="A1894" s="3536">
        <v>1893</v>
      </c>
      <c r="B1894" s="3481" t="s">
        <v>5445</v>
      </c>
      <c r="C1894" s="3481" t="s">
        <v>3400</v>
      </c>
      <c r="D1894" s="3482">
        <v>33.619999999999997</v>
      </c>
    </row>
    <row r="1895" spans="1:4">
      <c r="A1895" s="3536">
        <v>1894</v>
      </c>
      <c r="B1895" s="3481" t="s">
        <v>5446</v>
      </c>
      <c r="C1895" s="3481" t="s">
        <v>3400</v>
      </c>
      <c r="D1895" s="3482">
        <v>33.619999999999997</v>
      </c>
    </row>
    <row r="1896" spans="1:4">
      <c r="A1896" s="3536">
        <v>1895</v>
      </c>
      <c r="B1896" s="3481" t="s">
        <v>5447</v>
      </c>
      <c r="C1896" s="3481" t="s">
        <v>3400</v>
      </c>
      <c r="D1896" s="3482">
        <v>33.619999999999997</v>
      </c>
    </row>
    <row r="1897" spans="1:4">
      <c r="A1897" s="3536">
        <v>1896</v>
      </c>
      <c r="B1897" s="3481" t="s">
        <v>5448</v>
      </c>
      <c r="C1897" s="3481" t="s">
        <v>3400</v>
      </c>
      <c r="D1897" s="3482">
        <v>33.619999999999997</v>
      </c>
    </row>
    <row r="1898" spans="1:4">
      <c r="A1898" s="3536">
        <v>1897</v>
      </c>
      <c r="B1898" s="3481" t="s">
        <v>5449</v>
      </c>
      <c r="C1898" s="3481" t="s">
        <v>3400</v>
      </c>
      <c r="D1898" s="3482">
        <v>50.43</v>
      </c>
    </row>
    <row r="1899" spans="1:4">
      <c r="A1899" s="3536">
        <v>1898</v>
      </c>
      <c r="B1899" s="3481" t="s">
        <v>5450</v>
      </c>
      <c r="C1899" s="3481" t="s">
        <v>3400</v>
      </c>
      <c r="D1899" s="3482">
        <v>33.619999999999997</v>
      </c>
    </row>
    <row r="1900" spans="1:4">
      <c r="A1900" s="3536">
        <v>1899</v>
      </c>
      <c r="B1900" s="3481" t="s">
        <v>5451</v>
      </c>
      <c r="C1900" s="3481" t="s">
        <v>3400</v>
      </c>
      <c r="D1900" s="3482">
        <v>33.619999999999997</v>
      </c>
    </row>
    <row r="1901" spans="1:4">
      <c r="A1901" s="3536">
        <v>1900</v>
      </c>
      <c r="B1901" s="3481" t="s">
        <v>5452</v>
      </c>
      <c r="C1901" s="3481" t="s">
        <v>3400</v>
      </c>
      <c r="D1901" s="3482">
        <v>33.619999999999997</v>
      </c>
    </row>
    <row r="1902" spans="1:4">
      <c r="A1902" s="3536">
        <v>1901</v>
      </c>
      <c r="B1902" s="3481" t="s">
        <v>5453</v>
      </c>
      <c r="C1902" s="3481" t="s">
        <v>3400</v>
      </c>
      <c r="D1902" s="3482">
        <v>33.619999999999997</v>
      </c>
    </row>
    <row r="1903" spans="1:4">
      <c r="A1903" s="3536">
        <v>1902</v>
      </c>
      <c r="B1903" s="3481" t="s">
        <v>5454</v>
      </c>
      <c r="C1903" s="3481" t="s">
        <v>3400</v>
      </c>
      <c r="D1903" s="3482">
        <v>33.619999999999997</v>
      </c>
    </row>
    <row r="1904" spans="1:4">
      <c r="A1904" s="3536">
        <v>1903</v>
      </c>
      <c r="B1904" s="3481" t="s">
        <v>5455</v>
      </c>
      <c r="C1904" s="3481" t="s">
        <v>3400</v>
      </c>
      <c r="D1904" s="3482">
        <v>33.619999999999997</v>
      </c>
    </row>
    <row r="1905" spans="1:4">
      <c r="A1905" s="3536">
        <v>1904</v>
      </c>
      <c r="B1905" s="3481" t="s">
        <v>5456</v>
      </c>
      <c r="C1905" s="3481" t="s">
        <v>3400</v>
      </c>
      <c r="D1905" s="3482">
        <v>33.619999999999997</v>
      </c>
    </row>
    <row r="1906" spans="1:4">
      <c r="A1906" s="3536">
        <v>1905</v>
      </c>
      <c r="B1906" s="3481" t="s">
        <v>5457</v>
      </c>
      <c r="C1906" s="3481" t="s">
        <v>3400</v>
      </c>
      <c r="D1906" s="3482">
        <v>33.619999999999997</v>
      </c>
    </row>
    <row r="1907" spans="1:4">
      <c r="A1907" s="3536">
        <v>1906</v>
      </c>
      <c r="B1907" s="3481" t="s">
        <v>5458</v>
      </c>
      <c r="C1907" s="3481" t="s">
        <v>3400</v>
      </c>
      <c r="D1907" s="3482">
        <v>33.619999999999997</v>
      </c>
    </row>
    <row r="1908" spans="1:4">
      <c r="A1908" s="3536">
        <v>1907</v>
      </c>
      <c r="B1908" s="3481" t="s">
        <v>5459</v>
      </c>
      <c r="C1908" s="3481" t="s">
        <v>3400</v>
      </c>
      <c r="D1908" s="3482">
        <v>33.619999999999997</v>
      </c>
    </row>
    <row r="1909" spans="1:4">
      <c r="A1909" s="3536">
        <v>1908</v>
      </c>
      <c r="B1909" s="3481" t="s">
        <v>5460</v>
      </c>
      <c r="C1909" s="3481" t="s">
        <v>3400</v>
      </c>
      <c r="D1909" s="3482">
        <v>33.619999999999997</v>
      </c>
    </row>
    <row r="1910" spans="1:4">
      <c r="A1910" s="3536">
        <v>1909</v>
      </c>
      <c r="B1910" s="3481" t="s">
        <v>5461</v>
      </c>
      <c r="C1910" s="3481" t="s">
        <v>3400</v>
      </c>
      <c r="D1910" s="3482">
        <v>33.619999999999997</v>
      </c>
    </row>
    <row r="1911" spans="1:4">
      <c r="A1911" s="3536">
        <v>1910</v>
      </c>
      <c r="B1911" s="3481" t="s">
        <v>5462</v>
      </c>
      <c r="C1911" s="3481" t="s">
        <v>3400</v>
      </c>
      <c r="D1911" s="3482">
        <v>33.619999999999997</v>
      </c>
    </row>
    <row r="1912" spans="1:4">
      <c r="A1912" s="3536">
        <v>1911</v>
      </c>
      <c r="B1912" s="3481" t="s">
        <v>5463</v>
      </c>
      <c r="C1912" s="3481" t="s">
        <v>3400</v>
      </c>
      <c r="D1912" s="3482">
        <v>33.619999999999997</v>
      </c>
    </row>
    <row r="1913" spans="1:4">
      <c r="A1913" s="3536">
        <v>1912</v>
      </c>
      <c r="B1913" s="3481" t="s">
        <v>5464</v>
      </c>
      <c r="C1913" s="3481" t="s">
        <v>3400</v>
      </c>
      <c r="D1913" s="3482">
        <v>33.619999999999997</v>
      </c>
    </row>
    <row r="1914" spans="1:4">
      <c r="A1914" s="3536">
        <v>1913</v>
      </c>
      <c r="B1914" s="3481" t="s">
        <v>5465</v>
      </c>
      <c r="C1914" s="3481" t="s">
        <v>3400</v>
      </c>
      <c r="D1914" s="3482">
        <v>23.26</v>
      </c>
    </row>
    <row r="1915" spans="1:4">
      <c r="A1915" s="3536">
        <v>1914</v>
      </c>
      <c r="B1915" s="3481" t="s">
        <v>5466</v>
      </c>
      <c r="C1915" s="3481" t="s">
        <v>3400</v>
      </c>
      <c r="D1915" s="3482">
        <v>23.26</v>
      </c>
    </row>
    <row r="1916" spans="1:4">
      <c r="A1916" s="3536">
        <v>1915</v>
      </c>
      <c r="B1916" s="3481" t="s">
        <v>5467</v>
      </c>
      <c r="C1916" s="3481" t="s">
        <v>3400</v>
      </c>
      <c r="D1916" s="3482">
        <v>33.619999999999997</v>
      </c>
    </row>
    <row r="1917" spans="1:4">
      <c r="A1917" s="3536">
        <v>1916</v>
      </c>
      <c r="B1917" s="3481" t="s">
        <v>5468</v>
      </c>
      <c r="C1917" s="3481" t="s">
        <v>3400</v>
      </c>
      <c r="D1917" s="3482">
        <v>33.619999999999997</v>
      </c>
    </row>
    <row r="1918" spans="1:4">
      <c r="A1918" s="3536">
        <v>1917</v>
      </c>
      <c r="B1918" s="3481" t="s">
        <v>5469</v>
      </c>
      <c r="C1918" s="3481" t="s">
        <v>3400</v>
      </c>
      <c r="D1918" s="3482">
        <v>33.619999999999997</v>
      </c>
    </row>
    <row r="1919" spans="1:4">
      <c r="A1919" s="3536">
        <v>1918</v>
      </c>
      <c r="B1919" s="3481" t="s">
        <v>5470</v>
      </c>
      <c r="C1919" s="3481" t="s">
        <v>3400</v>
      </c>
      <c r="D1919" s="3482">
        <v>33.619999999999997</v>
      </c>
    </row>
    <row r="1920" spans="1:4">
      <c r="A1920" s="3536">
        <v>1919</v>
      </c>
      <c r="B1920" s="3481" t="s">
        <v>5471</v>
      </c>
      <c r="C1920" s="3481" t="s">
        <v>3400</v>
      </c>
      <c r="D1920" s="3482">
        <v>33.619999999999997</v>
      </c>
    </row>
    <row r="1921" spans="1:4">
      <c r="A1921" s="3536">
        <v>1920</v>
      </c>
      <c r="B1921" s="3481" t="s">
        <v>5472</v>
      </c>
      <c r="C1921" s="3481" t="s">
        <v>3400</v>
      </c>
      <c r="D1921" s="3482">
        <v>33.619999999999997</v>
      </c>
    </row>
    <row r="1922" spans="1:4">
      <c r="A1922" s="3536">
        <v>1921</v>
      </c>
      <c r="B1922" s="3481" t="s">
        <v>5473</v>
      </c>
      <c r="C1922" s="3481" t="s">
        <v>3400</v>
      </c>
      <c r="D1922" s="3482">
        <v>33.619999999999997</v>
      </c>
    </row>
    <row r="1923" spans="1:4">
      <c r="A1923" s="3536">
        <v>1922</v>
      </c>
      <c r="B1923" s="3481" t="s">
        <v>5474</v>
      </c>
      <c r="C1923" s="3481" t="s">
        <v>3400</v>
      </c>
      <c r="D1923" s="3482">
        <v>33.619999999999997</v>
      </c>
    </row>
    <row r="1924" spans="1:4">
      <c r="A1924" s="3536">
        <v>1923</v>
      </c>
      <c r="B1924" s="3481" t="s">
        <v>5475</v>
      </c>
      <c r="C1924" s="3481" t="s">
        <v>3400</v>
      </c>
      <c r="D1924" s="3482">
        <v>33.619999999999997</v>
      </c>
    </row>
    <row r="1925" spans="1:4">
      <c r="A1925" s="3536">
        <v>1924</v>
      </c>
      <c r="B1925" s="3481" t="s">
        <v>5476</v>
      </c>
      <c r="C1925" s="3481" t="s">
        <v>3400</v>
      </c>
      <c r="D1925" s="3482">
        <v>33.619999999999997</v>
      </c>
    </row>
    <row r="1926" spans="1:4">
      <c r="A1926" s="3536">
        <v>1925</v>
      </c>
      <c r="B1926" s="3481" t="s">
        <v>5477</v>
      </c>
      <c r="C1926" s="3481" t="s">
        <v>3400</v>
      </c>
      <c r="D1926" s="3482">
        <v>33.619999999999997</v>
      </c>
    </row>
    <row r="1927" spans="1:4">
      <c r="A1927" s="3536">
        <v>1926</v>
      </c>
      <c r="B1927" s="3481" t="s">
        <v>5478</v>
      </c>
      <c r="C1927" s="3481" t="s">
        <v>3400</v>
      </c>
      <c r="D1927" s="3482">
        <v>33.619999999999997</v>
      </c>
    </row>
    <row r="1928" spans="1:4">
      <c r="A1928" s="3536">
        <v>1927</v>
      </c>
      <c r="B1928" s="3481" t="s">
        <v>5479</v>
      </c>
      <c r="C1928" s="3481" t="s">
        <v>3400</v>
      </c>
      <c r="D1928" s="3482">
        <v>33.619999999999997</v>
      </c>
    </row>
    <row r="1929" spans="1:4">
      <c r="A1929" s="3536">
        <v>1928</v>
      </c>
      <c r="B1929" s="3481" t="s">
        <v>5480</v>
      </c>
      <c r="C1929" s="3481" t="s">
        <v>3400</v>
      </c>
      <c r="D1929" s="3482">
        <v>33.619999999999997</v>
      </c>
    </row>
    <row r="1930" spans="1:4">
      <c r="A1930" s="3536">
        <v>1929</v>
      </c>
      <c r="B1930" s="3481" t="s">
        <v>5481</v>
      </c>
      <c r="C1930" s="3481" t="s">
        <v>3400</v>
      </c>
      <c r="D1930" s="3482">
        <v>33.619999999999997</v>
      </c>
    </row>
    <row r="1931" spans="1:4">
      <c r="A1931" s="3536">
        <v>1930</v>
      </c>
      <c r="B1931" s="3481" t="s">
        <v>5482</v>
      </c>
      <c r="C1931" s="3481" t="s">
        <v>3400</v>
      </c>
      <c r="D1931" s="3482">
        <v>33.619999999999997</v>
      </c>
    </row>
    <row r="1932" spans="1:4">
      <c r="A1932" s="3536">
        <v>1931</v>
      </c>
      <c r="B1932" s="3481" t="s">
        <v>5483</v>
      </c>
      <c r="C1932" s="3481" t="s">
        <v>3400</v>
      </c>
      <c r="D1932" s="3482">
        <v>33.619999999999997</v>
      </c>
    </row>
    <row r="1933" spans="1:4">
      <c r="A1933" s="3536">
        <v>1932</v>
      </c>
      <c r="B1933" s="3481" t="s">
        <v>5484</v>
      </c>
      <c r="C1933" s="3481" t="s">
        <v>3400</v>
      </c>
      <c r="D1933" s="3482">
        <v>33.619999999999997</v>
      </c>
    </row>
    <row r="1934" spans="1:4">
      <c r="A1934" s="3536">
        <v>1933</v>
      </c>
      <c r="B1934" s="3481" t="s">
        <v>5485</v>
      </c>
      <c r="C1934" s="3481" t="s">
        <v>3400</v>
      </c>
      <c r="D1934" s="3482">
        <v>33.619999999999997</v>
      </c>
    </row>
    <row r="1935" spans="1:4">
      <c r="A1935" s="3536">
        <v>1934</v>
      </c>
      <c r="B1935" s="3481" t="s">
        <v>5486</v>
      </c>
      <c r="C1935" s="3481" t="s">
        <v>3400</v>
      </c>
      <c r="D1935" s="3482">
        <v>33.619999999999997</v>
      </c>
    </row>
    <row r="1936" spans="1:4">
      <c r="A1936" s="3536">
        <v>1935</v>
      </c>
      <c r="B1936" s="3481" t="s">
        <v>5487</v>
      </c>
      <c r="C1936" s="3481" t="s">
        <v>3400</v>
      </c>
      <c r="D1936" s="3482">
        <v>33.619999999999997</v>
      </c>
    </row>
    <row r="1937" spans="1:4">
      <c r="A1937" s="3536">
        <v>1936</v>
      </c>
      <c r="B1937" s="3481" t="s">
        <v>5488</v>
      </c>
      <c r="C1937" s="3481" t="s">
        <v>3400</v>
      </c>
      <c r="D1937" s="3482">
        <v>46.52</v>
      </c>
    </row>
    <row r="1938" spans="1:4">
      <c r="A1938" s="3536">
        <v>1937</v>
      </c>
      <c r="B1938" s="3481" t="s">
        <v>5489</v>
      </c>
      <c r="C1938" s="3481" t="s">
        <v>3400</v>
      </c>
      <c r="D1938" s="3482">
        <v>46.52</v>
      </c>
    </row>
    <row r="1939" spans="1:4">
      <c r="A1939" s="3536">
        <v>1938</v>
      </c>
      <c r="B1939" s="3481" t="s">
        <v>5490</v>
      </c>
      <c r="C1939" s="3481" t="s">
        <v>3400</v>
      </c>
      <c r="D1939" s="3482">
        <v>46.52</v>
      </c>
    </row>
    <row r="1940" spans="1:4">
      <c r="A1940" s="3536">
        <v>1939</v>
      </c>
      <c r="B1940" s="3481" t="s">
        <v>5491</v>
      </c>
      <c r="C1940" s="3481" t="s">
        <v>3400</v>
      </c>
      <c r="D1940" s="3482">
        <v>46.52</v>
      </c>
    </row>
    <row r="1941" spans="1:4">
      <c r="A1941" s="3536">
        <v>1940</v>
      </c>
      <c r="B1941" s="3481" t="s">
        <v>5492</v>
      </c>
      <c r="C1941" s="3481" t="s">
        <v>3400</v>
      </c>
      <c r="D1941" s="3482">
        <v>46.52</v>
      </c>
    </row>
    <row r="1942" spans="1:4">
      <c r="A1942" s="3536">
        <v>1941</v>
      </c>
      <c r="B1942" s="3481" t="s">
        <v>5493</v>
      </c>
      <c r="C1942" s="3481" t="s">
        <v>3400</v>
      </c>
      <c r="D1942" s="3482">
        <v>46.52</v>
      </c>
    </row>
    <row r="1943" spans="1:4">
      <c r="A1943" s="3536">
        <v>1942</v>
      </c>
      <c r="B1943" s="3481" t="s">
        <v>5494</v>
      </c>
      <c r="C1943" s="3481" t="s">
        <v>3400</v>
      </c>
      <c r="D1943" s="3482">
        <v>69.78</v>
      </c>
    </row>
    <row r="1944" spans="1:4">
      <c r="A1944" s="3536">
        <v>1943</v>
      </c>
      <c r="B1944" s="3481" t="s">
        <v>5495</v>
      </c>
      <c r="C1944" s="3481" t="s">
        <v>3400</v>
      </c>
      <c r="D1944" s="3482">
        <v>69.78</v>
      </c>
    </row>
    <row r="1945" spans="1:4">
      <c r="A1945" s="3536">
        <v>1944</v>
      </c>
      <c r="B1945" s="3481" t="s">
        <v>5496</v>
      </c>
      <c r="C1945" s="3481" t="s">
        <v>3400</v>
      </c>
      <c r="D1945" s="3482">
        <v>69.78</v>
      </c>
    </row>
    <row r="1946" spans="1:4">
      <c r="A1946" s="3536">
        <v>1945</v>
      </c>
      <c r="B1946" s="3481" t="s">
        <v>5497</v>
      </c>
      <c r="C1946" s="3481" t="s">
        <v>3400</v>
      </c>
      <c r="D1946" s="3482">
        <v>33.619999999999997</v>
      </c>
    </row>
    <row r="1947" spans="1:4">
      <c r="A1947" s="3536">
        <v>1946</v>
      </c>
      <c r="B1947" s="3481" t="s">
        <v>5498</v>
      </c>
      <c r="C1947" s="3481" t="s">
        <v>3400</v>
      </c>
      <c r="D1947" s="3482">
        <v>33.619999999999997</v>
      </c>
    </row>
    <row r="1948" spans="1:4">
      <c r="A1948" s="3536">
        <v>1947</v>
      </c>
      <c r="B1948" s="3481" t="s">
        <v>5499</v>
      </c>
      <c r="C1948" s="3481" t="s">
        <v>3400</v>
      </c>
      <c r="D1948" s="3482">
        <v>33.619999999999997</v>
      </c>
    </row>
    <row r="1949" spans="1:4">
      <c r="A1949" s="3536">
        <v>1948</v>
      </c>
      <c r="B1949" s="3481" t="s">
        <v>5500</v>
      </c>
      <c r="C1949" s="3481" t="s">
        <v>3400</v>
      </c>
      <c r="D1949" s="3482">
        <v>33.619999999999997</v>
      </c>
    </row>
    <row r="1950" spans="1:4">
      <c r="A1950" s="3536">
        <v>1949</v>
      </c>
      <c r="B1950" s="3481" t="s">
        <v>5501</v>
      </c>
      <c r="C1950" s="3481" t="s">
        <v>3400</v>
      </c>
      <c r="D1950" s="3482">
        <v>33.619999999999997</v>
      </c>
    </row>
    <row r="1951" spans="1:4">
      <c r="A1951" s="3536">
        <v>1950</v>
      </c>
      <c r="B1951" s="3481" t="s">
        <v>5502</v>
      </c>
      <c r="C1951" s="3481" t="s">
        <v>3400</v>
      </c>
      <c r="D1951" s="3482">
        <v>46.52</v>
      </c>
    </row>
    <row r="1952" spans="1:4">
      <c r="A1952" s="3536">
        <v>1951</v>
      </c>
      <c r="B1952" s="3481" t="s">
        <v>5503</v>
      </c>
      <c r="C1952" s="3481" t="s">
        <v>3400</v>
      </c>
      <c r="D1952" s="3482">
        <v>46.52</v>
      </c>
    </row>
    <row r="1953" spans="1:4">
      <c r="A1953" s="3536">
        <v>1952</v>
      </c>
      <c r="B1953" s="3481" t="s">
        <v>5504</v>
      </c>
      <c r="C1953" s="3481" t="s">
        <v>3400</v>
      </c>
      <c r="D1953" s="3482">
        <v>46.52</v>
      </c>
    </row>
    <row r="1954" spans="1:4">
      <c r="A1954" s="3536">
        <v>1953</v>
      </c>
      <c r="B1954" s="3481" t="s">
        <v>5505</v>
      </c>
      <c r="C1954" s="3481" t="s">
        <v>3400</v>
      </c>
      <c r="D1954" s="3482">
        <v>46.52</v>
      </c>
    </row>
    <row r="1955" spans="1:4">
      <c r="A1955" s="3536">
        <v>1954</v>
      </c>
      <c r="B1955" s="3481" t="s">
        <v>5506</v>
      </c>
      <c r="C1955" s="3481" t="s">
        <v>3400</v>
      </c>
      <c r="D1955" s="3482">
        <v>46.52</v>
      </c>
    </row>
    <row r="1956" spans="1:4">
      <c r="A1956" s="3536">
        <v>1955</v>
      </c>
      <c r="B1956" s="3481" t="s">
        <v>5507</v>
      </c>
      <c r="C1956" s="3481" t="s">
        <v>3400</v>
      </c>
      <c r="D1956" s="3482">
        <v>46.52</v>
      </c>
    </row>
    <row r="1957" spans="1:4">
      <c r="A1957" s="3536">
        <v>1956</v>
      </c>
      <c r="B1957" s="3481" t="s">
        <v>5508</v>
      </c>
      <c r="C1957" s="3481" t="s">
        <v>3400</v>
      </c>
      <c r="D1957" s="3482">
        <v>46.52</v>
      </c>
    </row>
    <row r="1958" spans="1:4">
      <c r="A1958" s="3536">
        <v>1957</v>
      </c>
      <c r="B1958" s="3481" t="s">
        <v>5509</v>
      </c>
      <c r="C1958" s="3481" t="s">
        <v>3400</v>
      </c>
      <c r="D1958" s="3482">
        <v>46.52</v>
      </c>
    </row>
    <row r="1959" spans="1:4">
      <c r="A1959" s="3536">
        <v>1958</v>
      </c>
      <c r="B1959" s="3481" t="s">
        <v>5510</v>
      </c>
      <c r="C1959" s="3481" t="s">
        <v>3400</v>
      </c>
      <c r="D1959" s="3482">
        <v>46.52</v>
      </c>
    </row>
    <row r="1960" spans="1:4">
      <c r="A1960" s="3536">
        <v>1959</v>
      </c>
      <c r="B1960" s="3481" t="s">
        <v>5511</v>
      </c>
      <c r="C1960" s="3481" t="s">
        <v>3400</v>
      </c>
      <c r="D1960" s="3482">
        <v>46.52</v>
      </c>
    </row>
    <row r="1961" spans="1:4">
      <c r="A1961" s="3536">
        <v>1960</v>
      </c>
      <c r="B1961" s="3481" t="s">
        <v>5512</v>
      </c>
      <c r="C1961" s="3481" t="s">
        <v>3400</v>
      </c>
      <c r="D1961" s="3482">
        <v>46.52</v>
      </c>
    </row>
    <row r="1962" spans="1:4">
      <c r="A1962" s="3536">
        <v>1961</v>
      </c>
      <c r="B1962" s="3481" t="s">
        <v>5513</v>
      </c>
      <c r="C1962" s="3481" t="s">
        <v>3400</v>
      </c>
      <c r="D1962" s="3482">
        <v>46.52</v>
      </c>
    </row>
    <row r="1963" spans="1:4">
      <c r="A1963" s="3536">
        <v>1962</v>
      </c>
      <c r="B1963" s="3481" t="s">
        <v>5514</v>
      </c>
      <c r="C1963" s="3481" t="s">
        <v>3400</v>
      </c>
      <c r="D1963" s="3482">
        <v>46.52</v>
      </c>
    </row>
    <row r="1964" spans="1:4">
      <c r="A1964" s="3536">
        <v>1963</v>
      </c>
      <c r="B1964" s="3481" t="s">
        <v>5515</v>
      </c>
      <c r="C1964" s="3481" t="s">
        <v>3400</v>
      </c>
      <c r="D1964" s="3482">
        <v>46.52</v>
      </c>
    </row>
    <row r="1965" spans="1:4">
      <c r="A1965" s="3536">
        <v>1964</v>
      </c>
      <c r="B1965" s="3481" t="s">
        <v>5516</v>
      </c>
      <c r="C1965" s="3481" t="s">
        <v>3400</v>
      </c>
      <c r="D1965" s="3482">
        <v>33.619999999999997</v>
      </c>
    </row>
    <row r="1966" spans="1:4">
      <c r="A1966" s="3536">
        <v>1965</v>
      </c>
      <c r="B1966" s="3481" t="s">
        <v>5517</v>
      </c>
      <c r="C1966" s="3481" t="s">
        <v>3400</v>
      </c>
      <c r="D1966" s="3482">
        <v>33.619999999999997</v>
      </c>
    </row>
    <row r="1967" spans="1:4">
      <c r="A1967" s="3536">
        <v>1966</v>
      </c>
      <c r="B1967" s="3481" t="s">
        <v>5518</v>
      </c>
      <c r="C1967" s="3481" t="s">
        <v>3400</v>
      </c>
      <c r="D1967" s="3482">
        <v>33.619999999999997</v>
      </c>
    </row>
    <row r="1968" spans="1:4">
      <c r="A1968" s="3536">
        <v>1967</v>
      </c>
      <c r="B1968" s="3481" t="s">
        <v>5519</v>
      </c>
      <c r="C1968" s="3481" t="s">
        <v>3400</v>
      </c>
      <c r="D1968" s="3482">
        <v>33.619999999999997</v>
      </c>
    </row>
    <row r="1969" spans="1:4">
      <c r="A1969" s="3536">
        <v>1968</v>
      </c>
      <c r="B1969" s="3481" t="s">
        <v>5520</v>
      </c>
      <c r="C1969" s="3481" t="s">
        <v>3400</v>
      </c>
      <c r="D1969" s="3482">
        <v>33.619999999999997</v>
      </c>
    </row>
    <row r="1970" spans="1:4">
      <c r="A1970" s="3536">
        <v>1969</v>
      </c>
      <c r="B1970" s="3481" t="s">
        <v>5521</v>
      </c>
      <c r="C1970" s="3481" t="s">
        <v>3400</v>
      </c>
      <c r="D1970" s="3482">
        <v>33.619999999999997</v>
      </c>
    </row>
    <row r="1971" spans="1:4">
      <c r="A1971" s="3536">
        <v>1970</v>
      </c>
      <c r="B1971" s="3481" t="s">
        <v>5522</v>
      </c>
      <c r="C1971" s="3481" t="s">
        <v>3400</v>
      </c>
      <c r="D1971" s="3482">
        <v>33.619999999999997</v>
      </c>
    </row>
    <row r="1972" spans="1:4">
      <c r="A1972" s="3536">
        <v>1971</v>
      </c>
      <c r="B1972" s="3481" t="s">
        <v>5523</v>
      </c>
      <c r="C1972" s="3481" t="s">
        <v>3400</v>
      </c>
      <c r="D1972" s="3482">
        <v>33.619999999999997</v>
      </c>
    </row>
    <row r="1973" spans="1:4">
      <c r="A1973" s="3536">
        <v>1972</v>
      </c>
      <c r="B1973" s="3481" t="s">
        <v>5524</v>
      </c>
      <c r="C1973" s="3481" t="s">
        <v>3400</v>
      </c>
      <c r="D1973" s="3482">
        <v>33.619999999999997</v>
      </c>
    </row>
    <row r="1974" spans="1:4">
      <c r="A1974" s="3536">
        <v>1973</v>
      </c>
      <c r="B1974" s="3481" t="s">
        <v>5525</v>
      </c>
      <c r="C1974" s="3481" t="s">
        <v>3400</v>
      </c>
      <c r="D1974" s="3482">
        <v>33.619999999999997</v>
      </c>
    </row>
    <row r="1975" spans="1:4">
      <c r="A1975" s="3536">
        <v>1974</v>
      </c>
      <c r="B1975" s="3481" t="s">
        <v>5526</v>
      </c>
      <c r="C1975" s="3481" t="s">
        <v>3400</v>
      </c>
      <c r="D1975" s="3482">
        <v>33.619999999999997</v>
      </c>
    </row>
    <row r="1976" spans="1:4">
      <c r="A1976" s="3536">
        <v>1975</v>
      </c>
      <c r="B1976" s="3481" t="s">
        <v>5527</v>
      </c>
      <c r="C1976" s="3481" t="s">
        <v>3400</v>
      </c>
      <c r="D1976" s="3482">
        <v>33.619999999999997</v>
      </c>
    </row>
    <row r="1977" spans="1:4">
      <c r="A1977" s="3536">
        <v>1976</v>
      </c>
      <c r="B1977" s="3481" t="s">
        <v>5528</v>
      </c>
      <c r="C1977" s="3481" t="s">
        <v>3400</v>
      </c>
      <c r="D1977" s="3482">
        <v>33.619999999999997</v>
      </c>
    </row>
    <row r="1978" spans="1:4">
      <c r="A1978" s="3536">
        <v>1977</v>
      </c>
      <c r="B1978" s="3481" t="s">
        <v>5529</v>
      </c>
      <c r="C1978" s="3481" t="s">
        <v>3400</v>
      </c>
      <c r="D1978" s="3482">
        <v>33.619999999999997</v>
      </c>
    </row>
    <row r="1979" spans="1:4">
      <c r="A1979" s="3536">
        <v>1978</v>
      </c>
      <c r="B1979" s="3481" t="s">
        <v>5530</v>
      </c>
      <c r="C1979" s="3481" t="s">
        <v>3400</v>
      </c>
      <c r="D1979" s="3482">
        <v>33.619999999999997</v>
      </c>
    </row>
    <row r="1980" spans="1:4">
      <c r="A1980" s="3536">
        <v>1979</v>
      </c>
      <c r="B1980" s="3481" t="s">
        <v>5531</v>
      </c>
      <c r="C1980" s="3481" t="s">
        <v>3400</v>
      </c>
      <c r="D1980" s="3482">
        <v>33.619999999999997</v>
      </c>
    </row>
    <row r="1981" spans="1:4">
      <c r="A1981" s="3536">
        <v>1980</v>
      </c>
      <c r="B1981" s="3481" t="s">
        <v>5532</v>
      </c>
      <c r="C1981" s="3481" t="s">
        <v>3400</v>
      </c>
      <c r="D1981" s="3482">
        <v>33.619999999999997</v>
      </c>
    </row>
    <row r="1982" spans="1:4">
      <c r="A1982" s="3536">
        <v>1981</v>
      </c>
      <c r="B1982" s="3481" t="s">
        <v>5533</v>
      </c>
      <c r="C1982" s="3481" t="s">
        <v>3400</v>
      </c>
      <c r="D1982" s="3482">
        <v>33.619999999999997</v>
      </c>
    </row>
    <row r="1983" spans="1:4">
      <c r="A1983" s="3536">
        <v>1982</v>
      </c>
      <c r="B1983" s="3481" t="s">
        <v>5534</v>
      </c>
      <c r="C1983" s="3481" t="s">
        <v>3400</v>
      </c>
      <c r="D1983" s="3482">
        <v>33.619999999999997</v>
      </c>
    </row>
    <row r="1984" spans="1:4">
      <c r="A1984" s="3536">
        <v>1983</v>
      </c>
      <c r="B1984" s="3481" t="s">
        <v>5535</v>
      </c>
      <c r="C1984" s="3481" t="s">
        <v>3400</v>
      </c>
      <c r="D1984" s="3482">
        <v>33.619999999999997</v>
      </c>
    </row>
    <row r="1985" spans="1:4">
      <c r="A1985" s="3536">
        <v>1984</v>
      </c>
      <c r="B1985" s="3481" t="s">
        <v>5536</v>
      </c>
      <c r="C1985" s="3481" t="s">
        <v>3400</v>
      </c>
      <c r="D1985" s="3482">
        <v>33.619999999999997</v>
      </c>
    </row>
    <row r="1986" spans="1:4">
      <c r="A1986" s="3536">
        <v>1985</v>
      </c>
      <c r="B1986" s="3481" t="s">
        <v>5537</v>
      </c>
      <c r="C1986" s="3481" t="s">
        <v>3400</v>
      </c>
      <c r="D1986" s="3482">
        <v>33.619999999999997</v>
      </c>
    </row>
    <row r="1987" spans="1:4">
      <c r="A1987" s="3536">
        <v>1986</v>
      </c>
      <c r="B1987" s="3481" t="s">
        <v>5538</v>
      </c>
      <c r="C1987" s="3481" t="s">
        <v>3400</v>
      </c>
      <c r="D1987" s="3482">
        <v>46.52</v>
      </c>
    </row>
    <row r="1988" spans="1:4">
      <c r="A1988" s="3536">
        <v>1987</v>
      </c>
      <c r="B1988" s="3481" t="s">
        <v>5539</v>
      </c>
      <c r="C1988" s="3481" t="s">
        <v>3400</v>
      </c>
      <c r="D1988" s="3482">
        <v>46.52</v>
      </c>
    </row>
    <row r="1989" spans="1:4">
      <c r="A1989" s="3536">
        <v>1988</v>
      </c>
      <c r="B1989" s="3481" t="s">
        <v>5540</v>
      </c>
      <c r="C1989" s="3481" t="s">
        <v>3400</v>
      </c>
      <c r="D1989" s="3482">
        <v>46.52</v>
      </c>
    </row>
    <row r="1990" spans="1:4">
      <c r="A1990" s="3536">
        <v>1989</v>
      </c>
      <c r="B1990" s="3481" t="s">
        <v>5541</v>
      </c>
      <c r="C1990" s="3481" t="s">
        <v>3400</v>
      </c>
      <c r="D1990" s="3482">
        <v>69.78</v>
      </c>
    </row>
    <row r="1991" spans="1:4">
      <c r="A1991" s="3536">
        <v>1990</v>
      </c>
      <c r="B1991" s="3481" t="s">
        <v>5542</v>
      </c>
      <c r="C1991" s="3481" t="s">
        <v>3400</v>
      </c>
      <c r="D1991" s="3482">
        <v>69.78</v>
      </c>
    </row>
    <row r="1992" spans="1:4">
      <c r="A1992" s="3536">
        <v>1991</v>
      </c>
      <c r="B1992" s="3481" t="s">
        <v>5543</v>
      </c>
      <c r="C1992" s="3481" t="s">
        <v>3400</v>
      </c>
      <c r="D1992" s="3482">
        <v>69.78</v>
      </c>
    </row>
    <row r="1993" spans="1:4">
      <c r="A1993" s="3536">
        <v>1992</v>
      </c>
      <c r="B1993" s="3481" t="s">
        <v>5544</v>
      </c>
      <c r="C1993" s="3481" t="s">
        <v>3400</v>
      </c>
      <c r="D1993" s="3482">
        <v>69.78</v>
      </c>
    </row>
    <row r="1994" spans="1:4">
      <c r="A1994" s="3536">
        <v>1993</v>
      </c>
      <c r="B1994" s="3481" t="s">
        <v>5545</v>
      </c>
      <c r="C1994" s="3481" t="s">
        <v>3400</v>
      </c>
      <c r="D1994" s="3482">
        <v>69.78</v>
      </c>
    </row>
    <row r="1995" spans="1:4">
      <c r="A1995" s="3536">
        <v>1994</v>
      </c>
      <c r="B1995" s="3481" t="s">
        <v>5546</v>
      </c>
      <c r="C1995" s="3481" t="s">
        <v>3400</v>
      </c>
      <c r="D1995" s="3482">
        <v>69.78</v>
      </c>
    </row>
    <row r="1996" spans="1:4">
      <c r="A1996" s="3536">
        <v>1995</v>
      </c>
      <c r="B1996" s="3481" t="s">
        <v>5547</v>
      </c>
      <c r="C1996" s="3481" t="s">
        <v>3400</v>
      </c>
      <c r="D1996" s="3482">
        <v>69.78</v>
      </c>
    </row>
    <row r="1997" spans="1:4">
      <c r="A1997" s="3536">
        <v>1996</v>
      </c>
      <c r="B1997" s="3481" t="s">
        <v>5548</v>
      </c>
      <c r="C1997" s="3481" t="s">
        <v>3400</v>
      </c>
      <c r="D1997" s="3482">
        <v>69.78</v>
      </c>
    </row>
    <row r="1998" spans="1:4">
      <c r="A1998" s="3536">
        <v>1997</v>
      </c>
      <c r="B1998" s="3481" t="s">
        <v>5549</v>
      </c>
      <c r="C1998" s="3481" t="s">
        <v>3400</v>
      </c>
      <c r="D1998" s="3482">
        <v>69.78</v>
      </c>
    </row>
    <row r="1999" spans="1:4">
      <c r="A1999" s="3536">
        <v>1998</v>
      </c>
      <c r="B1999" s="3481" t="s">
        <v>5550</v>
      </c>
      <c r="C1999" s="3481" t="s">
        <v>3400</v>
      </c>
      <c r="D1999" s="3482">
        <v>69.78</v>
      </c>
    </row>
    <row r="2000" spans="1:4">
      <c r="A2000" s="3536">
        <v>1999</v>
      </c>
      <c r="B2000" s="3481" t="s">
        <v>5551</v>
      </c>
      <c r="C2000" s="3481" t="s">
        <v>3400</v>
      </c>
      <c r="D2000" s="3482">
        <v>69.78</v>
      </c>
    </row>
    <row r="2001" spans="1:4">
      <c r="A2001" s="3536">
        <v>2000</v>
      </c>
      <c r="B2001" s="3481" t="s">
        <v>5552</v>
      </c>
      <c r="C2001" s="3481" t="s">
        <v>3400</v>
      </c>
      <c r="D2001" s="3482">
        <v>69.78</v>
      </c>
    </row>
    <row r="2002" spans="1:4">
      <c r="A2002" s="3536">
        <v>2001</v>
      </c>
      <c r="B2002" s="3481" t="s">
        <v>5553</v>
      </c>
      <c r="C2002" s="3481" t="s">
        <v>3400</v>
      </c>
      <c r="D2002" s="3482">
        <v>69.78</v>
      </c>
    </row>
    <row r="2003" spans="1:4">
      <c r="A2003" s="3536">
        <v>2002</v>
      </c>
      <c r="B2003" s="3481" t="s">
        <v>5554</v>
      </c>
      <c r="C2003" s="3481" t="s">
        <v>3400</v>
      </c>
      <c r="D2003" s="3482">
        <v>69.78</v>
      </c>
    </row>
    <row r="2004" spans="1:4">
      <c r="A2004" s="3536">
        <v>2003</v>
      </c>
      <c r="B2004" s="3481" t="s">
        <v>5555</v>
      </c>
      <c r="C2004" s="3481" t="s">
        <v>3400</v>
      </c>
      <c r="D2004" s="3482">
        <v>69.78</v>
      </c>
    </row>
    <row r="2005" spans="1:4">
      <c r="A2005" s="3536">
        <v>2004</v>
      </c>
      <c r="B2005" s="3481" t="s">
        <v>5556</v>
      </c>
      <c r="C2005" s="3481" t="s">
        <v>3400</v>
      </c>
      <c r="D2005" s="3482">
        <v>69.78</v>
      </c>
    </row>
    <row r="2006" spans="1:4">
      <c r="A2006" s="3536">
        <v>2005</v>
      </c>
      <c r="B2006" s="3481" t="s">
        <v>5557</v>
      </c>
      <c r="C2006" s="3481" t="s">
        <v>3400</v>
      </c>
      <c r="D2006" s="3482">
        <v>69.78</v>
      </c>
    </row>
    <row r="2007" spans="1:4">
      <c r="A2007" s="3536">
        <v>2006</v>
      </c>
      <c r="B2007" s="3481" t="s">
        <v>5558</v>
      </c>
      <c r="C2007" s="3481" t="s">
        <v>3400</v>
      </c>
      <c r="D2007" s="3482">
        <v>69.78</v>
      </c>
    </row>
    <row r="2008" spans="1:4">
      <c r="A2008" s="3536">
        <v>2007</v>
      </c>
      <c r="B2008" s="3481" t="s">
        <v>5559</v>
      </c>
      <c r="C2008" s="3481" t="s">
        <v>3400</v>
      </c>
      <c r="D2008" s="3482">
        <v>69.78</v>
      </c>
    </row>
    <row r="2009" spans="1:4">
      <c r="A2009" s="3536">
        <v>2008</v>
      </c>
      <c r="B2009" s="3481" t="s">
        <v>5560</v>
      </c>
      <c r="C2009" s="3481" t="s">
        <v>3400</v>
      </c>
      <c r="D2009" s="3482">
        <v>69.78</v>
      </c>
    </row>
    <row r="2010" spans="1:4">
      <c r="A2010" s="3536">
        <v>2009</v>
      </c>
      <c r="B2010" s="3481" t="s">
        <v>5561</v>
      </c>
      <c r="C2010" s="3481" t="s">
        <v>3400</v>
      </c>
      <c r="D2010" s="3482">
        <v>69.78</v>
      </c>
    </row>
    <row r="2011" spans="1:4">
      <c r="A2011" s="3536">
        <v>2010</v>
      </c>
      <c r="B2011" s="3481" t="s">
        <v>5562</v>
      </c>
      <c r="C2011" s="3481" t="s">
        <v>3400</v>
      </c>
      <c r="D2011" s="3482">
        <v>69.78</v>
      </c>
    </row>
    <row r="2012" spans="1:4">
      <c r="A2012" s="3536">
        <v>2011</v>
      </c>
      <c r="B2012" s="3481" t="s">
        <v>5563</v>
      </c>
      <c r="C2012" s="3481" t="s">
        <v>3400</v>
      </c>
      <c r="D2012" s="3482">
        <v>69.78</v>
      </c>
    </row>
    <row r="2013" spans="1:4">
      <c r="A2013" s="3536">
        <v>2012</v>
      </c>
      <c r="B2013" s="3481" t="s">
        <v>5564</v>
      </c>
      <c r="C2013" s="3481" t="s">
        <v>3400</v>
      </c>
      <c r="D2013" s="3482">
        <v>69.78</v>
      </c>
    </row>
    <row r="2014" spans="1:4">
      <c r="A2014" s="3536">
        <v>2013</v>
      </c>
      <c r="B2014" s="3481" t="s">
        <v>5565</v>
      </c>
      <c r="C2014" s="3481" t="s">
        <v>3400</v>
      </c>
      <c r="D2014" s="3482">
        <v>69.78</v>
      </c>
    </row>
    <row r="2015" spans="1:4">
      <c r="A2015" s="3536">
        <v>2014</v>
      </c>
      <c r="B2015" s="3481" t="s">
        <v>5566</v>
      </c>
      <c r="C2015" s="3481" t="s">
        <v>3400</v>
      </c>
      <c r="D2015" s="3482">
        <v>69.78</v>
      </c>
    </row>
    <row r="2016" spans="1:4">
      <c r="A2016" s="3536">
        <v>2015</v>
      </c>
      <c r="B2016" s="3481" t="s">
        <v>5567</v>
      </c>
      <c r="C2016" s="3481" t="s">
        <v>3400</v>
      </c>
      <c r="D2016" s="3482">
        <v>69.78</v>
      </c>
    </row>
    <row r="2017" spans="1:4">
      <c r="A2017" s="3536">
        <v>2016</v>
      </c>
      <c r="B2017" s="3481" t="s">
        <v>5568</v>
      </c>
      <c r="C2017" s="3481" t="s">
        <v>3400</v>
      </c>
      <c r="D2017" s="3482">
        <v>69.78</v>
      </c>
    </row>
    <row r="2018" spans="1:4">
      <c r="A2018" s="3536">
        <v>2017</v>
      </c>
      <c r="B2018" s="3481" t="s">
        <v>5569</v>
      </c>
      <c r="C2018" s="3481" t="s">
        <v>3400</v>
      </c>
      <c r="D2018" s="3482">
        <v>69.78</v>
      </c>
    </row>
    <row r="2019" spans="1:4">
      <c r="A2019" s="3536">
        <v>2018</v>
      </c>
      <c r="B2019" s="3481" t="s">
        <v>5570</v>
      </c>
      <c r="C2019" s="3481" t="s">
        <v>3400</v>
      </c>
      <c r="D2019" s="3482">
        <v>69.78</v>
      </c>
    </row>
    <row r="2020" spans="1:4">
      <c r="A2020" s="3536">
        <v>2019</v>
      </c>
      <c r="B2020" s="3481" t="s">
        <v>5571</v>
      </c>
      <c r="C2020" s="3481" t="s">
        <v>3400</v>
      </c>
      <c r="D2020" s="3482">
        <v>69.78</v>
      </c>
    </row>
    <row r="2021" spans="1:4">
      <c r="A2021" s="3536">
        <v>2020</v>
      </c>
      <c r="B2021" s="3481" t="s">
        <v>5572</v>
      </c>
      <c r="C2021" s="3481" t="s">
        <v>3400</v>
      </c>
      <c r="D2021" s="3482">
        <v>69.78</v>
      </c>
    </row>
    <row r="2022" spans="1:4">
      <c r="A2022" s="3536">
        <v>2021</v>
      </c>
      <c r="B2022" s="3481" t="s">
        <v>5573</v>
      </c>
      <c r="C2022" s="3481" t="s">
        <v>3400</v>
      </c>
      <c r="D2022" s="3482">
        <v>69.78</v>
      </c>
    </row>
    <row r="2023" spans="1:4">
      <c r="A2023" s="3536">
        <v>2022</v>
      </c>
      <c r="B2023" s="3481" t="s">
        <v>5574</v>
      </c>
      <c r="C2023" s="3481" t="s">
        <v>3400</v>
      </c>
      <c r="D2023" s="3482">
        <v>69.78</v>
      </c>
    </row>
    <row r="2024" spans="1:4">
      <c r="A2024" s="3536">
        <v>2023</v>
      </c>
      <c r="B2024" s="3481" t="s">
        <v>5575</v>
      </c>
      <c r="C2024" s="3481" t="s">
        <v>3400</v>
      </c>
      <c r="D2024" s="3482">
        <v>69.78</v>
      </c>
    </row>
    <row r="2025" spans="1:4">
      <c r="A2025" s="3536">
        <v>2024</v>
      </c>
      <c r="B2025" s="3481" t="s">
        <v>5576</v>
      </c>
      <c r="C2025" s="3481" t="s">
        <v>3400</v>
      </c>
      <c r="D2025" s="3482">
        <v>69.78</v>
      </c>
    </row>
    <row r="2026" spans="1:4">
      <c r="A2026" s="3536">
        <v>2025</v>
      </c>
      <c r="B2026" s="3481" t="s">
        <v>5577</v>
      </c>
      <c r="C2026" s="3481" t="s">
        <v>3400</v>
      </c>
      <c r="D2026" s="3482">
        <v>69.78</v>
      </c>
    </row>
    <row r="2027" spans="1:4">
      <c r="A2027" s="3536">
        <v>2026</v>
      </c>
      <c r="B2027" s="3481" t="s">
        <v>5578</v>
      </c>
      <c r="C2027" s="3481" t="s">
        <v>3400</v>
      </c>
      <c r="D2027" s="3482">
        <v>69.78</v>
      </c>
    </row>
    <row r="2028" spans="1:4">
      <c r="A2028" s="3536">
        <v>2027</v>
      </c>
      <c r="B2028" s="3481" t="s">
        <v>5579</v>
      </c>
      <c r="C2028" s="3481" t="s">
        <v>3400</v>
      </c>
      <c r="D2028" s="3482">
        <v>69.78</v>
      </c>
    </row>
    <row r="2029" spans="1:4">
      <c r="A2029" s="3536">
        <v>2028</v>
      </c>
      <c r="B2029" s="3481" t="s">
        <v>5580</v>
      </c>
      <c r="C2029" s="3481" t="s">
        <v>3400</v>
      </c>
      <c r="D2029" s="3482">
        <v>69.78</v>
      </c>
    </row>
    <row r="2030" spans="1:4">
      <c r="A2030" s="3536">
        <v>2029</v>
      </c>
      <c r="B2030" s="3481" t="s">
        <v>5581</v>
      </c>
      <c r="C2030" s="3481" t="s">
        <v>3400</v>
      </c>
      <c r="D2030" s="3482">
        <v>69.78</v>
      </c>
    </row>
    <row r="2031" spans="1:4">
      <c r="A2031" s="3536">
        <v>2030</v>
      </c>
      <c r="B2031" s="3481" t="s">
        <v>5582</v>
      </c>
      <c r="C2031" s="3481" t="s">
        <v>3400</v>
      </c>
      <c r="D2031" s="3482">
        <v>69.78</v>
      </c>
    </row>
    <row r="2032" spans="1:4">
      <c r="A2032" s="3536">
        <v>2031</v>
      </c>
      <c r="B2032" s="3481" t="s">
        <v>5583</v>
      </c>
      <c r="C2032" s="3481" t="s">
        <v>3400</v>
      </c>
      <c r="D2032" s="3482">
        <v>69.78</v>
      </c>
    </row>
    <row r="2033" spans="1:4">
      <c r="A2033" s="3536">
        <v>2032</v>
      </c>
      <c r="B2033" s="3481" t="s">
        <v>5584</v>
      </c>
      <c r="C2033" s="3481" t="s">
        <v>3400</v>
      </c>
      <c r="D2033" s="3482">
        <v>69.78</v>
      </c>
    </row>
    <row r="2034" spans="1:4">
      <c r="A2034" s="3536">
        <v>2033</v>
      </c>
      <c r="B2034" s="3481" t="s">
        <v>5585</v>
      </c>
      <c r="C2034" s="3481" t="s">
        <v>3400</v>
      </c>
      <c r="D2034" s="3482">
        <v>69.78</v>
      </c>
    </row>
    <row r="2035" spans="1:4">
      <c r="A2035" s="3536">
        <v>2034</v>
      </c>
      <c r="B2035" s="3481" t="s">
        <v>5586</v>
      </c>
      <c r="C2035" s="3481" t="s">
        <v>3400</v>
      </c>
      <c r="D2035" s="3482">
        <v>69.78</v>
      </c>
    </row>
    <row r="2036" spans="1:4">
      <c r="A2036" s="3536">
        <v>2035</v>
      </c>
      <c r="B2036" s="3481" t="s">
        <v>5587</v>
      </c>
      <c r="C2036" s="3481" t="s">
        <v>3400</v>
      </c>
      <c r="D2036" s="3482">
        <v>69.78</v>
      </c>
    </row>
    <row r="2037" spans="1:4">
      <c r="A2037" s="3536">
        <v>2036</v>
      </c>
      <c r="B2037" s="3481" t="s">
        <v>5588</v>
      </c>
      <c r="C2037" s="3481" t="s">
        <v>3400</v>
      </c>
      <c r="D2037" s="3482">
        <v>69.78</v>
      </c>
    </row>
    <row r="2038" spans="1:4">
      <c r="A2038" s="3536">
        <v>2037</v>
      </c>
      <c r="B2038" s="3481" t="s">
        <v>5589</v>
      </c>
      <c r="C2038" s="3481" t="s">
        <v>3400</v>
      </c>
      <c r="D2038" s="3482">
        <v>69.78</v>
      </c>
    </row>
    <row r="2039" spans="1:4">
      <c r="A2039" s="3536">
        <v>2038</v>
      </c>
      <c r="B2039" s="3481" t="s">
        <v>5590</v>
      </c>
      <c r="C2039" s="3481" t="s">
        <v>3400</v>
      </c>
      <c r="D2039" s="3482">
        <v>69.78</v>
      </c>
    </row>
    <row r="2040" spans="1:4">
      <c r="A2040" s="3536">
        <v>2039</v>
      </c>
      <c r="B2040" s="3481" t="s">
        <v>5591</v>
      </c>
      <c r="C2040" s="3481" t="s">
        <v>3400</v>
      </c>
      <c r="D2040" s="3482">
        <v>69.78</v>
      </c>
    </row>
    <row r="2041" spans="1:4">
      <c r="A2041" s="3536">
        <v>2040</v>
      </c>
      <c r="B2041" s="3481" t="s">
        <v>5592</v>
      </c>
      <c r="C2041" s="3481" t="s">
        <v>3400</v>
      </c>
      <c r="D2041" s="3482">
        <v>69.78</v>
      </c>
    </row>
    <row r="2042" spans="1:4">
      <c r="A2042" s="3536">
        <v>2041</v>
      </c>
      <c r="B2042" s="3481" t="s">
        <v>5593</v>
      </c>
      <c r="C2042" s="3481" t="s">
        <v>3400</v>
      </c>
      <c r="D2042" s="3482">
        <v>69.78</v>
      </c>
    </row>
    <row r="2043" spans="1:4">
      <c r="A2043" s="3536">
        <v>2042</v>
      </c>
      <c r="B2043" s="3481" t="s">
        <v>5594</v>
      </c>
      <c r="C2043" s="3481" t="s">
        <v>3400</v>
      </c>
      <c r="D2043" s="3482">
        <v>69.78</v>
      </c>
    </row>
    <row r="2044" spans="1:4">
      <c r="A2044" s="3536">
        <v>2043</v>
      </c>
      <c r="B2044" s="3481" t="s">
        <v>5595</v>
      </c>
      <c r="C2044" s="3481" t="s">
        <v>3400</v>
      </c>
      <c r="D2044" s="3482">
        <v>69.78</v>
      </c>
    </row>
    <row r="2045" spans="1:4">
      <c r="A2045" s="3536">
        <v>2044</v>
      </c>
      <c r="B2045" s="3481" t="s">
        <v>5596</v>
      </c>
      <c r="C2045" s="3481" t="s">
        <v>3400</v>
      </c>
      <c r="D2045" s="3482">
        <v>69.78</v>
      </c>
    </row>
    <row r="2046" spans="1:4">
      <c r="A2046" s="3536">
        <v>2045</v>
      </c>
      <c r="B2046" s="3481" t="s">
        <v>5597</v>
      </c>
      <c r="C2046" s="3481" t="s">
        <v>3400</v>
      </c>
      <c r="D2046" s="3482">
        <v>69.78</v>
      </c>
    </row>
    <row r="2047" spans="1:4">
      <c r="A2047" s="3536">
        <v>2046</v>
      </c>
      <c r="B2047" s="3481" t="s">
        <v>5598</v>
      </c>
      <c r="C2047" s="3481" t="s">
        <v>3400</v>
      </c>
      <c r="D2047" s="3482">
        <v>69.78</v>
      </c>
    </row>
    <row r="2048" spans="1:4">
      <c r="A2048" s="3536">
        <v>2047</v>
      </c>
      <c r="B2048" s="3481" t="s">
        <v>5599</v>
      </c>
      <c r="C2048" s="3481" t="s">
        <v>3400</v>
      </c>
      <c r="D2048" s="3482">
        <v>69.78</v>
      </c>
    </row>
    <row r="2049" spans="1:4">
      <c r="A2049" s="3536">
        <v>2048</v>
      </c>
      <c r="B2049" s="3481" t="s">
        <v>5600</v>
      </c>
      <c r="C2049" s="3481" t="s">
        <v>3400</v>
      </c>
      <c r="D2049" s="3482">
        <v>69.78</v>
      </c>
    </row>
    <row r="2050" spans="1:4">
      <c r="B2050" s="3481" t="s">
        <v>6376</v>
      </c>
      <c r="C2050" s="3481" t="s">
        <v>3395</v>
      </c>
      <c r="D2050" s="3482">
        <v>4082</v>
      </c>
    </row>
    <row r="2051" spans="1:4" ht="16.5">
      <c r="B2051" s="3481" t="s">
        <v>6377</v>
      </c>
      <c r="C2051" s="3484" t="s">
        <v>5318</v>
      </c>
      <c r="D2051" s="3482">
        <v>2839</v>
      </c>
    </row>
    <row r="2052" spans="1:4" ht="16.5">
      <c r="B2052" s="3481" t="s">
        <v>6377</v>
      </c>
      <c r="C2052" s="3484" t="s">
        <v>5305</v>
      </c>
      <c r="D2052" s="3482">
        <v>1372</v>
      </c>
    </row>
    <row r="2053" spans="1:4">
      <c r="B2053" s="3481" t="s">
        <v>6378</v>
      </c>
      <c r="C2053" s="3481" t="s">
        <v>3338</v>
      </c>
      <c r="D2053" s="3482">
        <v>9569</v>
      </c>
    </row>
    <row r="2054" spans="1:4">
      <c r="B2054" s="3481" t="s">
        <v>6379</v>
      </c>
      <c r="C2054" s="3536" t="s">
        <v>3400</v>
      </c>
      <c r="D2054" s="3482">
        <v>23699</v>
      </c>
    </row>
    <row r="2055" spans="1:4">
      <c r="A2055" s="3603" t="s">
        <v>3401</v>
      </c>
      <c r="B2055" s="3603"/>
      <c r="C2055" s="3537"/>
      <c r="D2055" s="3537">
        <f>SUM(D2:D2054)</f>
        <v>178258.74999999828</v>
      </c>
    </row>
    <row r="2056" spans="1:4">
      <c r="A2056" s="3485"/>
      <c r="B2056" s="3485"/>
      <c r="C2056" s="3485"/>
      <c r="D2056" s="3485"/>
    </row>
    <row r="2057" spans="1:4">
      <c r="A2057" s="3485"/>
      <c r="B2057" s="3485"/>
      <c r="C2057" s="3485"/>
      <c r="D2057" s="3485"/>
    </row>
    <row r="2058" spans="1:4">
      <c r="A2058" s="3485"/>
      <c r="B2058" s="3485"/>
      <c r="C2058" s="3485"/>
      <c r="D2058" s="3485"/>
    </row>
    <row r="2059" spans="1:4">
      <c r="A2059" s="3485"/>
      <c r="B2059" s="3485"/>
      <c r="C2059" s="3485"/>
      <c r="D2059" s="3485"/>
    </row>
    <row r="2060" spans="1:4">
      <c r="A2060" s="3485"/>
      <c r="B2060" s="3485"/>
      <c r="C2060" s="3485"/>
      <c r="D2060" s="3485"/>
    </row>
    <row r="2061" spans="1:4">
      <c r="A2061" s="3485"/>
      <c r="B2061" s="3485"/>
      <c r="C2061" s="3485"/>
      <c r="D2061" s="3485"/>
    </row>
    <row r="2062" spans="1:4">
      <c r="A2062" s="3485"/>
      <c r="B2062" s="3485"/>
      <c r="C2062" s="3485"/>
      <c r="D2062" s="3485"/>
    </row>
    <row r="2063" spans="1:4">
      <c r="A2063" s="3485"/>
      <c r="B2063" s="3485"/>
      <c r="C2063" s="3485"/>
      <c r="D2063" s="3485"/>
    </row>
    <row r="2064" spans="1:4">
      <c r="A2064" s="3485"/>
      <c r="B2064" s="3485"/>
      <c r="C2064" s="3485"/>
      <c r="D2064" s="3485"/>
    </row>
    <row r="2065" spans="1:4">
      <c r="A2065" s="3485"/>
      <c r="B2065" s="3485"/>
      <c r="C2065" s="3485"/>
      <c r="D2065" s="3485"/>
    </row>
    <row r="2066" spans="1:4">
      <c r="A2066" s="3485"/>
      <c r="B2066" s="3485"/>
      <c r="C2066" s="3485"/>
      <c r="D2066" s="3485"/>
    </row>
    <row r="2067" spans="1:4">
      <c r="A2067" s="3485"/>
      <c r="B2067" s="3485"/>
      <c r="C2067" s="3485"/>
      <c r="D2067" s="3485"/>
    </row>
    <row r="2068" spans="1:4">
      <c r="A2068" s="3485"/>
      <c r="B2068" s="3485"/>
      <c r="C2068" s="3485"/>
      <c r="D2068" s="3485"/>
    </row>
    <row r="2069" spans="1:4">
      <c r="A2069" s="3485"/>
      <c r="B2069" s="3485"/>
      <c r="C2069" s="3485"/>
      <c r="D2069" s="3485"/>
    </row>
    <row r="2070" spans="1:4">
      <c r="A2070" s="3485"/>
      <c r="B2070" s="3485"/>
      <c r="C2070" s="3485"/>
      <c r="D2070" s="3485"/>
    </row>
    <row r="2071" spans="1:4">
      <c r="A2071" s="3485"/>
      <c r="B2071" s="3485"/>
      <c r="C2071" s="3485"/>
      <c r="D2071" s="3485"/>
    </row>
    <row r="2072" spans="1:4">
      <c r="A2072" s="3485"/>
      <c r="B2072" s="3485"/>
      <c r="C2072" s="3485"/>
      <c r="D2072" s="3485"/>
    </row>
    <row r="2073" spans="1:4">
      <c r="A2073" s="3485"/>
      <c r="B2073" s="3485"/>
      <c r="C2073" s="3485"/>
      <c r="D2073" s="3485"/>
    </row>
    <row r="2074" spans="1:4">
      <c r="A2074" s="3485"/>
      <c r="B2074" s="3485"/>
      <c r="C2074" s="3485"/>
      <c r="D2074" s="3485"/>
    </row>
    <row r="2075" spans="1:4">
      <c r="A2075" s="3485"/>
      <c r="B2075" s="3485"/>
      <c r="C2075" s="3485"/>
      <c r="D2075" s="3485"/>
    </row>
    <row r="2076" spans="1:4">
      <c r="A2076" s="3485"/>
      <c r="B2076" s="3485"/>
      <c r="C2076" s="3485"/>
      <c r="D2076" s="3485"/>
    </row>
    <row r="2077" spans="1:4">
      <c r="A2077" s="3485"/>
      <c r="B2077" s="3485"/>
      <c r="C2077" s="3485"/>
      <c r="D2077" s="3485"/>
    </row>
    <row r="2078" spans="1:4">
      <c r="A2078" s="3485"/>
      <c r="B2078" s="3485"/>
      <c r="C2078" s="3485"/>
      <c r="D2078" s="3485"/>
    </row>
    <row r="2079" spans="1:4">
      <c r="A2079" s="3485"/>
      <c r="B2079" s="3485"/>
      <c r="C2079" s="3485"/>
      <c r="D2079" s="3485"/>
    </row>
    <row r="2080" spans="1:4">
      <c r="A2080" s="3485"/>
      <c r="B2080" s="3485"/>
      <c r="C2080" s="3485"/>
      <c r="D2080" s="3485"/>
    </row>
    <row r="2081" spans="1:4">
      <c r="A2081" s="3485"/>
      <c r="B2081" s="3485"/>
      <c r="C2081" s="3485"/>
      <c r="D2081" s="3485"/>
    </row>
    <row r="2082" spans="1:4">
      <c r="A2082" s="3485"/>
      <c r="B2082" s="3485"/>
      <c r="C2082" s="3485"/>
      <c r="D2082" s="3485"/>
    </row>
    <row r="2083" spans="1:4">
      <c r="A2083" s="3485"/>
      <c r="B2083" s="3485"/>
      <c r="C2083" s="3485"/>
      <c r="D2083" s="3485"/>
    </row>
    <row r="2084" spans="1:4">
      <c r="A2084" s="3485"/>
      <c r="B2084" s="3485"/>
      <c r="C2084" s="3485"/>
      <c r="D2084" s="3485"/>
    </row>
    <row r="2085" spans="1:4">
      <c r="A2085" s="3485"/>
      <c r="B2085" s="3485"/>
      <c r="C2085" s="3485"/>
      <c r="D2085" s="3485"/>
    </row>
    <row r="2086" spans="1:4">
      <c r="A2086" s="3485"/>
      <c r="B2086" s="3485"/>
      <c r="C2086" s="3485"/>
      <c r="D2086" s="3485"/>
    </row>
    <row r="2087" spans="1:4">
      <c r="A2087" s="3485"/>
      <c r="B2087" s="3485"/>
      <c r="C2087" s="3485"/>
      <c r="D2087" s="3485"/>
    </row>
    <row r="2088" spans="1:4">
      <c r="A2088" s="3485"/>
      <c r="B2088" s="3485"/>
      <c r="C2088" s="3485"/>
      <c r="D2088" s="3485"/>
    </row>
    <row r="2089" spans="1:4">
      <c r="A2089" s="3485"/>
      <c r="B2089" s="3485"/>
      <c r="C2089" s="3485"/>
      <c r="D2089" s="3485"/>
    </row>
    <row r="2090" spans="1:4">
      <c r="A2090" s="3485"/>
      <c r="B2090" s="3485"/>
      <c r="C2090" s="3485"/>
      <c r="D2090" s="3485"/>
    </row>
    <row r="2091" spans="1:4">
      <c r="A2091" s="3485"/>
      <c r="B2091" s="3485"/>
      <c r="C2091" s="3485"/>
      <c r="D2091" s="3485"/>
    </row>
    <row r="2092" spans="1:4">
      <c r="A2092" s="3485"/>
      <c r="B2092" s="3485"/>
      <c r="C2092" s="3485"/>
      <c r="D2092" s="3485"/>
    </row>
    <row r="2093" spans="1:4">
      <c r="A2093" s="3485"/>
      <c r="B2093" s="3485"/>
      <c r="C2093" s="3485"/>
      <c r="D2093" s="3485"/>
    </row>
    <row r="2094" spans="1:4">
      <c r="A2094" s="3485"/>
      <c r="B2094" s="3485"/>
      <c r="C2094" s="3485"/>
      <c r="D2094" s="3485"/>
    </row>
    <row r="2095" spans="1:4">
      <c r="A2095" s="3485"/>
      <c r="B2095" s="3485"/>
      <c r="C2095" s="3485"/>
      <c r="D2095" s="3485"/>
    </row>
    <row r="2096" spans="1:4">
      <c r="A2096" s="3485"/>
      <c r="B2096" s="3485"/>
      <c r="C2096" s="3485"/>
      <c r="D2096" s="3485"/>
    </row>
    <row r="2097" spans="1:4">
      <c r="A2097" s="3485"/>
      <c r="B2097" s="3485"/>
      <c r="C2097" s="3485"/>
      <c r="D2097" s="3485"/>
    </row>
    <row r="2098" spans="1:4">
      <c r="A2098" s="3485"/>
      <c r="B2098" s="3485"/>
      <c r="C2098" s="3485"/>
      <c r="D2098" s="3485"/>
    </row>
    <row r="2099" spans="1:4">
      <c r="A2099" s="3485"/>
      <c r="B2099" s="3485"/>
      <c r="C2099" s="3485"/>
      <c r="D2099" s="3485"/>
    </row>
    <row r="2100" spans="1:4">
      <c r="A2100" s="3485"/>
      <c r="B2100" s="3485"/>
      <c r="C2100" s="3485"/>
      <c r="D2100" s="3485"/>
    </row>
    <row r="2101" spans="1:4">
      <c r="A2101" s="3485"/>
      <c r="B2101" s="3485"/>
      <c r="C2101" s="3485"/>
      <c r="D2101" s="3485"/>
    </row>
    <row r="2102" spans="1:4">
      <c r="A2102" s="3557"/>
      <c r="B2102" s="3557"/>
      <c r="C2102" s="3557"/>
      <c r="D2102" s="3557"/>
    </row>
    <row r="2103" spans="1:4">
      <c r="A2103" s="3485"/>
      <c r="B2103" s="3485"/>
      <c r="C2103" s="3485"/>
      <c r="D2103" s="3485"/>
    </row>
    <row r="2104" spans="1:4">
      <c r="A2104" s="3485"/>
      <c r="B2104" s="3485"/>
      <c r="C2104" s="3485"/>
      <c r="D2104" s="3485"/>
    </row>
    <row r="2105" spans="1:4">
      <c r="A2105" s="3485"/>
      <c r="B2105" s="3485"/>
      <c r="C2105" s="3485"/>
      <c r="D2105" s="3485"/>
    </row>
    <row r="2106" spans="1:4">
      <c r="A2106" s="3485"/>
      <c r="B2106" s="3485"/>
      <c r="C2106" s="3485"/>
      <c r="D2106" s="3485"/>
    </row>
    <row r="2107" spans="1:4">
      <c r="A2107" s="3485"/>
      <c r="B2107" s="3485"/>
      <c r="C2107" s="3485"/>
      <c r="D2107" s="3485"/>
    </row>
    <row r="2108" spans="1:4">
      <c r="A2108" s="3485"/>
      <c r="B2108" s="3485"/>
      <c r="C2108" s="3485"/>
      <c r="D2108" s="3485"/>
    </row>
    <row r="2109" spans="1:4">
      <c r="A2109" s="3485"/>
      <c r="B2109" s="3485"/>
      <c r="C2109" s="3485"/>
      <c r="D2109" s="3485"/>
    </row>
    <row r="2110" spans="1:4">
      <c r="A2110" s="3485"/>
      <c r="B2110" s="3485"/>
      <c r="C2110" s="3485"/>
      <c r="D2110" s="3485"/>
    </row>
    <row r="2111" spans="1:4">
      <c r="A2111" s="3485"/>
      <c r="B2111" s="3485"/>
      <c r="C2111" s="3485"/>
      <c r="D2111" s="3485"/>
    </row>
    <row r="2112" spans="1:4">
      <c r="A2112" s="3485"/>
      <c r="B2112" s="3485"/>
      <c r="C2112" s="3485"/>
      <c r="D2112" s="3485"/>
    </row>
    <row r="2113" spans="1:4">
      <c r="A2113" s="3485"/>
      <c r="B2113" s="3485"/>
      <c r="C2113" s="3485"/>
      <c r="D2113" s="3485"/>
    </row>
    <row r="2114" spans="1:4">
      <c r="A2114" s="3485"/>
      <c r="B2114" s="3485"/>
      <c r="C2114" s="3485"/>
      <c r="D2114" s="3485"/>
    </row>
    <row r="2115" spans="1:4">
      <c r="A2115" s="3485"/>
      <c r="B2115" s="3485"/>
      <c r="C2115" s="3485"/>
      <c r="D2115" s="3485"/>
    </row>
    <row r="2116" spans="1:4">
      <c r="A2116" s="3485"/>
      <c r="B2116" s="3485"/>
      <c r="C2116" s="3485"/>
      <c r="D2116" s="3485"/>
    </row>
    <row r="2117" spans="1:4">
      <c r="A2117" s="3485"/>
      <c r="B2117" s="3485"/>
      <c r="C2117" s="3485"/>
      <c r="D2117" s="3485"/>
    </row>
    <row r="2118" spans="1:4">
      <c r="A2118" s="3485"/>
      <c r="B2118" s="3485"/>
      <c r="C2118" s="3485"/>
      <c r="D2118" s="3485"/>
    </row>
    <row r="2119" spans="1:4">
      <c r="A2119" s="3485"/>
      <c r="B2119" s="3485"/>
      <c r="C2119" s="3485"/>
      <c r="D2119" s="3485"/>
    </row>
    <row r="2120" spans="1:4">
      <c r="A2120" s="3485"/>
      <c r="B2120" s="3485"/>
      <c r="C2120" s="3485"/>
      <c r="D2120" s="3485"/>
    </row>
    <row r="2121" spans="1:4">
      <c r="A2121" s="3485"/>
      <c r="B2121" s="3485"/>
      <c r="C2121" s="3485"/>
      <c r="D2121" s="3485"/>
    </row>
    <row r="2122" spans="1:4">
      <c r="A2122" s="3485"/>
      <c r="B2122" s="3485"/>
      <c r="C2122" s="3485"/>
      <c r="D2122" s="3485"/>
    </row>
    <row r="2123" spans="1:4">
      <c r="A2123" s="3485"/>
      <c r="B2123" s="3485"/>
      <c r="C2123" s="3485"/>
      <c r="D2123" s="3485"/>
    </row>
    <row r="2124" spans="1:4">
      <c r="A2124" s="3485"/>
      <c r="B2124" s="3485"/>
      <c r="C2124" s="3485"/>
      <c r="D2124" s="3485"/>
    </row>
    <row r="2125" spans="1:4">
      <c r="A2125" s="3485"/>
      <c r="B2125" s="3485"/>
      <c r="C2125" s="3485"/>
      <c r="D2125" s="3485"/>
    </row>
    <row r="2126" spans="1:4">
      <c r="A2126" s="3485"/>
      <c r="B2126" s="3485"/>
      <c r="C2126" s="3485"/>
      <c r="D2126" s="3485"/>
    </row>
    <row r="2127" spans="1:4">
      <c r="A2127" s="3485"/>
      <c r="B2127" s="3485"/>
      <c r="C2127" s="3485"/>
      <c r="D2127" s="3485"/>
    </row>
    <row r="2128" spans="1:4">
      <c r="A2128" s="3485"/>
      <c r="B2128" s="3485"/>
      <c r="C2128" s="3485"/>
      <c r="D2128" s="3485"/>
    </row>
    <row r="2129" spans="1:4">
      <c r="A2129" s="3485"/>
      <c r="B2129" s="3485"/>
      <c r="C2129" s="3485"/>
      <c r="D2129" s="3485"/>
    </row>
    <row r="2130" spans="1:4">
      <c r="A2130" s="3485"/>
      <c r="B2130" s="3485"/>
      <c r="C2130" s="3485"/>
      <c r="D2130" s="3485"/>
    </row>
    <row r="2131" spans="1:4">
      <c r="A2131" s="3485"/>
      <c r="B2131" s="3485"/>
      <c r="C2131" s="3485"/>
      <c r="D2131" s="3485"/>
    </row>
    <row r="2132" spans="1:4">
      <c r="A2132" s="3485"/>
      <c r="B2132" s="3485"/>
      <c r="C2132" s="3485"/>
      <c r="D2132" s="3485"/>
    </row>
    <row r="2133" spans="1:4">
      <c r="A2133" s="3485"/>
      <c r="B2133" s="3485"/>
      <c r="C2133" s="3485"/>
      <c r="D2133" s="3485"/>
    </row>
    <row r="2134" spans="1:4">
      <c r="A2134" s="3485"/>
      <c r="B2134" s="3485"/>
      <c r="C2134" s="3485"/>
      <c r="D2134" s="3485"/>
    </row>
    <row r="2135" spans="1:4">
      <c r="A2135" s="3485"/>
      <c r="B2135" s="3485"/>
      <c r="C2135" s="3485"/>
      <c r="D2135" s="3485"/>
    </row>
    <row r="2136" spans="1:4">
      <c r="A2136" s="3485"/>
      <c r="B2136" s="3485"/>
      <c r="C2136" s="3485"/>
      <c r="D2136" s="3485"/>
    </row>
    <row r="2137" spans="1:4">
      <c r="A2137" s="3485"/>
      <c r="B2137" s="3485"/>
      <c r="C2137" s="3485"/>
      <c r="D2137" s="3485"/>
    </row>
    <row r="2138" spans="1:4">
      <c r="A2138" s="3485"/>
      <c r="B2138" s="3485"/>
      <c r="C2138" s="3485"/>
      <c r="D2138" s="3485"/>
    </row>
    <row r="2139" spans="1:4">
      <c r="A2139" s="3485"/>
      <c r="B2139" s="3485"/>
      <c r="C2139" s="3485"/>
      <c r="D2139" s="3485"/>
    </row>
    <row r="2140" spans="1:4">
      <c r="A2140" s="3485"/>
      <c r="B2140" s="3485"/>
      <c r="C2140" s="3485"/>
      <c r="D2140" s="3485"/>
    </row>
    <row r="2141" spans="1:4">
      <c r="A2141" s="3485"/>
      <c r="B2141" s="3485"/>
      <c r="C2141" s="3485"/>
      <c r="D2141" s="3485"/>
    </row>
    <row r="2142" spans="1:4">
      <c r="A2142" s="3485"/>
      <c r="B2142" s="3485"/>
      <c r="C2142" s="3485"/>
      <c r="D2142" s="3485"/>
    </row>
    <row r="2143" spans="1:4">
      <c r="A2143" s="3485"/>
      <c r="B2143" s="3485"/>
      <c r="C2143" s="3485"/>
      <c r="D2143" s="3485"/>
    </row>
    <row r="2144" spans="1:4">
      <c r="A2144" s="3485"/>
      <c r="B2144" s="3485"/>
      <c r="C2144" s="3485"/>
      <c r="D2144" s="3485"/>
    </row>
    <row r="2145" spans="1:4">
      <c r="A2145" s="3485"/>
      <c r="B2145" s="3485"/>
      <c r="C2145" s="3485"/>
      <c r="D2145" s="3485"/>
    </row>
    <row r="2146" spans="1:4">
      <c r="A2146" s="3485"/>
      <c r="B2146" s="3485"/>
      <c r="C2146" s="3485"/>
      <c r="D2146" s="3485"/>
    </row>
    <row r="2147" spans="1:4">
      <c r="A2147" s="3485"/>
      <c r="B2147" s="3485"/>
      <c r="C2147" s="3485"/>
      <c r="D2147" s="3485"/>
    </row>
    <row r="2148" spans="1:4">
      <c r="A2148" s="3485"/>
      <c r="B2148" s="3485"/>
      <c r="C2148" s="3485"/>
      <c r="D2148" s="3485"/>
    </row>
    <row r="2149" spans="1:4">
      <c r="A2149" s="3485"/>
      <c r="B2149" s="3485"/>
      <c r="C2149" s="3485"/>
      <c r="D2149" s="3485"/>
    </row>
    <row r="2150" spans="1:4">
      <c r="A2150" s="3485"/>
      <c r="B2150" s="3485"/>
      <c r="C2150" s="3485"/>
      <c r="D2150" s="3485"/>
    </row>
    <row r="2151" spans="1:4">
      <c r="A2151" s="3485"/>
      <c r="B2151" s="3485"/>
      <c r="C2151" s="3485"/>
      <c r="D2151" s="3485"/>
    </row>
    <row r="2152" spans="1:4">
      <c r="A2152" s="3485"/>
      <c r="B2152" s="3485"/>
      <c r="C2152" s="3485"/>
      <c r="D2152" s="3485"/>
    </row>
    <row r="2153" spans="1:4">
      <c r="A2153" s="3485"/>
      <c r="B2153" s="3485"/>
      <c r="C2153" s="3485"/>
      <c r="D2153" s="3485"/>
    </row>
    <row r="2154" spans="1:4">
      <c r="A2154" s="3485"/>
      <c r="B2154" s="3485"/>
      <c r="C2154" s="3485"/>
      <c r="D2154" s="3485"/>
    </row>
    <row r="2155" spans="1:4">
      <c r="A2155" s="3485"/>
      <c r="B2155" s="3485"/>
      <c r="C2155" s="3485"/>
      <c r="D2155" s="3485"/>
    </row>
    <row r="2156" spans="1:4">
      <c r="A2156" s="3485"/>
      <c r="B2156" s="3485"/>
      <c r="C2156" s="3485"/>
      <c r="D2156" s="3485"/>
    </row>
    <row r="2157" spans="1:4">
      <c r="A2157" s="3485"/>
      <c r="B2157" s="3485"/>
      <c r="C2157" s="3485"/>
      <c r="D2157" s="3485"/>
    </row>
    <row r="2158" spans="1:4">
      <c r="A2158" s="3485"/>
      <c r="B2158" s="3485"/>
      <c r="C2158" s="3485"/>
      <c r="D2158" s="3485"/>
    </row>
    <row r="2159" spans="1:4">
      <c r="A2159" s="3485"/>
      <c r="B2159" s="3485"/>
      <c r="C2159" s="3485"/>
      <c r="D2159" s="3485"/>
    </row>
    <row r="2160" spans="1:4">
      <c r="A2160" s="3485"/>
      <c r="B2160" s="3485"/>
      <c r="C2160" s="3485"/>
      <c r="D2160" s="3485"/>
    </row>
    <row r="2161" spans="1:4">
      <c r="A2161" s="3485"/>
      <c r="B2161" s="3485"/>
      <c r="C2161" s="3485"/>
      <c r="D2161" s="3485"/>
    </row>
    <row r="2162" spans="1:4">
      <c r="A2162" s="3485"/>
      <c r="B2162" s="3485"/>
      <c r="C2162" s="3485"/>
      <c r="D2162" s="3485"/>
    </row>
    <row r="2163" spans="1:4">
      <c r="A2163" s="3485"/>
      <c r="B2163" s="3485"/>
      <c r="C2163" s="3485"/>
      <c r="D2163" s="3485"/>
    </row>
    <row r="2164" spans="1:4">
      <c r="A2164" s="3485"/>
      <c r="B2164" s="3485"/>
      <c r="C2164" s="3485"/>
      <c r="D2164" s="3485"/>
    </row>
    <row r="2165" spans="1:4">
      <c r="A2165" s="3485"/>
      <c r="B2165" s="3485"/>
      <c r="C2165" s="3485"/>
      <c r="D2165" s="3485"/>
    </row>
    <row r="2166" spans="1:4">
      <c r="A2166" s="3485"/>
      <c r="B2166" s="3485"/>
      <c r="C2166" s="3485"/>
      <c r="D2166" s="3485"/>
    </row>
    <row r="2167" spans="1:4">
      <c r="A2167" s="3555"/>
      <c r="B2167" s="3555"/>
      <c r="C2167" s="3555"/>
      <c r="D2167" s="3555"/>
    </row>
  </sheetData>
  <mergeCells count="1">
    <mergeCell ref="A2055:B2055"/>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17" sqref="E17:I1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604" t="str">
        <f>IF(B10="北京市","北京市",C10)&amp;F10&amp;IF('结果表-洋房'!G1="在建","出让国有建设用地使用权及在建建筑物",IF('结果表-洋房'!G1="土地","出让国有建设用地使用权",))&amp;B9&amp;"预评估"</f>
        <v>北京市房地产市场价值预评估</v>
      </c>
      <c r="C1" s="3605"/>
      <c r="D1" s="3605"/>
      <c r="E1" s="3605"/>
      <c r="F1" s="3605"/>
      <c r="G1" s="3605"/>
      <c r="H1" s="3605"/>
      <c r="I1" s="3606"/>
      <c r="J1" s="2467"/>
      <c r="K1" s="2364"/>
      <c r="L1" s="2365"/>
      <c r="M1" s="2365"/>
      <c r="N1" s="2366"/>
      <c r="O1" s="1572"/>
      <c r="P1" s="2366"/>
      <c r="Q1" s="2366"/>
      <c r="R1" s="2366"/>
      <c r="S1" s="1678" t="str">
        <f>IF(B10="北京市","北京市",C10)&amp;F10&amp;IF('结果表-洋房'!G1="在建","出让国有建设用地使用权及在建建筑物房地产抵押价值",IF('结果表-洋房'!G1="土地","出让国有建设用地使用权抵押价值",B9))</f>
        <v>北京市房地产市场价值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IF(B10="北京市","北京市",C10)&amp;F10&amp;IF('结果表-洋房'!G1="在建","出让国有建设用地使用权及在建建筑物房地产",IF('结果表-洋房'!G1="土地","出让国有建设用地使用权","房地产"))</f>
        <v>北京市房地产</v>
      </c>
      <c r="T2" s="1741"/>
      <c r="U2" s="1741"/>
      <c r="V2" s="1741"/>
      <c r="W2" s="1741"/>
      <c r="X2" s="1741"/>
      <c r="Y2" s="1741"/>
      <c r="Z2" s="1741"/>
      <c r="AA2" s="1741"/>
      <c r="AB2" s="1741"/>
    </row>
    <row r="3" spans="1:30">
      <c r="A3" s="301" t="s">
        <v>2170</v>
      </c>
      <c r="B3" s="2369">
        <v>45159</v>
      </c>
      <c r="C3" s="2370" t="s">
        <v>2171</v>
      </c>
      <c r="D3" s="2369">
        <f>B3</f>
        <v>45159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t="s">
        <v>3378</v>
      </c>
      <c r="C4" s="2372">
        <f ca="1">SUMIF(注册房地产估价师,B4,估价师及机构信息!B3:B24)</f>
        <v>1119970066</v>
      </c>
      <c r="D4" s="2371" t="s">
        <v>3379</v>
      </c>
      <c r="E4" s="2373">
        <f ca="1">SUMIF(注册房地产估价师,D4,估价师及机构信息!B3:B24)</f>
        <v>1119970111</v>
      </c>
      <c r="F4" s="2371"/>
      <c r="G4" s="2373">
        <f>SUMIF(注册房地产估价师,F4,估价师及机构信息!B3:B24)</f>
        <v>0</v>
      </c>
      <c r="H4" s="2371"/>
      <c r="I4" s="2373">
        <f>SUMIF(注册房地产估价师,H4,估价师及机构信息!B3:B24)</f>
        <v>0</v>
      </c>
      <c r="J4" s="2435"/>
      <c r="K4" s="2374" t="str">
        <f ca="1">CONCATENATE(B4,"（注册号：",C4,")、",D4,"（注册号：",E4,")")</f>
        <v>梁津（注册号：1119970066)、叶凌（注册号：1119970111)</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607" t="s">
        <v>2177</v>
      </c>
      <c r="E8" s="2387"/>
      <c r="F8" s="2388"/>
      <c r="G8" s="2659"/>
      <c r="H8" s="2659"/>
      <c r="I8" s="2659"/>
      <c r="J8" s="2435"/>
      <c r="K8" s="2610"/>
      <c r="L8" s="2609"/>
      <c r="M8" s="2609"/>
      <c r="N8" s="2435"/>
      <c r="O8" s="2446"/>
      <c r="P8" s="2435"/>
      <c r="Q8" s="2435"/>
      <c r="R8" s="2435"/>
    </row>
    <row r="9" spans="1:30" ht="13.5" thickBot="1">
      <c r="A9" s="2389" t="s">
        <v>2178</v>
      </c>
      <c r="B9" s="2390" t="s">
        <v>3381</v>
      </c>
      <c r="C9" s="2391"/>
      <c r="D9" s="3608"/>
      <c r="E9" s="2390"/>
      <c r="F9" s="2392"/>
      <c r="G9" s="2661"/>
      <c r="H9" s="2661"/>
      <c r="I9" s="2661"/>
      <c r="J9" s="2435"/>
      <c r="K9" s="2612"/>
      <c r="L9" s="2609"/>
      <c r="M9" s="2609"/>
      <c r="N9" s="2435"/>
      <c r="O9" s="2446"/>
      <c r="P9" s="2435"/>
      <c r="Q9" s="2435"/>
      <c r="R9" s="2435"/>
    </row>
    <row r="10" spans="1:30" ht="13.5" thickTop="1">
      <c r="A10" s="2393" t="s">
        <v>2179</v>
      </c>
      <c r="B10" s="2394" t="s">
        <v>3382</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3383</v>
      </c>
      <c r="C11" s="2399"/>
      <c r="D11" s="2400"/>
      <c r="E11" s="2366"/>
      <c r="F11" s="2366"/>
      <c r="G11" s="2366"/>
      <c r="H11" s="2366"/>
      <c r="I11" s="2366"/>
      <c r="J11" s="3057"/>
      <c r="K11" s="3056"/>
      <c r="L11" s="2609"/>
      <c r="M11" s="2609"/>
      <c r="N11" s="2435"/>
      <c r="O11" s="2446"/>
      <c r="P11" s="2435"/>
      <c r="Q11" s="2435"/>
      <c r="R11" s="2435"/>
    </row>
    <row r="12" spans="1:30">
      <c r="A12" s="2401" t="s">
        <v>2182</v>
      </c>
      <c r="B12" s="322"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1"/>
    </row>
    <row r="13" spans="1:30">
      <c r="A13" s="3418" t="s">
        <v>3336</v>
      </c>
      <c r="B13" s="2403" t="s">
        <v>2190</v>
      </c>
      <c r="C13" s="852">
        <v>68510</v>
      </c>
      <c r="D13" s="852"/>
      <c r="E13" s="852"/>
      <c r="F13" s="852">
        <v>61205</v>
      </c>
      <c r="G13" s="852">
        <v>61205</v>
      </c>
      <c r="H13" s="852"/>
      <c r="I13" s="852"/>
      <c r="J13" s="3058"/>
      <c r="K13" s="2609"/>
      <c r="L13" s="2609"/>
      <c r="M13" s="2435"/>
      <c r="N13" s="2446"/>
      <c r="O13" s="2435"/>
      <c r="P13" s="2435"/>
      <c r="Q13" s="2435"/>
      <c r="AD13" s="1741"/>
    </row>
    <row r="14" spans="1:30">
      <c r="A14" s="1077"/>
      <c r="B14" s="2403" t="s">
        <v>2191</v>
      </c>
      <c r="C14" s="2404">
        <v>70</v>
      </c>
      <c r="D14" s="2404">
        <v>40</v>
      </c>
      <c r="E14" s="2404">
        <v>50</v>
      </c>
      <c r="F14" s="2404">
        <v>50</v>
      </c>
      <c r="G14" s="2404">
        <v>50</v>
      </c>
      <c r="H14" s="2404"/>
      <c r="I14" s="2404"/>
      <c r="J14" s="3059"/>
      <c r="K14" s="2609"/>
      <c r="L14" s="2609"/>
      <c r="M14" s="2435"/>
      <c r="N14" s="2446"/>
      <c r="O14" s="2435"/>
      <c r="P14" s="2435"/>
      <c r="Q14" s="2435"/>
      <c r="AD14" s="1741"/>
    </row>
    <row r="15" spans="1:30">
      <c r="A15" s="319"/>
      <c r="B15" s="2405" t="s">
        <v>2192</v>
      </c>
      <c r="C15" s="2406">
        <f>IF(A13="出让",IF(G13="","",ROUNDDOWN(MIN((C13-$D$3)/365,C14),2)),C14)</f>
        <v>63.97</v>
      </c>
      <c r="D15" s="2406" t="str">
        <f>IF(A13="出让",IF(D13="","",ROUNDDOWN(MIN((D13-$D$3)/365,D14),2)),D14)</f>
        <v/>
      </c>
      <c r="E15" s="2406" t="str">
        <f>IF(A13="出让",IF(E13="","",ROUNDDOWN(MIN((E13-$D$3)/365,E14),2)),E14)</f>
        <v/>
      </c>
      <c r="F15" s="3494">
        <v>43.97</v>
      </c>
      <c r="G15" s="3494">
        <f>F15</f>
        <v>43.97</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614"/>
      <c r="C16" s="3615"/>
      <c r="D16" s="3616"/>
      <c r="E16" s="2409" t="s">
        <v>2194</v>
      </c>
      <c r="F16" s="3617"/>
      <c r="G16" s="3618"/>
      <c r="H16" s="3618"/>
      <c r="I16" s="3619"/>
      <c r="J16" s="2435"/>
      <c r="K16" s="2613"/>
      <c r="L16" s="2447"/>
      <c r="M16" s="2447"/>
      <c r="N16" s="2505"/>
      <c r="O16" s="2447"/>
      <c r="P16" s="2505"/>
      <c r="Q16" s="2435"/>
      <c r="R16" s="2435"/>
    </row>
    <row r="17" spans="1:28">
      <c r="A17" s="312" t="s">
        <v>2195</v>
      </c>
      <c r="B17" s="301" t="s">
        <v>2196</v>
      </c>
      <c r="C17" s="8">
        <f>'数据-汇总表'!E3</f>
        <v>178258</v>
      </c>
      <c r="D17" s="2318" t="s">
        <v>2197</v>
      </c>
      <c r="E17" s="3620" t="s">
        <v>2198</v>
      </c>
      <c r="F17" s="3621"/>
      <c r="G17" s="3621"/>
      <c r="H17" s="3621"/>
      <c r="I17" s="3622"/>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111411.25</v>
      </c>
      <c r="D18" s="1088" t="s">
        <v>2201</v>
      </c>
      <c r="E18" s="3623" t="s">
        <v>2202</v>
      </c>
      <c r="F18" s="3624"/>
      <c r="G18" s="3624"/>
      <c r="H18" s="3624"/>
      <c r="I18" s="3625"/>
      <c r="J18" s="2435"/>
      <c r="K18" s="2614"/>
      <c r="L18" s="2447"/>
      <c r="M18" s="2447"/>
      <c r="N18" s="2505"/>
      <c r="O18" s="2447"/>
      <c r="P18" s="2505"/>
      <c r="Q18" s="2435"/>
      <c r="R18" s="2435"/>
      <c r="S18" s="2435"/>
      <c r="T18" s="2435"/>
      <c r="U18" s="2435"/>
      <c r="V18" s="2435"/>
    </row>
    <row r="19" spans="1:28" ht="37.5" thickTop="1" thickBot="1">
      <c r="A19" s="326" t="s">
        <v>1055</v>
      </c>
      <c r="B19" s="306"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610" t="s">
        <v>2206</v>
      </c>
      <c r="C20" s="3611"/>
      <c r="D20" s="3612" t="s">
        <v>2207</v>
      </c>
      <c r="E20" s="3613"/>
      <c r="F20" s="2643" t="s">
        <v>1056</v>
      </c>
      <c r="G20" s="2660"/>
      <c r="H20" s="2660"/>
      <c r="I20" s="2660"/>
      <c r="J20" s="2435"/>
      <c r="K20" s="3609"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60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609"/>
      <c r="L22" s="682" t="str">
        <f>IF(E19="否","",IF('结果表-洋房'!D36="同一抵押权人同一抵押物续贷","由于本次评估为同一抵押权人的续贷房地产抵押估价，故未将已抵押担保的债权数额（"&amp;C26&amp;"）作为法定优先受偿款予以扣减。",IF('结果表-洋房'!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27" t="s">
        <v>2214</v>
      </c>
      <c r="B27" s="319" t="s">
        <v>2215</v>
      </c>
      <c r="C27" s="2412" t="s">
        <v>6757</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627"/>
      <c r="B28" s="301"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27"/>
      <c r="B29" s="301"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28"/>
      <c r="B30" s="301" t="s">
        <v>2218</v>
      </c>
      <c r="C30" s="3629"/>
      <c r="D30" s="3630"/>
      <c r="E30" s="2660"/>
      <c r="F30" s="2660"/>
      <c r="G30" s="2660"/>
      <c r="H30" s="2660"/>
      <c r="I30" s="2660"/>
      <c r="J30" s="2435"/>
      <c r="K30" s="2612"/>
      <c r="L30" s="2609"/>
      <c r="M30" s="2609"/>
      <c r="N30" s="2435"/>
      <c r="O30" s="2446"/>
      <c r="P30" s="2435"/>
      <c r="Q30" s="2435"/>
      <c r="R30" s="2435"/>
      <c r="S30" s="2435"/>
      <c r="T30" s="2435"/>
      <c r="U30" s="2435"/>
      <c r="V30" s="2435"/>
    </row>
    <row r="31" spans="1:28">
      <c r="A31" s="3631" t="s">
        <v>2219</v>
      </c>
      <c r="B31" s="2418" t="s">
        <v>3384</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32"/>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32"/>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2220</v>
      </c>
      <c r="B34" s="2022"/>
      <c r="C34" s="2022"/>
      <c r="D34" s="2022"/>
      <c r="E34" s="2022"/>
      <c r="F34" s="2022"/>
      <c r="G34" s="2022"/>
      <c r="H34" s="2022"/>
      <c r="I34" s="2660"/>
      <c r="J34" s="2435"/>
      <c r="K34" s="2423">
        <f>COUNTIF(B34:H34,"——")</f>
        <v>0</v>
      </c>
      <c r="L34" s="322" t="s">
        <v>2221</v>
      </c>
      <c r="M34" s="322" t="s">
        <v>2222</v>
      </c>
      <c r="N34" s="322" t="s">
        <v>2223</v>
      </c>
      <c r="O34" s="322" t="s">
        <v>2224</v>
      </c>
      <c r="P34" s="322" t="s">
        <v>2225</v>
      </c>
      <c r="Q34" s="322" t="s">
        <v>2226</v>
      </c>
      <c r="R34" s="322" t="s">
        <v>2227</v>
      </c>
      <c r="S34" s="3626" t="s">
        <v>2228</v>
      </c>
      <c r="T34" s="2424" t="str">
        <f>NUMBERSTRING(7-K34,1)&amp;"通"</f>
        <v>七通</v>
      </c>
      <c r="U34" s="2435"/>
      <c r="V34" s="2435"/>
    </row>
    <row r="35" spans="1:30">
      <c r="A35" s="2425"/>
      <c r="B35" s="3633" t="s">
        <v>2229</v>
      </c>
      <c r="C35" s="3633"/>
      <c r="D35" s="3633"/>
      <c r="E35" s="3633"/>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26"/>
      <c r="T35" s="328" t="str">
        <f>IF(T34="一通",L35,IF(T34="二通",M35,IF(T34="三通",N35,IF(T34="四通",O35,IF(T34="五通",P35,IF(T34="六通",Q35,R35))))))</f>
        <v>、、、、、、</v>
      </c>
      <c r="U35" s="2435"/>
      <c r="V35" s="2435"/>
    </row>
    <row r="36" spans="1:30">
      <c r="A36" s="2426"/>
      <c r="B36" s="663" t="s">
        <v>2185</v>
      </c>
      <c r="C36" s="663" t="s">
        <v>2186</v>
      </c>
      <c r="D36" s="663" t="s">
        <v>2184</v>
      </c>
      <c r="E36" s="663"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t="s">
        <v>306</v>
      </c>
      <c r="C37" s="2427" t="s">
        <v>306</v>
      </c>
      <c r="D37" s="2427" t="s">
        <v>306</v>
      </c>
      <c r="E37" s="2427" t="s">
        <v>306</v>
      </c>
      <c r="F37" s="2427" t="s">
        <v>306</v>
      </c>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174</v>
      </c>
      <c r="C38" s="2428" t="s">
        <v>174</v>
      </c>
      <c r="D38" s="2428" t="s">
        <v>174</v>
      </c>
      <c r="E38" s="2428" t="s">
        <v>174</v>
      </c>
      <c r="F38" s="2428" t="s">
        <v>174</v>
      </c>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B3/1.6</f>
        <v>111411.25</v>
      </c>
      <c r="B3" s="11">
        <f>IF(C3="否",G5-AT5,G5)</f>
        <v>178258</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178258</v>
      </c>
      <c r="H5" s="13">
        <f t="shared" ref="H5:AT5" si="0">SUM(H13:H656)</f>
        <v>178258</v>
      </c>
      <c r="I5" s="13">
        <f t="shared" si="0"/>
        <v>16667</v>
      </c>
      <c r="J5" s="13">
        <f t="shared" si="0"/>
        <v>0</v>
      </c>
      <c r="K5" s="13">
        <f t="shared" si="0"/>
        <v>13013</v>
      </c>
      <c r="L5" s="13">
        <f t="shared" si="0"/>
        <v>0</v>
      </c>
      <c r="M5" s="13">
        <f t="shared" si="0"/>
        <v>14137</v>
      </c>
      <c r="N5" s="13">
        <f t="shared" si="0"/>
        <v>0</v>
      </c>
      <c r="O5" s="13">
        <f t="shared" si="0"/>
        <v>57595</v>
      </c>
      <c r="P5" s="13">
        <f t="shared" si="0"/>
        <v>0</v>
      </c>
      <c r="Q5" s="13">
        <f t="shared" si="0"/>
        <v>4077</v>
      </c>
      <c r="R5" s="13">
        <f t="shared" si="0"/>
        <v>0</v>
      </c>
      <c r="S5" s="13">
        <f t="shared" si="0"/>
        <v>72769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178258</v>
      </c>
      <c r="BA5" s="15">
        <f t="shared" si="1"/>
        <v>178258</v>
      </c>
      <c r="BB5" s="15">
        <f t="shared" si="1"/>
        <v>16667</v>
      </c>
      <c r="BC5" s="15">
        <f t="shared" si="1"/>
        <v>13013</v>
      </c>
      <c r="BD5" s="15">
        <f t="shared" si="1"/>
        <v>14137</v>
      </c>
      <c r="BE5" s="15">
        <f t="shared" si="1"/>
        <v>57595</v>
      </c>
      <c r="BF5" s="15">
        <f t="shared" si="1"/>
        <v>4077</v>
      </c>
      <c r="BG5" s="15">
        <f t="shared" si="1"/>
        <v>72769</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111411.28</v>
      </c>
      <c r="F6" s="13" t="s">
        <v>0</v>
      </c>
      <c r="G6" s="13" t="s">
        <v>1</v>
      </c>
      <c r="H6" s="17">
        <f>SUMIF(I$12:AB$12,"总值",I6:AB6)</f>
        <v>111411.28</v>
      </c>
      <c r="I6" s="13">
        <f t="shared" ref="I6:AB6" si="2">ROUND($A$3*I5/$B$3,2)</f>
        <v>10416.879999999999</v>
      </c>
      <c r="J6" s="13">
        <f t="shared" si="2"/>
        <v>0</v>
      </c>
      <c r="K6" s="13">
        <f t="shared" si="2"/>
        <v>8133.13</v>
      </c>
      <c r="L6" s="13">
        <f t="shared" si="2"/>
        <v>0</v>
      </c>
      <c r="M6" s="13">
        <f t="shared" si="2"/>
        <v>8835.6299999999992</v>
      </c>
      <c r="N6" s="13">
        <f t="shared" si="2"/>
        <v>0</v>
      </c>
      <c r="O6" s="13">
        <f t="shared" si="2"/>
        <v>35996.879999999997</v>
      </c>
      <c r="P6" s="13">
        <f t="shared" si="2"/>
        <v>0</v>
      </c>
      <c r="Q6" s="13">
        <f t="shared" si="2"/>
        <v>2548.13</v>
      </c>
      <c r="R6" s="13">
        <f t="shared" si="2"/>
        <v>0</v>
      </c>
      <c r="S6" s="13">
        <f t="shared" si="2"/>
        <v>45480.63</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111411.25</v>
      </c>
      <c r="AZ6" s="13" t="s">
        <v>2</v>
      </c>
      <c r="BA6" s="13">
        <f>ROUND($AY$6*BA5/$AZ$5,2)</f>
        <v>111411.25</v>
      </c>
      <c r="BB6" s="13">
        <f>ROUND($AY$6*BB5/$AZ$5,2)</f>
        <v>10416.879999999999</v>
      </c>
      <c r="BC6" s="13">
        <f t="shared" ref="BC6:BH6" si="4">ROUND($AY$6*BC5/$AZ$5,2)</f>
        <v>8133.13</v>
      </c>
      <c r="BD6" s="13">
        <f t="shared" si="4"/>
        <v>8835.6299999999992</v>
      </c>
      <c r="BE6" s="13">
        <f t="shared" si="4"/>
        <v>35996.879999999997</v>
      </c>
      <c r="BF6" s="13">
        <f t="shared" si="4"/>
        <v>2548.13</v>
      </c>
      <c r="BG6" s="13">
        <f t="shared" si="4"/>
        <v>45480.63</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6741</v>
      </c>
      <c r="J9" s="805"/>
      <c r="K9" s="1599" t="s">
        <v>6741</v>
      </c>
      <c r="L9" s="805"/>
      <c r="M9" s="1599" t="s">
        <v>6741</v>
      </c>
      <c r="N9" s="805"/>
      <c r="O9" s="1599" t="s">
        <v>6750</v>
      </c>
      <c r="P9" s="805"/>
      <c r="Q9" s="1599" t="s">
        <v>6750</v>
      </c>
      <c r="R9" s="805"/>
      <c r="S9" s="1599" t="s">
        <v>6750</v>
      </c>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6380</v>
      </c>
      <c r="J10" s="805"/>
      <c r="K10" s="1605" t="s">
        <v>6380</v>
      </c>
      <c r="L10" s="805"/>
      <c r="M10" s="1605" t="s">
        <v>6380</v>
      </c>
      <c r="N10" s="805"/>
      <c r="O10" s="1605" t="s">
        <v>3338</v>
      </c>
      <c r="P10" s="805"/>
      <c r="Q10" s="1605" t="s">
        <v>3338</v>
      </c>
      <c r="R10" s="805"/>
      <c r="S10" s="1605" t="s">
        <v>3337</v>
      </c>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地上</v>
      </c>
      <c r="BD10" s="26" t="str">
        <f>M9</f>
        <v>地上</v>
      </c>
      <c r="BE10" s="26" t="str">
        <f>O9</f>
        <v>地下</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3395</v>
      </c>
      <c r="J11" s="1611"/>
      <c r="K11" s="1610" t="s">
        <v>3396</v>
      </c>
      <c r="L11" s="1611"/>
      <c r="M11" s="1610" t="s">
        <v>3397</v>
      </c>
      <c r="N11" s="1611"/>
      <c r="O11" s="1610" t="s">
        <v>3398</v>
      </c>
      <c r="P11" s="1611"/>
      <c r="Q11" s="1610" t="s">
        <v>3399</v>
      </c>
      <c r="R11" s="1611"/>
      <c r="S11" s="1610" t="s">
        <v>3400</v>
      </c>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t="str">
        <f>K10</f>
        <v>住宅</v>
      </c>
      <c r="BD11" s="1595" t="str">
        <f>M10</f>
        <v>住宅</v>
      </c>
      <c r="BE11" s="1595" t="str">
        <f>O10</f>
        <v>仓储</v>
      </c>
      <c r="BF11" s="1595" t="str">
        <f>Q10</f>
        <v>仓储</v>
      </c>
      <c r="BG11" s="1595" t="str">
        <f>S10</f>
        <v>车库</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t="str">
        <f>I11</f>
        <v>洋房</v>
      </c>
      <c r="BC12" s="1620" t="str">
        <f>K11</f>
        <v>中跃住宅</v>
      </c>
      <c r="BD12" s="1620" t="str">
        <f>M11</f>
        <v>下跃住宅</v>
      </c>
      <c r="BE12" s="1595" t="str">
        <f>O11</f>
        <v>跃层绑定仓储</v>
      </c>
      <c r="BF12" s="1595" t="str">
        <f>Q11</f>
        <v>独立仓储间</v>
      </c>
      <c r="BG12" s="1595" t="str">
        <f>S11</f>
        <v>车位</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6751</v>
      </c>
      <c r="E13" s="13">
        <f>IF($C$3="是",ROUND($A$3*G13/$B$3,2),ROUND($A$3*(G13-AT13)/$B$3,2))</f>
        <v>111411.25</v>
      </c>
      <c r="F13" s="29"/>
      <c r="G13" s="30">
        <f>H13+AC13+AT13</f>
        <v>178258</v>
      </c>
      <c r="H13" s="17">
        <f>SUMIF(I$12:AB$12,"总值",I13:AB13)</f>
        <v>178258</v>
      </c>
      <c r="I13" s="1622">
        <f>面积表!I4</f>
        <v>16667</v>
      </c>
      <c r="J13" s="1622"/>
      <c r="K13" s="1622">
        <f>面积表!I5</f>
        <v>13013</v>
      </c>
      <c r="L13" s="1622"/>
      <c r="M13" s="1622">
        <f>面积表!I6</f>
        <v>14137</v>
      </c>
      <c r="N13" s="1622"/>
      <c r="O13" s="1622">
        <f>面积表!I7</f>
        <v>57595</v>
      </c>
      <c r="P13" s="1622"/>
      <c r="Q13" s="1622">
        <f>面积表!I8</f>
        <v>4077</v>
      </c>
      <c r="R13" s="1622"/>
      <c r="S13" s="1622">
        <f>面积表!I9</f>
        <v>72769</v>
      </c>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111411.25</v>
      </c>
      <c r="AZ13" s="13">
        <f>BA13+BL13</f>
        <v>178258</v>
      </c>
      <c r="BA13" s="13">
        <f>SUM(BB13:BK13)</f>
        <v>178258</v>
      </c>
      <c r="BB13" s="13">
        <f>IF($D13="是",I13-J13,0)</f>
        <v>16667</v>
      </c>
      <c r="BC13" s="13">
        <f>IF($D13="是",K13-L13,0)</f>
        <v>13013</v>
      </c>
      <c r="BD13" s="13">
        <f>IF($D13="是",M13-N13,0)</f>
        <v>14137</v>
      </c>
      <c r="BE13" s="13">
        <f>IF($D13="是",O13-P13,0)</f>
        <v>57595</v>
      </c>
      <c r="BF13" s="13">
        <f>IF($D13="是",Q13-R13,0)</f>
        <v>4077</v>
      </c>
      <c r="BG13" s="13">
        <f>IF($D13="是",S13-T13,0)</f>
        <v>72769</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C24" sqref="C24"/>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43" t="s">
        <v>1131</v>
      </c>
      <c r="B2" s="3643"/>
      <c r="C2" s="3643"/>
      <c r="D2" s="792" t="s">
        <v>1107</v>
      </c>
      <c r="E2" s="1635" t="s">
        <v>1108</v>
      </c>
      <c r="F2" s="2655"/>
      <c r="G2" s="2646"/>
      <c r="H2" s="2647"/>
      <c r="I2" s="2321" t="s">
        <v>1132</v>
      </c>
      <c r="J2" s="2655"/>
      <c r="K2" s="2655"/>
      <c r="L2" s="2655"/>
      <c r="M2" s="2655"/>
      <c r="N2" s="2657"/>
      <c r="O2" s="2655"/>
      <c r="P2" s="2655"/>
    </row>
    <row r="3" spans="1:16" ht="15.75" thickBot="1">
      <c r="A3" s="3644" t="s">
        <v>1105</v>
      </c>
      <c r="B3" s="3644"/>
      <c r="C3" s="3644"/>
      <c r="D3" s="43">
        <f>'数据-基础表'!AY6</f>
        <v>111411.25</v>
      </c>
      <c r="E3" s="43">
        <f>'数据-基础表'!AZ5</f>
        <v>178258</v>
      </c>
      <c r="F3" s="2655"/>
      <c r="G3" s="1141"/>
      <c r="H3" s="1022" t="s">
        <v>1106</v>
      </c>
      <c r="I3" s="851">
        <f>ROUND('数据-基础表'!B3/'数据-基础表'!A3,2)</f>
        <v>1.6</v>
      </c>
      <c r="J3" s="2655"/>
      <c r="K3" s="2655"/>
      <c r="L3" s="2655"/>
      <c r="M3" s="2655"/>
      <c r="N3" s="2657"/>
      <c r="O3" s="2655"/>
      <c r="P3" s="2655"/>
    </row>
    <row r="4" spans="1:16" ht="15">
      <c r="A4" s="3645"/>
      <c r="B4" s="3646"/>
      <c r="C4" s="3647"/>
      <c r="D4" s="1637" t="s">
        <v>1107</v>
      </c>
      <c r="E4" s="1638" t="s">
        <v>1108</v>
      </c>
      <c r="F4" s="2655"/>
      <c r="G4" s="2648" t="s">
        <v>1133</v>
      </c>
      <c r="H4" s="1022" t="s">
        <v>1113</v>
      </c>
      <c r="I4" s="851">
        <f>ROUND(SUMIF('数据-基础表'!I9:AS9,"地上",'数据-基础表'!I5:AS5)/'数据-基础表'!A3,2)</f>
        <v>0.39</v>
      </c>
      <c r="J4" s="2655"/>
      <c r="K4" s="2655"/>
      <c r="L4" s="2655"/>
      <c r="M4" s="2655"/>
      <c r="N4" s="2657"/>
      <c r="O4" s="2655"/>
      <c r="P4" s="2655"/>
    </row>
    <row r="5" spans="1:16">
      <c r="A5" s="44" t="s">
        <v>1109</v>
      </c>
      <c r="B5" s="3648" t="s">
        <v>1110</v>
      </c>
      <c r="C5" s="3648"/>
      <c r="D5" s="45">
        <f>ROUND($D$3*E5/$E$3,2)</f>
        <v>27385.63</v>
      </c>
      <c r="E5" s="46">
        <f>SUMIF('数据-基础表'!$11:$11,"住宅",'数据-基础表'!$5:$5)</f>
        <v>43817</v>
      </c>
      <c r="F5" s="2655"/>
      <c r="G5" s="1141"/>
      <c r="H5" s="1022" t="s">
        <v>1106</v>
      </c>
      <c r="I5" s="851">
        <f>ROUND(E31/D31,2)</f>
        <v>1.6</v>
      </c>
      <c r="J5" s="2655"/>
      <c r="K5" s="2655"/>
      <c r="L5" s="2655"/>
      <c r="M5" s="2655"/>
      <c r="N5" s="2655"/>
      <c r="O5" s="2655"/>
      <c r="P5" s="2655"/>
    </row>
    <row r="6" spans="1:16" ht="15" thickBot="1">
      <c r="A6" s="1640"/>
      <c r="B6" s="3648" t="s">
        <v>1111</v>
      </c>
      <c r="C6" s="3648"/>
      <c r="D6" s="45">
        <f>ROUND($D$3*E6/$E$3,2)</f>
        <v>84025.63</v>
      </c>
      <c r="E6" s="46">
        <f>E3-E5</f>
        <v>134441</v>
      </c>
      <c r="F6" s="2655"/>
      <c r="G6" s="2649" t="s">
        <v>1112</v>
      </c>
      <c r="H6" s="1142" t="s">
        <v>1113</v>
      </c>
      <c r="I6" s="2650">
        <f>ROUND(F31/D31,2)</f>
        <v>0.39</v>
      </c>
      <c r="J6" s="2655"/>
      <c r="K6" s="2655"/>
      <c r="L6" s="2655"/>
      <c r="M6" s="2655"/>
      <c r="N6" s="2655"/>
      <c r="O6" s="2655"/>
      <c r="P6" s="2655"/>
    </row>
    <row r="7" spans="1:16" ht="15.75" thickBot="1">
      <c r="A7" s="3640"/>
      <c r="B7" s="3641"/>
      <c r="C7" s="3642"/>
      <c r="D7" s="1637" t="s">
        <v>1107</v>
      </c>
      <c r="E7" s="1641" t="s">
        <v>1114</v>
      </c>
      <c r="F7" s="2655"/>
      <c r="G7" s="2651" t="s">
        <v>1115</v>
      </c>
      <c r="H7" s="2652"/>
      <c r="I7" s="2653">
        <v>1.6</v>
      </c>
      <c r="J7" s="2655"/>
      <c r="K7" s="2655"/>
      <c r="L7" s="2655"/>
      <c r="M7" s="2655"/>
      <c r="N7" s="2655"/>
      <c r="O7" s="2655"/>
      <c r="P7" s="2655"/>
    </row>
    <row r="8" spans="1:16">
      <c r="A8" s="44" t="s">
        <v>1116</v>
      </c>
      <c r="B8" s="47" t="s">
        <v>1117</v>
      </c>
      <c r="C8" s="45" t="s">
        <v>1118</v>
      </c>
      <c r="D8" s="45">
        <f t="shared" ref="D8:D15" si="0">ROUND($D$3*E8/$E$3,2)</f>
        <v>27385.63</v>
      </c>
      <c r="E8" s="48">
        <f>SUMIF('数据-基础表'!BB10:BK10,"地上",'数据-基础表'!BB5:BK5)</f>
        <v>43817</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38545</v>
      </c>
      <c r="E12" s="48">
        <f>SUMPRODUCT(('数据-基础表'!BB10:BK10="地下")*('数据-基础表'!BB11:BK11="仓储")*('数据-基础表'!BB5:BK5))</f>
        <v>61672</v>
      </c>
      <c r="F12" s="2655"/>
      <c r="G12" s="2656"/>
      <c r="H12" s="2656"/>
      <c r="I12" s="2655"/>
      <c r="J12" s="2655"/>
      <c r="K12" s="2655"/>
      <c r="L12" s="2655"/>
      <c r="M12" s="2655"/>
      <c r="N12" s="2655"/>
      <c r="O12" s="2655"/>
      <c r="P12" s="2655"/>
    </row>
    <row r="13" spans="1:16">
      <c r="A13" s="1642"/>
      <c r="B13" s="1643"/>
      <c r="C13" s="45" t="s">
        <v>1122</v>
      </c>
      <c r="D13" s="45">
        <f t="shared" si="0"/>
        <v>45480.63</v>
      </c>
      <c r="E13" s="48">
        <f>SUMPRODUCT(('数据-基础表'!BB10:BK10="地下")*('数据-基础表'!BB11:BK11="车库")*('数据-基础表'!BB5:BK5))</f>
        <v>72769</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111411.26000000001</v>
      </c>
      <c r="E16" s="50">
        <f>SUM(E8:E15)</f>
        <v>178258</v>
      </c>
      <c r="F16" s="2655"/>
      <c r="G16" s="2656"/>
      <c r="H16" s="1644" t="s">
        <v>1135</v>
      </c>
      <c r="I16" s="1645"/>
      <c r="J16" s="1135"/>
      <c r="K16" s="3637" t="s">
        <v>1135</v>
      </c>
      <c r="L16" s="3638"/>
      <c r="M16" s="3638"/>
      <c r="N16" s="3638"/>
      <c r="O16" s="3638"/>
      <c r="P16" s="3639"/>
    </row>
    <row r="17" spans="1:19" ht="15">
      <c r="A17" s="1646" t="s">
        <v>1136</v>
      </c>
      <c r="B17" s="1647" t="s">
        <v>1137</v>
      </c>
      <c r="C17" s="1648" t="s">
        <v>1138</v>
      </c>
      <c r="D17" s="1649" t="s">
        <v>1126</v>
      </c>
      <c r="E17" s="1650" t="s">
        <v>1127</v>
      </c>
      <c r="F17" s="1651"/>
      <c r="G17" s="1652"/>
      <c r="H17" s="1653" t="s">
        <v>1139</v>
      </c>
      <c r="I17" s="1654" t="s">
        <v>1124</v>
      </c>
      <c r="J17" s="1135"/>
      <c r="K17" s="3634" t="s">
        <v>1140</v>
      </c>
      <c r="L17" s="3635"/>
      <c r="M17" s="3636"/>
      <c r="N17" s="3634" t="s">
        <v>1141</v>
      </c>
      <c r="O17" s="3635"/>
      <c r="P17" s="3636"/>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88" t="s">
        <v>6738</v>
      </c>
      <c r="D19" s="45">
        <f>ROUND($D$3*E19/$E$3,2)</f>
        <v>10416.879999999999</v>
      </c>
      <c r="E19" s="53">
        <f t="shared" ref="E19:E26" si="1">SUM(F19:G19)</f>
        <v>16667</v>
      </c>
      <c r="F19" s="2791">
        <f>'数据-基础表'!I13</f>
        <v>16667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10416.879999999999</v>
      </c>
      <c r="S19" s="1023">
        <f t="shared" si="5"/>
        <v>16667</v>
      </c>
    </row>
    <row r="20" spans="1:19">
      <c r="A20" s="1666"/>
      <c r="B20" s="47" t="s">
        <v>1153</v>
      </c>
      <c r="C20" s="3488" t="s">
        <v>6739</v>
      </c>
      <c r="D20" s="45">
        <f t="shared" ref="D20:D26" si="6">ROUND($D$3*E20/$E$3,2)</f>
        <v>8133.13</v>
      </c>
      <c r="E20" s="53">
        <f t="shared" si="1"/>
        <v>13013</v>
      </c>
      <c r="F20" s="2791">
        <f>'数据-基础表'!K13</f>
        <v>13013</v>
      </c>
      <c r="G20" s="2792"/>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8133.13</v>
      </c>
      <c r="S20" s="1023">
        <f t="shared" si="5"/>
        <v>13013</v>
      </c>
    </row>
    <row r="21" spans="1:19">
      <c r="A21" s="1666"/>
      <c r="B21" s="47" t="s">
        <v>1153</v>
      </c>
      <c r="C21" s="3488" t="s">
        <v>6740</v>
      </c>
      <c r="D21" s="45">
        <f t="shared" si="6"/>
        <v>8835.6299999999992</v>
      </c>
      <c r="E21" s="53">
        <f t="shared" si="1"/>
        <v>14137</v>
      </c>
      <c r="F21" s="2791">
        <f>'数据-基础表'!M13</f>
        <v>14137</v>
      </c>
      <c r="G21" s="2792"/>
      <c r="H21" s="669">
        <f t="shared" si="7"/>
        <v>0</v>
      </c>
      <c r="I21" s="48">
        <f t="shared" si="2"/>
        <v>0</v>
      </c>
      <c r="J21" s="1135"/>
      <c r="K21" s="1134">
        <f t="shared" si="3"/>
        <v>0</v>
      </c>
      <c r="L21" s="1022">
        <f t="shared" si="4"/>
        <v>0</v>
      </c>
      <c r="M21" s="1146">
        <f t="shared" si="8"/>
        <v>0</v>
      </c>
      <c r="N21" s="1664"/>
      <c r="O21" s="1665"/>
      <c r="P21" s="1146">
        <f t="shared" si="9"/>
        <v>0</v>
      </c>
      <c r="R21" s="1022">
        <f t="shared" si="5"/>
        <v>8835.6299999999992</v>
      </c>
      <c r="S21" s="1023">
        <f t="shared" si="5"/>
        <v>14137</v>
      </c>
    </row>
    <row r="22" spans="1:19">
      <c r="A22" s="1666"/>
      <c r="B22" s="47" t="s">
        <v>1153</v>
      </c>
      <c r="C22" s="3488" t="s">
        <v>6744</v>
      </c>
      <c r="D22" s="45">
        <f t="shared" si="6"/>
        <v>35996.879999999997</v>
      </c>
      <c r="E22" s="53">
        <f t="shared" si="1"/>
        <v>57595</v>
      </c>
      <c r="F22" s="2793"/>
      <c r="G22" s="2794">
        <f>'数据-基础表'!O13</f>
        <v>57595</v>
      </c>
      <c r="H22" s="669">
        <f t="shared" si="7"/>
        <v>0</v>
      </c>
      <c r="I22" s="48">
        <f t="shared" si="2"/>
        <v>0</v>
      </c>
      <c r="J22" s="1135"/>
      <c r="K22" s="1134">
        <f t="shared" si="3"/>
        <v>0</v>
      </c>
      <c r="L22" s="1022">
        <f t="shared" si="4"/>
        <v>0</v>
      </c>
      <c r="M22" s="1146">
        <f t="shared" si="8"/>
        <v>0</v>
      </c>
      <c r="N22" s="1664"/>
      <c r="O22" s="1665"/>
      <c r="P22" s="1146">
        <f t="shared" si="9"/>
        <v>0</v>
      </c>
      <c r="R22" s="1022">
        <f t="shared" si="5"/>
        <v>35996.879999999997</v>
      </c>
      <c r="S22" s="1023">
        <f t="shared" si="5"/>
        <v>57595</v>
      </c>
    </row>
    <row r="23" spans="1:19">
      <c r="A23" s="1666"/>
      <c r="B23" s="47" t="s">
        <v>1153</v>
      </c>
      <c r="C23" s="3488" t="s">
        <v>6746</v>
      </c>
      <c r="D23" s="45">
        <f>ROUND($D$3*E23/$E$3,2)</f>
        <v>2548.13</v>
      </c>
      <c r="E23" s="53">
        <f>SUM(F23:G23)</f>
        <v>4077</v>
      </c>
      <c r="F23" s="2793"/>
      <c r="G23" s="2794">
        <f>'数据-基础表'!Q13</f>
        <v>4077</v>
      </c>
      <c r="H23" s="669">
        <f>ROUND($D$3*I23/$E$3,2)</f>
        <v>0</v>
      </c>
      <c r="I23" s="48">
        <f t="shared" si="2"/>
        <v>0</v>
      </c>
      <c r="J23" s="1135"/>
      <c r="K23" s="1134">
        <f t="shared" si="3"/>
        <v>0</v>
      </c>
      <c r="L23" s="1022">
        <f t="shared" si="4"/>
        <v>0</v>
      </c>
      <c r="M23" s="1146">
        <f t="shared" si="8"/>
        <v>0</v>
      </c>
      <c r="N23" s="1664"/>
      <c r="O23" s="1665"/>
      <c r="P23" s="1146">
        <f t="shared" si="9"/>
        <v>0</v>
      </c>
      <c r="R23" s="1022">
        <f t="shared" si="5"/>
        <v>2548.13</v>
      </c>
      <c r="S23" s="1023">
        <f t="shared" si="5"/>
        <v>4077</v>
      </c>
    </row>
    <row r="24" spans="1:19">
      <c r="A24" s="1666"/>
      <c r="B24" s="47" t="s">
        <v>1153</v>
      </c>
      <c r="C24" s="3488" t="s">
        <v>6748</v>
      </c>
      <c r="D24" s="45">
        <f>ROUND($D$3*E24/$E$3,2)</f>
        <v>45480.63</v>
      </c>
      <c r="E24" s="53">
        <f>SUM(F24:G24)</f>
        <v>72769</v>
      </c>
      <c r="F24" s="2793"/>
      <c r="G24" s="2794">
        <f>'数据-基础表'!S13</f>
        <v>72769</v>
      </c>
      <c r="H24" s="669">
        <f>ROUND($D$3*I24/$E$3,2)</f>
        <v>0</v>
      </c>
      <c r="I24" s="48">
        <f t="shared" si="2"/>
        <v>0</v>
      </c>
      <c r="J24" s="1135"/>
      <c r="K24" s="1134">
        <f t="shared" si="3"/>
        <v>0</v>
      </c>
      <c r="L24" s="1022">
        <f t="shared" si="4"/>
        <v>0</v>
      </c>
      <c r="M24" s="1146">
        <f t="shared" si="8"/>
        <v>0</v>
      </c>
      <c r="N24" s="1664"/>
      <c r="O24" s="1665"/>
      <c r="P24" s="1146">
        <f t="shared" si="9"/>
        <v>0</v>
      </c>
      <c r="R24" s="1022">
        <f t="shared" si="5"/>
        <v>45480.63</v>
      </c>
      <c r="S24" s="1023">
        <f t="shared" si="5"/>
        <v>72769</v>
      </c>
    </row>
    <row r="25" spans="1:19">
      <c r="A25" s="1666"/>
      <c r="B25" s="47" t="s">
        <v>1153</v>
      </c>
      <c r="C25" s="3413"/>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1154</v>
      </c>
      <c r="D27" s="1136">
        <f>SUM(D19:D26)</f>
        <v>111411.28</v>
      </c>
      <c r="E27" s="1137">
        <f>IF(SUM(E19:E26)='数据-基础表'!BA5,SUM(E19:E26),IF(F27="地上面积有误","面积有误","地下面积有误"))</f>
        <v>178258</v>
      </c>
      <c r="F27" s="1136">
        <f>IF(SUM(F19:F26)=E8,SUM(F19:F26),"地上面积有误")</f>
        <v>43817</v>
      </c>
      <c r="G27" s="1138">
        <f>SUM(G19:G26)</f>
        <v>134441</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t="str">
        <f>IF(SUM(R19:R26)=$D$3,SUM(R19:R26),SUM(R19:R26)&amp;"误差"&amp;ROUND(SUM(R19:R26)-$D$3,2))</f>
        <v>111411.28误差0.03</v>
      </c>
      <c r="S27" s="1022">
        <f>IF(SUM(S19:S26)=$E$3,SUM(S19:S26),SUM(S19:S26)&amp;"误差"&amp;ROUND(SUM(S19:S26)-E3,2))</f>
        <v>178258</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4">
        <f>D27+D30</f>
        <v>111411.28</v>
      </c>
      <c r="E31" s="674">
        <f>E27+E30</f>
        <v>178258</v>
      </c>
      <c r="F31" s="675">
        <f>F27+F30</f>
        <v>43817</v>
      </c>
      <c r="G31" s="676">
        <f>G27+G30</f>
        <v>134441</v>
      </c>
      <c r="H31" s="2655"/>
      <c r="I31" s="2655"/>
      <c r="J31" s="2655"/>
      <c r="K31" s="2655"/>
      <c r="L31" s="2655"/>
      <c r="M31" s="2655"/>
      <c r="N31" s="2655"/>
      <c r="O31" s="2655"/>
      <c r="P31" s="2655"/>
    </row>
    <row r="32" spans="1:19">
      <c r="A32" s="1639"/>
      <c r="B32" s="1639" t="s">
        <v>1159</v>
      </c>
      <c r="C32" s="1639"/>
      <c r="D32" s="1639"/>
      <c r="E32" s="1049">
        <f>SUMIF(C19:C26,"*住宅*",E19:E26)</f>
        <v>27150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0" priority="1" stopIfTrue="1" operator="containsText" text="面积有误">
      <formula>NOT(ISERROR(SEARCH("面积有误",E27)))</formula>
    </cfRule>
    <cfRule type="cellIs" dxfId="229" priority="3" stopIfTrue="1" operator="equal">
      <formula>"地下面积有误"</formula>
    </cfRule>
  </conditionalFormatting>
  <conditionalFormatting sqref="F27">
    <cfRule type="cellIs" dxfId="22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1" sqref="H2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45159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6753</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洋房</v>
      </c>
      <c r="B6" s="1709" t="str">
        <f>IF(A6=0,"","经营性")</f>
        <v>经营性</v>
      </c>
      <c r="C6" s="1710" t="s">
        <v>6380</v>
      </c>
      <c r="D6" s="854">
        <f>SUMIF(项目基本情况!C$12:I$12,C6,项目基本情况!C$14:I$14)</f>
        <v>70</v>
      </c>
      <c r="E6" s="853">
        <f ca="1">IF(B6="","",SUMIF(项目基本情况!C$12:I$12,C6,项目基本情况!D$13:I$13))</f>
        <v>0</v>
      </c>
      <c r="F6" s="64">
        <f>SUMIF(项目基本情况!C$12:I$12,C6,项目基本情况!C$15:I$15)</f>
        <v>63.97</v>
      </c>
      <c r="G6" s="65">
        <f>IF(ISERROR(ROUND(POWER(1+H6,D6-F6)*(POWER(1+H6,F6)-1)/(POWER(1+H6,D6)-1),3)),0,ROUND(POWER(1+H6,D6-F6)*(POWER(1+H6,F6)-1)/(POWER(1+H6,D6)-1),3))</f>
        <v>0.98199999999999998</v>
      </c>
      <c r="H6" s="3490">
        <v>0.04</v>
      </c>
      <c r="I6" s="3490">
        <v>4.4999999999999998E-2</v>
      </c>
      <c r="J6" s="3491">
        <v>7.4999999999999997E-2</v>
      </c>
      <c r="K6" s="1026">
        <f>SUMIF('数据-汇总表'!C$19:C$33,A6,'数据-汇总表'!E$19:E$33)</f>
        <v>16667</v>
      </c>
      <c r="L6" s="3489">
        <v>5000</v>
      </c>
      <c r="M6" s="67">
        <f t="shared" ref="M6:M14" si="0">ROUND(K6*L6/10000,0)</f>
        <v>8334</v>
      </c>
      <c r="N6" s="729">
        <f>ROUND(1-(2023-2022)/60,2)</f>
        <v>0.98</v>
      </c>
      <c r="O6" s="67" t="str">
        <f>IF($N$5="成新度","——",ROUND(M6*N6,0))</f>
        <v>——</v>
      </c>
      <c r="P6" s="68" t="str">
        <f>IF($N$5="成新度","——",M6-O6)</f>
        <v>——</v>
      </c>
      <c r="Q6" s="730">
        <v>0.25</v>
      </c>
      <c r="R6" s="69">
        <f ca="1">SUMIF('数据-汇总表'!C$19:C$33,A6,'数据-汇总表'!R$19:R$27)</f>
        <v>10416.879999999999</v>
      </c>
      <c r="S6" s="51">
        <f>IF('数据-汇总表'!$I$17="按面积比例",SUMIF('数据-汇总表'!C$19:C$33,A6,'数据-汇总表'!K$19:K$33),SUMIF('数据-汇总表'!C$19:C$33,A6,'数据-汇总表'!N$19:N$33))</f>
        <v>0</v>
      </c>
      <c r="T6" s="1168">
        <f>ROUND($L$14*S6/10000,0)</f>
        <v>0</v>
      </c>
      <c r="U6" s="3523">
        <f>洋房租金案例!M6</f>
        <v>44</v>
      </c>
      <c r="V6" s="70">
        <v>0.02</v>
      </c>
      <c r="W6" s="70">
        <v>0.1</v>
      </c>
      <c r="X6" s="1036"/>
      <c r="Y6" s="71">
        <f>N6</f>
        <v>0.98</v>
      </c>
      <c r="Z6" s="72"/>
      <c r="AA6" s="66"/>
      <c r="AB6" s="66"/>
      <c r="AC6" s="1036"/>
      <c r="AD6" s="73"/>
      <c r="AE6" s="3525">
        <f>F6</f>
        <v>63.97</v>
      </c>
      <c r="AF6" s="1344"/>
      <c r="AG6" s="137">
        <f>IF(AF6="",0,AE6-AF6)</f>
        <v>0</v>
      </c>
      <c r="AH6" s="74">
        <f>'数据-汇总表'!F19</f>
        <v>16667</v>
      </c>
      <c r="AI6" s="76">
        <v>12</v>
      </c>
      <c r="AJ6" s="77"/>
      <c r="AK6" s="78">
        <v>0.02</v>
      </c>
      <c r="AL6" s="79">
        <v>2E-3</v>
      </c>
      <c r="AM6" s="80">
        <v>0.02</v>
      </c>
      <c r="AN6" s="1711" t="s">
        <v>8712</v>
      </c>
      <c r="AO6" s="52" t="e">
        <f ca="1">SUMIF(INDIRECT("'"&amp;AN6&amp;"'"&amp;"!A:A"),"总价",INDIRECT("'"&amp;AN6&amp;"'"&amp;"!B:B"))</f>
        <v>#DIV/0!</v>
      </c>
      <c r="AP6" s="1712">
        <f>IF(C6="住宅",K6*L6,0)</f>
        <v>83335000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中跃住宅</v>
      </c>
      <c r="B7" s="1709" t="str">
        <f t="shared" ref="B7:B13" si="1">IF(A7=0,"","经营性")</f>
        <v>经营性</v>
      </c>
      <c r="C7" s="1710" t="s">
        <v>6380</v>
      </c>
      <c r="D7" s="854">
        <f>SUMIF(项目基本情况!C$12:I$12,C7,项目基本情况!C$14:I$14)</f>
        <v>70</v>
      </c>
      <c r="E7" s="853">
        <f ca="1">IF(B7="","",SUMIF(项目基本情况!C$12:I$12,C7,项目基本情况!D$13:I$13))</f>
        <v>0</v>
      </c>
      <c r="F7" s="64">
        <f>SUMIF(项目基本情况!C$12:I$12,C7,项目基本情况!C$15:I$15)</f>
        <v>63.97</v>
      </c>
      <c r="G7" s="65">
        <f t="shared" ref="G7:G11" si="2">IF(ISERROR(ROUND(POWER(1+H7,D7-F7)*(POWER(1+H7,F7)-1)/(POWER(1+H7,D7)-1),3)),0,ROUND(POWER(1+H7,D7-F7)*(POWER(1+H7,F7)-1)/(POWER(1+H7,D7)-1),3))</f>
        <v>0.98199999999999998</v>
      </c>
      <c r="H7" s="3490">
        <v>0.04</v>
      </c>
      <c r="I7" s="3490">
        <v>4.4999999999999998E-2</v>
      </c>
      <c r="J7" s="3491">
        <v>7.4999999999999997E-2</v>
      </c>
      <c r="K7" s="1026">
        <f>SUMIF('数据-汇总表'!C$19:C$33,A7,'数据-汇总表'!E$19:E$33)</f>
        <v>13013</v>
      </c>
      <c r="L7" s="3489">
        <v>4500</v>
      </c>
      <c r="M7" s="67">
        <f t="shared" si="0"/>
        <v>5856</v>
      </c>
      <c r="N7" s="729">
        <f t="shared" ref="N7:N11" si="3">ROUND(1-(2023-2022)/60,2)</f>
        <v>0.98</v>
      </c>
      <c r="O7" s="67" t="str">
        <f t="shared" ref="O7:O14" si="4">IF($N$5="成新度","——",ROUND(M7*N7,0))</f>
        <v>——</v>
      </c>
      <c r="P7" s="68" t="str">
        <f t="shared" ref="P7:P14" si="5">IF($N$5="成新度","——",M7-O7)</f>
        <v>——</v>
      </c>
      <c r="Q7" s="730">
        <v>0.25</v>
      </c>
      <c r="R7" s="69">
        <f ca="1">SUMIF('数据-汇总表'!C$19:C$33,A7,'数据-汇总表'!R$19:R$27)</f>
        <v>8133.13</v>
      </c>
      <c r="S7" s="51">
        <f>IF('数据-汇总表'!$I$17="按面积比例",SUMIF('数据-汇总表'!C$19:C$33,A7,'数据-汇总表'!K$19:K$33),SUMIF('数据-汇总表'!C$19:C$33,A7,'数据-汇总表'!N$19:N$33))</f>
        <v>0</v>
      </c>
      <c r="T7" s="1168">
        <f t="shared" ref="T7:T13" si="6">ROUND($L$14*S7/10000,0)</f>
        <v>0</v>
      </c>
      <c r="U7" s="3423"/>
      <c r="V7" s="70"/>
      <c r="W7" s="70"/>
      <c r="X7" s="1036"/>
      <c r="Y7" s="71"/>
      <c r="Z7" s="72"/>
      <c r="AA7" s="66"/>
      <c r="AB7" s="66"/>
      <c r="AC7" s="1036"/>
      <c r="AD7" s="73"/>
      <c r="AE7" s="1037">
        <f t="shared" ref="AE7:AE13" ca="1" si="7">IF(AN7="",0,SUMIF(INDIRECT("'"&amp;AN7&amp;"'"&amp;"!E:E"),$AE$5,INDIRECT("'"&amp;AN7&amp;"'"&amp;"!F:F")))</f>
        <v>0</v>
      </c>
      <c r="AF7" s="1344"/>
      <c r="AG7" s="137">
        <f t="shared" ref="AG7:AG13" si="8">IF(AF7="",0,AE7-AF7)</f>
        <v>0</v>
      </c>
      <c r="AH7" s="74"/>
      <c r="AI7" s="76"/>
      <c r="AJ7" s="77"/>
      <c r="AK7" s="78"/>
      <c r="AL7" s="79"/>
      <c r="AM7" s="80"/>
      <c r="AN7" s="1711"/>
      <c r="AO7" s="52" t="e">
        <f t="shared" ref="AO7:AO13" ca="1" si="9">SUMIF(INDIRECT("'"&amp;AN7&amp;"'"&amp;"!A:A"),"总价",INDIRECT("'"&amp;AN7&amp;"'"&amp;"!B:B"))</f>
        <v>#REF!</v>
      </c>
      <c r="AP7" s="1712">
        <f t="shared" ref="AP7:AP13" si="10">IF(C7="住宅",K7*L7,0)</f>
        <v>58558500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下跃住宅</v>
      </c>
      <c r="B8" s="1709" t="str">
        <f t="shared" si="1"/>
        <v>经营性</v>
      </c>
      <c r="C8" s="1710" t="s">
        <v>6380</v>
      </c>
      <c r="D8" s="854">
        <f>SUMIF(项目基本情况!C$12:I$12,C8,项目基本情况!C$14:I$14)</f>
        <v>70</v>
      </c>
      <c r="E8" s="853">
        <f ca="1">IF(B8="","",SUMIF(项目基本情况!C$12:I$12,C8,项目基本情况!D$13:I$13))</f>
        <v>0</v>
      </c>
      <c r="F8" s="64">
        <f>SUMIF(项目基本情况!C$12:I$12,C8,项目基本情况!C$15:I$15)</f>
        <v>63.97</v>
      </c>
      <c r="G8" s="65">
        <f t="shared" si="2"/>
        <v>0.98199999999999998</v>
      </c>
      <c r="H8" s="3490">
        <v>0.04</v>
      </c>
      <c r="I8" s="3490">
        <v>4.4999999999999998E-2</v>
      </c>
      <c r="J8" s="3491">
        <v>7.4999999999999997E-2</v>
      </c>
      <c r="K8" s="1026">
        <f>SUMIF('数据-汇总表'!C$19:C$33,A8,'数据-汇总表'!E$19:E$33)</f>
        <v>14137</v>
      </c>
      <c r="L8" s="3489">
        <v>4500</v>
      </c>
      <c r="M8" s="67">
        <f>ROUND(K8*L8/10000,0)</f>
        <v>6362</v>
      </c>
      <c r="N8" s="729">
        <f t="shared" si="3"/>
        <v>0.98</v>
      </c>
      <c r="O8" s="67" t="str">
        <f t="shared" si="4"/>
        <v>——</v>
      </c>
      <c r="P8" s="68" t="str">
        <f t="shared" si="5"/>
        <v>——</v>
      </c>
      <c r="Q8" s="730">
        <v>0.25</v>
      </c>
      <c r="R8" s="69">
        <f ca="1">SUMIF('数据-汇总表'!C$19:C$33,A8,'数据-汇总表'!R$19:R$27)</f>
        <v>8835.6299999999992</v>
      </c>
      <c r="S8" s="51">
        <f>IF('数据-汇总表'!$I$17="按面积比例",SUMIF('数据-汇总表'!C$19:C$33,A8,'数据-汇总表'!K$19:K$33),SUMIF('数据-汇总表'!C$19:C$33,A8,'数据-汇总表'!N$19:N$33))</f>
        <v>0</v>
      </c>
      <c r="T8" s="1168">
        <f t="shared" si="6"/>
        <v>0</v>
      </c>
      <c r="U8" s="3424"/>
      <c r="V8" s="731"/>
      <c r="W8" s="731"/>
      <c r="X8" s="1036"/>
      <c r="Y8" s="71"/>
      <c r="Z8" s="72"/>
      <c r="AA8" s="66"/>
      <c r="AB8" s="66"/>
      <c r="AC8" s="1036"/>
      <c r="AD8" s="73"/>
      <c r="AE8" s="1037">
        <f t="shared" ca="1" si="7"/>
        <v>0</v>
      </c>
      <c r="AF8" s="1344"/>
      <c r="AG8" s="137">
        <f t="shared" si="8"/>
        <v>0</v>
      </c>
      <c r="AH8" s="732"/>
      <c r="AI8" s="76"/>
      <c r="AJ8" s="77"/>
      <c r="AK8" s="733"/>
      <c r="AL8" s="734"/>
      <c r="AM8" s="735"/>
      <c r="AN8" s="1711"/>
      <c r="AO8" s="52" t="e">
        <f t="shared" ca="1" si="9"/>
        <v>#REF!</v>
      </c>
      <c r="AP8" s="1712">
        <f t="shared" si="10"/>
        <v>63616500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跃层绑定仓储</v>
      </c>
      <c r="B9" s="1709" t="str">
        <f t="shared" si="1"/>
        <v>经营性</v>
      </c>
      <c r="C9" s="1710" t="s">
        <v>3338</v>
      </c>
      <c r="D9" s="854">
        <f>SUMIF(项目基本情况!C$12:I$12,C9,项目基本情况!C$14:I$14)</f>
        <v>50</v>
      </c>
      <c r="E9" s="853">
        <f ca="1">IF(B9="","",SUMIF(项目基本情况!C$12:I$12,C9,项目基本情况!D$13:I$13))</f>
        <v>0</v>
      </c>
      <c r="F9" s="64">
        <f>SUMIF(项目基本情况!C$12:I$12,C9,项目基本情况!C$15:I$15)</f>
        <v>43.97</v>
      </c>
      <c r="G9" s="65">
        <f t="shared" si="2"/>
        <v>0.95599999999999996</v>
      </c>
      <c r="H9" s="3490">
        <v>0.04</v>
      </c>
      <c r="I9" s="3490">
        <v>0.04</v>
      </c>
      <c r="J9" s="3491">
        <v>7.4999999999999997E-2</v>
      </c>
      <c r="K9" s="1026">
        <f>SUMIF('数据-汇总表'!C$19:C$33,A9,'数据-汇总表'!E$19:E$33)</f>
        <v>57595</v>
      </c>
      <c r="L9" s="3489">
        <v>4000</v>
      </c>
      <c r="M9" s="67">
        <f t="shared" si="0"/>
        <v>23038</v>
      </c>
      <c r="N9" s="729">
        <f t="shared" si="3"/>
        <v>0.98</v>
      </c>
      <c r="O9" s="67" t="str">
        <f t="shared" si="4"/>
        <v>——</v>
      </c>
      <c r="P9" s="68" t="str">
        <f t="shared" si="5"/>
        <v>——</v>
      </c>
      <c r="Q9" s="81">
        <v>0.15</v>
      </c>
      <c r="R9" s="69">
        <f ca="1">SUMIF('数据-汇总表'!C$19:C$33,A9,'数据-汇总表'!R$19:R$27)</f>
        <v>35996.879999999997</v>
      </c>
      <c r="S9" s="51">
        <f>IF('数据-汇总表'!$I$17="按面积比例",SUMIF('数据-汇总表'!C$19:C$33,A9,'数据-汇总表'!K$19:K$33),SUMIF('数据-汇总表'!C$19:C$33,A9,'数据-汇总表'!N$19:N$33))</f>
        <v>0</v>
      </c>
      <c r="T9" s="1168">
        <f t="shared" si="6"/>
        <v>0</v>
      </c>
      <c r="U9" s="3423"/>
      <c r="V9" s="70"/>
      <c r="W9" s="70"/>
      <c r="X9" s="1036"/>
      <c r="Y9" s="71"/>
      <c r="Z9" s="72"/>
      <c r="AA9" s="66"/>
      <c r="AB9" s="66"/>
      <c r="AC9" s="1036"/>
      <c r="AD9" s="73"/>
      <c r="AE9" s="1037">
        <f t="shared" ca="1" si="7"/>
        <v>0</v>
      </c>
      <c r="AF9" s="1344"/>
      <c r="AG9" s="137">
        <f t="shared" si="8"/>
        <v>0</v>
      </c>
      <c r="AH9" s="74"/>
      <c r="AI9" s="76"/>
      <c r="AJ9" s="77"/>
      <c r="AK9" s="78"/>
      <c r="AL9" s="79"/>
      <c r="AM9" s="80"/>
      <c r="AN9" s="1711"/>
      <c r="AO9" s="52" t="e">
        <f t="shared" ca="1" si="9"/>
        <v>#REF!</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独立仓储间</v>
      </c>
      <c r="B10" s="1709" t="str">
        <f t="shared" si="1"/>
        <v>经营性</v>
      </c>
      <c r="C10" s="1710" t="s">
        <v>3338</v>
      </c>
      <c r="D10" s="854">
        <f>SUMIF(项目基本情况!C$12:I$12,C10,项目基本情况!C$14:I$14)</f>
        <v>50</v>
      </c>
      <c r="E10" s="853">
        <f ca="1">IF(B10="","",SUMIF(项目基本情况!C$12:I$12,C10,项目基本情况!D$13:I$13))</f>
        <v>0</v>
      </c>
      <c r="F10" s="64">
        <f>SUMIF(项目基本情况!C$12:I$12,C10,项目基本情况!C$15:I$15)</f>
        <v>43.97</v>
      </c>
      <c r="G10" s="65">
        <f t="shared" si="2"/>
        <v>0.95599999999999996</v>
      </c>
      <c r="H10" s="3490">
        <v>0.04</v>
      </c>
      <c r="I10" s="3490">
        <v>0.04</v>
      </c>
      <c r="J10" s="3491">
        <v>7.4999999999999997E-2</v>
      </c>
      <c r="K10" s="1026">
        <f>SUMIF('数据-汇总表'!C$19:C$33,A10,'数据-汇总表'!E$19:E$33)</f>
        <v>4077</v>
      </c>
      <c r="L10" s="3489">
        <v>4000</v>
      </c>
      <c r="M10" s="67">
        <f t="shared" si="0"/>
        <v>1631</v>
      </c>
      <c r="N10" s="729">
        <f t="shared" si="3"/>
        <v>0.98</v>
      </c>
      <c r="O10" s="67" t="str">
        <f t="shared" si="4"/>
        <v>——</v>
      </c>
      <c r="P10" s="68" t="str">
        <f t="shared" si="5"/>
        <v>——</v>
      </c>
      <c r="Q10" s="81">
        <v>0.05</v>
      </c>
      <c r="R10" s="69">
        <f ca="1">SUMIF('数据-汇总表'!C$19:C$33,A10,'数据-汇总表'!R$19:R$27)</f>
        <v>2548.13</v>
      </c>
      <c r="S10" s="51">
        <f>IF('数据-汇总表'!$I$17="按面积比例",SUMIF('数据-汇总表'!C$19:C$33,A10,'数据-汇总表'!K$19:K$33),SUMIF('数据-汇总表'!C$19:C$33,A10,'数据-汇总表'!N$19:N$33))</f>
        <v>0</v>
      </c>
      <c r="T10" s="1168">
        <f t="shared" si="6"/>
        <v>0</v>
      </c>
      <c r="U10" s="3423"/>
      <c r="V10" s="70"/>
      <c r="W10" s="70"/>
      <c r="X10" s="1036"/>
      <c r="Y10" s="71"/>
      <c r="Z10" s="72"/>
      <c r="AA10" s="66"/>
      <c r="AB10" s="66"/>
      <c r="AC10" s="1036"/>
      <c r="AD10" s="73"/>
      <c r="AE10" s="1037">
        <f t="shared" ca="1" si="7"/>
        <v>0</v>
      </c>
      <c r="AF10" s="1344"/>
      <c r="AG10" s="137">
        <f t="shared" si="8"/>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t="str">
        <f>'数据-汇总表'!C24</f>
        <v>车位</v>
      </c>
      <c r="B11" s="1709" t="str">
        <f t="shared" si="1"/>
        <v>经营性</v>
      </c>
      <c r="C11" s="1710" t="s">
        <v>3337</v>
      </c>
      <c r="D11" s="854">
        <f>SUMIF(项目基本情况!C$12:I$12,C11,项目基本情况!C$14:I$14)</f>
        <v>50</v>
      </c>
      <c r="E11" s="853">
        <f ca="1">IF(B11="","",SUMIF(项目基本情况!C$12:I$12,C11,项目基本情况!D$13:I$13))</f>
        <v>61205</v>
      </c>
      <c r="F11" s="64">
        <f>SUMIF(项目基本情况!C$12:I$12,C11,项目基本情况!C$15:I$15)</f>
        <v>43.97</v>
      </c>
      <c r="G11" s="65">
        <f t="shared" si="2"/>
        <v>0.95599999999999996</v>
      </c>
      <c r="H11" s="3490">
        <v>0.04</v>
      </c>
      <c r="I11" s="3490">
        <v>0.04</v>
      </c>
      <c r="J11" s="3491">
        <v>7.4999999999999997E-2</v>
      </c>
      <c r="K11" s="1026">
        <f>SUMIF('数据-汇总表'!C$19:C$33,A11,'数据-汇总表'!E$19:E$33)</f>
        <v>72769</v>
      </c>
      <c r="L11" s="3489">
        <v>4000</v>
      </c>
      <c r="M11" s="67">
        <f t="shared" si="0"/>
        <v>29108</v>
      </c>
      <c r="N11" s="729">
        <f t="shared" si="3"/>
        <v>0.98</v>
      </c>
      <c r="O11" s="67" t="str">
        <f t="shared" si="4"/>
        <v>——</v>
      </c>
      <c r="P11" s="68" t="str">
        <f t="shared" si="5"/>
        <v>——</v>
      </c>
      <c r="Q11" s="81">
        <v>0.05</v>
      </c>
      <c r="R11" s="69">
        <f ca="1">SUMIF('数据-汇总表'!C$19:C$33,A11,'数据-汇总表'!R$19:R$27)</f>
        <v>45480.63</v>
      </c>
      <c r="S11" s="51">
        <f>IF('数据-汇总表'!$I$17="按面积比例",SUMIF('数据-汇总表'!C$19:C$33,A11,'数据-汇总表'!K$19:K$33),SUMIF('数据-汇总表'!C$19:C$33,A11,'数据-汇总表'!N$19:N$33))</f>
        <v>0</v>
      </c>
      <c r="T11" s="1168">
        <f t="shared" si="6"/>
        <v>0</v>
      </c>
      <c r="U11" s="3423">
        <v>0.5</v>
      </c>
      <c r="V11" s="66">
        <v>0.01</v>
      </c>
      <c r="W11" s="66">
        <v>0.1</v>
      </c>
      <c r="X11" s="1036"/>
      <c r="Y11" s="71">
        <f>Y6</f>
        <v>0.98</v>
      </c>
      <c r="Z11" s="84"/>
      <c r="AA11" s="66"/>
      <c r="AB11" s="66"/>
      <c r="AC11" s="1036"/>
      <c r="AD11" s="73"/>
      <c r="AE11" s="3525">
        <f>F11</f>
        <v>43.97</v>
      </c>
      <c r="AF11" s="1344"/>
      <c r="AG11" s="137">
        <f t="shared" si="8"/>
        <v>0</v>
      </c>
      <c r="AH11" s="74">
        <f>'数据-汇总表'!G24</f>
        <v>72769</v>
      </c>
      <c r="AI11" s="76">
        <v>365</v>
      </c>
      <c r="AJ11" s="77"/>
      <c r="AK11" s="85">
        <f>AK6</f>
        <v>0.02</v>
      </c>
      <c r="AL11" s="85">
        <f t="shared" ref="AL11:AM11" si="13">AL6</f>
        <v>2E-3</v>
      </c>
      <c r="AM11" s="85">
        <f t="shared" si="13"/>
        <v>0.02</v>
      </c>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IF(B12="","",SUMIF(项目基本情况!C$12:I$12,C12,项目基本情况!D$13:I$13))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3"/>
      <c r="V12" s="66"/>
      <c r="W12" s="66"/>
      <c r="X12" s="1036"/>
      <c r="Y12" s="71"/>
      <c r="Z12" s="84"/>
      <c r="AA12" s="66"/>
      <c r="AB12" s="66"/>
      <c r="AC12" s="1036"/>
      <c r="AD12" s="73"/>
      <c r="AE12" s="1037">
        <f t="shared" ca="1" si="7"/>
        <v>0</v>
      </c>
      <c r="AF12" s="1344"/>
      <c r="AG12" s="137">
        <f t="shared" si="8"/>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IF(B13="","",SUMIF(项目基本情况!C$12:I$12,C13,项目基本情况!D$13:I$13))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7"/>
        <v>0</v>
      </c>
      <c r="AF13" s="1344"/>
      <c r="AG13" s="137">
        <f t="shared" si="8"/>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0.96199999999999997</v>
      </c>
      <c r="H16" s="90">
        <f>ROUND(SUMPRODUCT(H6:H13,K6:K13)/SUMPRODUCT((H6:H13&gt;0)*(K6:K13)),3)</f>
        <v>0.04</v>
      </c>
      <c r="I16" s="91"/>
      <c r="J16" s="91"/>
      <c r="K16" s="92">
        <f>SUM(K6:K15)</f>
        <v>178258</v>
      </c>
      <c r="L16" s="93">
        <f>ROUND(M16*10000/SUM(K6:K14),0)</f>
        <v>4170</v>
      </c>
      <c r="M16" s="93">
        <f>SUM(M6:M14)</f>
        <v>74329</v>
      </c>
      <c r="N16" s="94">
        <f>ROUND(SUMPRODUCT(M6:M14,N6:N14)/M16,3)</f>
        <v>0.98</v>
      </c>
      <c r="O16" s="93">
        <f>SUM(O6:O14)</f>
        <v>0</v>
      </c>
      <c r="P16" s="93">
        <f>SUM(P6:P14)</f>
        <v>0</v>
      </c>
      <c r="Q16" s="95">
        <f>ROUND(SUMPRODUCT(Q6:Q13,K6:K13)/SUMPRODUCT((Q6:Q13&gt;0)*(K6:K13)),2)</f>
        <v>0.13</v>
      </c>
      <c r="R16" s="1030">
        <f ca="1">SUM(R6:R13)</f>
        <v>111411.28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3492">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3493">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1">
        <f ca="1">'成本法-洋房'!C9+'成本法-洋房'!C10</f>
        <v>267</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0">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7">
        <v>0.08</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2">
        <v>0.1</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09">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4">
        <v>2.5000000000000001E-2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2">
        <v>2.5000000000000001E-2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8669</v>
      </c>
      <c r="B40" s="1074">
        <f ca="1">IF(A40="利息：取LPR",存贷款利率!G1,存贷款利率!G1+C40)</f>
        <v>4.7500000000000001E-2</v>
      </c>
      <c r="C40" s="2810">
        <v>1.2E-2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6">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6">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0">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90" zoomScaleNormal="60" zoomScaleSheetLayoutView="90" workbookViewId="0">
      <selection activeCell="D1" sqref="D1"/>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1661</v>
      </c>
      <c r="C1" s="1234" t="s">
        <v>1662</v>
      </c>
      <c r="D1" s="1221" t="s">
        <v>3396</v>
      </c>
      <c r="E1" s="3421"/>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13013</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1666</v>
      </c>
      <c r="B4" s="355"/>
      <c r="C4" s="3652" t="s">
        <v>1667</v>
      </c>
      <c r="D4" s="3653"/>
      <c r="E4" s="3654" t="s">
        <v>1668</v>
      </c>
      <c r="F4" s="3655"/>
      <c r="G4" s="3652" t="s">
        <v>1669</v>
      </c>
      <c r="H4" s="3653"/>
      <c r="I4" s="3652" t="s">
        <v>1670</v>
      </c>
      <c r="J4" s="3653"/>
      <c r="K4" s="1885" t="s">
        <v>1671</v>
      </c>
      <c r="L4" s="2711"/>
      <c r="M4" s="2712"/>
      <c r="N4" s="2712"/>
      <c r="O4" s="2712"/>
      <c r="P4" s="3656" t="s">
        <v>1672</v>
      </c>
      <c r="Q4" s="3657"/>
      <c r="R4" s="3662" t="s">
        <v>1668</v>
      </c>
      <c r="S4" s="3663"/>
      <c r="T4" s="3662" t="s">
        <v>1669</v>
      </c>
      <c r="U4" s="3663"/>
      <c r="V4" s="3676" t="s">
        <v>1670</v>
      </c>
      <c r="W4" s="3676"/>
      <c r="X4" s="3471"/>
      <c r="Y4" s="3662" t="s">
        <v>1672</v>
      </c>
      <c r="Z4" s="3663"/>
      <c r="AA4" s="3649" t="s">
        <v>1668</v>
      </c>
      <c r="AB4" s="3649" t="s">
        <v>1669</v>
      </c>
      <c r="AC4" s="3649" t="s">
        <v>1670</v>
      </c>
    </row>
    <row r="5" spans="1:29" ht="15">
      <c r="A5" s="357"/>
      <c r="B5" s="358"/>
      <c r="C5" s="3666" t="s">
        <v>1673</v>
      </c>
      <c r="D5" s="3667"/>
      <c r="E5" s="3668" t="s">
        <v>1674</v>
      </c>
      <c r="F5" s="3669"/>
      <c r="G5" s="3666" t="s">
        <v>1675</v>
      </c>
      <c r="H5" s="3667"/>
      <c r="I5" s="3666" t="s">
        <v>1676</v>
      </c>
      <c r="J5" s="3667"/>
      <c r="K5" s="1886"/>
      <c r="L5" s="2711"/>
      <c r="M5" s="2712"/>
      <c r="N5" s="2712"/>
      <c r="O5" s="2712"/>
      <c r="P5" s="3658"/>
      <c r="Q5" s="3659"/>
      <c r="R5" s="3664"/>
      <c r="S5" s="3665"/>
      <c r="T5" s="3664"/>
      <c r="U5" s="3665"/>
      <c r="V5" s="3676"/>
      <c r="W5" s="3676"/>
      <c r="X5" s="3471"/>
      <c r="Y5" s="3664"/>
      <c r="Z5" s="3665"/>
      <c r="AA5" s="3650"/>
      <c r="AB5" s="3650"/>
      <c r="AC5" s="3650"/>
    </row>
    <row r="6" spans="1:29" ht="15.75" thickBot="1">
      <c r="A6" s="359"/>
      <c r="B6" s="360"/>
      <c r="C6" s="3670" t="s">
        <v>1677</v>
      </c>
      <c r="D6" s="3671"/>
      <c r="E6" s="3672" t="s">
        <v>1677</v>
      </c>
      <c r="F6" s="3673"/>
      <c r="G6" s="3670" t="s">
        <v>1677</v>
      </c>
      <c r="H6" s="3671"/>
      <c r="I6" s="3670" t="s">
        <v>1677</v>
      </c>
      <c r="J6" s="3671"/>
      <c r="K6" s="1886" t="s">
        <v>1678</v>
      </c>
      <c r="L6" s="2711"/>
      <c r="M6" s="2712"/>
      <c r="N6" s="2712"/>
      <c r="O6" s="2712"/>
      <c r="P6" s="3660"/>
      <c r="Q6" s="3661"/>
      <c r="R6" s="3664"/>
      <c r="S6" s="3665"/>
      <c r="T6" s="3674"/>
      <c r="U6" s="3675"/>
      <c r="V6" s="3676"/>
      <c r="W6" s="3676"/>
      <c r="X6" s="3471"/>
      <c r="Y6" s="3674"/>
      <c r="Z6" s="3675"/>
      <c r="AA6" s="3651"/>
      <c r="AB6" s="3651"/>
      <c r="AC6" s="3651"/>
    </row>
    <row r="7" spans="1:29" s="107" customFormat="1" ht="15.75" thickBot="1">
      <c r="A7" s="361" t="s">
        <v>1679</v>
      </c>
      <c r="B7" s="362"/>
      <c r="C7" s="363">
        <f>'数据-取费表'!B2</f>
        <v>45159</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677" t="s">
        <v>1683</v>
      </c>
      <c r="Q8" s="3679"/>
      <c r="R8" s="699" t="s">
        <v>14</v>
      </c>
      <c r="S8" s="700">
        <f t="shared" si="0"/>
        <v>100</v>
      </c>
      <c r="T8" s="699" t="s">
        <v>14</v>
      </c>
      <c r="U8" s="700">
        <f t="shared" si="1"/>
        <v>100</v>
      </c>
      <c r="V8" s="699" t="s">
        <v>14</v>
      </c>
      <c r="W8" s="700">
        <f t="shared" si="2"/>
        <v>100</v>
      </c>
      <c r="X8" s="701"/>
      <c r="Y8" s="3677" t="s">
        <v>1683</v>
      </c>
      <c r="Z8" s="367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680" t="s">
        <v>1686</v>
      </c>
      <c r="Q9" s="3450" t="str">
        <f t="shared" ref="Q9:Q15" si="6">B9</f>
        <v>用途</v>
      </c>
      <c r="R9" s="699" t="s">
        <v>14</v>
      </c>
      <c r="S9" s="700">
        <f t="shared" si="0"/>
        <v>100</v>
      </c>
      <c r="T9" s="699" t="s">
        <v>14</v>
      </c>
      <c r="U9" s="700">
        <f t="shared" si="1"/>
        <v>100</v>
      </c>
      <c r="V9" s="699" t="s">
        <v>14</v>
      </c>
      <c r="W9" s="700">
        <f t="shared" si="2"/>
        <v>100</v>
      </c>
      <c r="X9" s="701"/>
      <c r="Y9" s="3681" t="s">
        <v>1687</v>
      </c>
      <c r="Z9" s="3448" t="str">
        <f t="shared" ref="Z9:Z15" si="7">Q9</f>
        <v>用途</v>
      </c>
      <c r="AA9" s="702">
        <f t="shared" si="3"/>
        <v>1</v>
      </c>
      <c r="AB9" s="702">
        <f t="shared" si="4"/>
        <v>1</v>
      </c>
      <c r="AC9" s="702">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7"/>
      <c r="L10" s="2715"/>
      <c r="M10" s="2716"/>
      <c r="N10" s="2716"/>
      <c r="O10" s="2716"/>
      <c r="P10" s="3680"/>
      <c r="Q10" s="3450" t="str">
        <f t="shared" si="6"/>
        <v>土地使用年限（年）</v>
      </c>
      <c r="R10" s="699" t="s">
        <v>14</v>
      </c>
      <c r="S10" s="700">
        <f t="shared" si="0"/>
        <v>100</v>
      </c>
      <c r="T10" s="699" t="s">
        <v>14</v>
      </c>
      <c r="U10" s="700">
        <f t="shared" si="1"/>
        <v>100</v>
      </c>
      <c r="V10" s="699" t="s">
        <v>14</v>
      </c>
      <c r="W10" s="700">
        <f t="shared" si="2"/>
        <v>100</v>
      </c>
      <c r="X10" s="701"/>
      <c r="Y10" s="3681"/>
      <c r="Z10" s="3448"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80"/>
      <c r="Q11" s="3450" t="str">
        <f t="shared" si="6"/>
        <v>容积率</v>
      </c>
      <c r="R11" s="699" t="s">
        <v>14</v>
      </c>
      <c r="S11" s="700" t="e">
        <f t="shared" si="0"/>
        <v>#N/A</v>
      </c>
      <c r="T11" s="699" t="s">
        <v>14</v>
      </c>
      <c r="U11" s="700" t="e">
        <f t="shared" si="1"/>
        <v>#N/A</v>
      </c>
      <c r="V11" s="699" t="s">
        <v>14</v>
      </c>
      <c r="W11" s="700" t="e">
        <f t="shared" si="2"/>
        <v>#N/A</v>
      </c>
      <c r="X11" s="701"/>
      <c r="Y11" s="3681"/>
      <c r="Z11" s="3448"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680"/>
      <c r="Q12" s="3450">
        <f t="shared" si="6"/>
        <v>111</v>
      </c>
      <c r="R12" s="699" t="s">
        <v>14</v>
      </c>
      <c r="S12" s="700">
        <f t="shared" si="0"/>
        <v>100</v>
      </c>
      <c r="T12" s="699" t="s">
        <v>14</v>
      </c>
      <c r="U12" s="700">
        <f t="shared" si="1"/>
        <v>100</v>
      </c>
      <c r="V12" s="699" t="s">
        <v>14</v>
      </c>
      <c r="W12" s="700">
        <f t="shared" si="2"/>
        <v>100</v>
      </c>
      <c r="X12" s="701"/>
      <c r="Y12" s="3681"/>
      <c r="Z12" s="3448">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680"/>
      <c r="Q13" s="3450">
        <f t="shared" si="6"/>
        <v>111</v>
      </c>
      <c r="R13" s="699" t="s">
        <v>14</v>
      </c>
      <c r="S13" s="700">
        <f t="shared" si="0"/>
        <v>100</v>
      </c>
      <c r="T13" s="699" t="s">
        <v>14</v>
      </c>
      <c r="U13" s="700">
        <f t="shared" si="1"/>
        <v>100</v>
      </c>
      <c r="V13" s="699" t="s">
        <v>14</v>
      </c>
      <c r="W13" s="700">
        <f t="shared" si="2"/>
        <v>100</v>
      </c>
      <c r="X13" s="701"/>
      <c r="Y13" s="3681"/>
      <c r="Z13" s="3448">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680"/>
      <c r="Q14" s="3450">
        <f t="shared" si="6"/>
        <v>111</v>
      </c>
      <c r="R14" s="699" t="s">
        <v>14</v>
      </c>
      <c r="S14" s="700">
        <f t="shared" si="0"/>
        <v>100</v>
      </c>
      <c r="T14" s="699" t="s">
        <v>14</v>
      </c>
      <c r="U14" s="700">
        <f t="shared" si="1"/>
        <v>100</v>
      </c>
      <c r="V14" s="699" t="s">
        <v>14</v>
      </c>
      <c r="W14" s="700">
        <f t="shared" si="2"/>
        <v>100</v>
      </c>
      <c r="X14" s="701"/>
      <c r="Y14" s="3681"/>
      <c r="Z14" s="3448">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82" t="s">
        <v>1691</v>
      </c>
      <c r="Q15" s="3469" t="str">
        <f t="shared" si="6"/>
        <v>居住社区成熟度</v>
      </c>
      <c r="R15" s="703" t="s">
        <v>14</v>
      </c>
      <c r="S15" s="704">
        <f t="shared" si="0"/>
        <v>100</v>
      </c>
      <c r="T15" s="703" t="s">
        <v>14</v>
      </c>
      <c r="U15" s="704">
        <f t="shared" si="1"/>
        <v>100</v>
      </c>
      <c r="V15" s="703" t="s">
        <v>14</v>
      </c>
      <c r="W15" s="704">
        <f t="shared" si="2"/>
        <v>100</v>
      </c>
      <c r="X15" s="3471"/>
      <c r="Y15" s="3684" t="s">
        <v>1691</v>
      </c>
      <c r="Z15" s="3472" t="str">
        <f t="shared" si="7"/>
        <v>居住社区成熟度</v>
      </c>
      <c r="AA15" s="3470">
        <f t="shared" si="3"/>
        <v>1</v>
      </c>
      <c r="AB15" s="3470">
        <f t="shared" si="4"/>
        <v>1</v>
      </c>
      <c r="AC15" s="3470">
        <f t="shared" si="5"/>
        <v>1</v>
      </c>
    </row>
    <row r="16" spans="1:29" ht="15">
      <c r="A16" s="378"/>
      <c r="B16" s="396"/>
      <c r="C16" s="397"/>
      <c r="D16" s="398"/>
      <c r="E16" s="1893"/>
      <c r="F16" s="398"/>
      <c r="G16" s="1894"/>
      <c r="H16" s="400"/>
      <c r="I16" s="1894"/>
      <c r="J16" s="398"/>
      <c r="K16" s="1895"/>
      <c r="L16" s="2718"/>
      <c r="M16" s="2712"/>
      <c r="N16" s="2712"/>
      <c r="O16" s="2712"/>
      <c r="P16" s="3683"/>
      <c r="Q16" s="3469"/>
      <c r="R16" s="703"/>
      <c r="S16" s="704"/>
      <c r="T16" s="703"/>
      <c r="U16" s="704"/>
      <c r="V16" s="703"/>
      <c r="W16" s="704"/>
      <c r="X16" s="3471"/>
      <c r="Y16" s="3685"/>
      <c r="Z16" s="3472"/>
      <c r="AA16" s="3470">
        <v>1</v>
      </c>
      <c r="AB16" s="3470">
        <v>1</v>
      </c>
      <c r="AC16" s="3470">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83"/>
      <c r="Q17" s="3469" t="str">
        <f>B17</f>
        <v>交通便捷度</v>
      </c>
      <c r="R17" s="703" t="s">
        <v>14</v>
      </c>
      <c r="S17" s="704">
        <f>F17</f>
        <v>100</v>
      </c>
      <c r="T17" s="703" t="s">
        <v>14</v>
      </c>
      <c r="U17" s="704">
        <f>H17</f>
        <v>100</v>
      </c>
      <c r="V17" s="703" t="s">
        <v>14</v>
      </c>
      <c r="W17" s="704">
        <f>J17</f>
        <v>100</v>
      </c>
      <c r="X17" s="3471"/>
      <c r="Y17" s="3685"/>
      <c r="Z17" s="3472" t="str">
        <f>Q17</f>
        <v>交通便捷度</v>
      </c>
      <c r="AA17" s="3470">
        <f t="shared" si="3"/>
        <v>1</v>
      </c>
      <c r="AB17" s="3470">
        <f t="shared" si="4"/>
        <v>1</v>
      </c>
      <c r="AC17" s="3470">
        <f t="shared" si="5"/>
        <v>1</v>
      </c>
    </row>
    <row r="18" spans="1:29" ht="15">
      <c r="A18" s="378"/>
      <c r="B18" s="406"/>
      <c r="C18" s="1897"/>
      <c r="D18" s="400"/>
      <c r="E18" s="1898"/>
      <c r="F18" s="400"/>
      <c r="G18" s="1899"/>
      <c r="H18" s="398"/>
      <c r="I18" s="1899"/>
      <c r="J18" s="398"/>
      <c r="K18" s="1895"/>
      <c r="L18" s="2718"/>
      <c r="M18" s="2712"/>
      <c r="N18" s="2712"/>
      <c r="O18" s="2712"/>
      <c r="P18" s="3683"/>
      <c r="Q18" s="3469"/>
      <c r="R18" s="703"/>
      <c r="S18" s="704"/>
      <c r="T18" s="703"/>
      <c r="U18" s="704"/>
      <c r="V18" s="703"/>
      <c r="W18" s="704"/>
      <c r="X18" s="3471"/>
      <c r="Y18" s="3685"/>
      <c r="Z18" s="3472"/>
      <c r="AA18" s="3470">
        <v>1</v>
      </c>
      <c r="AB18" s="3470">
        <v>1</v>
      </c>
      <c r="AC18" s="3470">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83"/>
      <c r="Q19" s="3469" t="str">
        <f>B19</f>
        <v>公共配套设施</v>
      </c>
      <c r="R19" s="703" t="s">
        <v>14</v>
      </c>
      <c r="S19" s="704">
        <f>F19</f>
        <v>100</v>
      </c>
      <c r="T19" s="703" t="s">
        <v>14</v>
      </c>
      <c r="U19" s="704">
        <f>H19</f>
        <v>100</v>
      </c>
      <c r="V19" s="703" t="s">
        <v>14</v>
      </c>
      <c r="W19" s="704">
        <f>J19</f>
        <v>100</v>
      </c>
      <c r="X19" s="3471"/>
      <c r="Y19" s="3685"/>
      <c r="Z19" s="3472" t="str">
        <f>Q19</f>
        <v>公共配套设施</v>
      </c>
      <c r="AA19" s="3470">
        <f t="shared" si="3"/>
        <v>1</v>
      </c>
      <c r="AB19" s="3470">
        <f t="shared" si="4"/>
        <v>1</v>
      </c>
      <c r="AC19" s="3470">
        <f t="shared" si="5"/>
        <v>1</v>
      </c>
    </row>
    <row r="20" spans="1:29" ht="15">
      <c r="A20" s="378"/>
      <c r="B20" s="406"/>
      <c r="C20" s="397"/>
      <c r="D20" s="398"/>
      <c r="E20" s="1893"/>
      <c r="F20" s="398"/>
      <c r="G20" s="1894"/>
      <c r="H20" s="398"/>
      <c r="I20" s="1894"/>
      <c r="J20" s="398"/>
      <c r="K20" s="1895"/>
      <c r="L20" s="2718"/>
      <c r="M20" s="2712"/>
      <c r="N20" s="2712"/>
      <c r="O20" s="2712"/>
      <c r="P20" s="3683"/>
      <c r="Q20" s="3469"/>
      <c r="R20" s="703"/>
      <c r="S20" s="704"/>
      <c r="T20" s="703"/>
      <c r="U20" s="704"/>
      <c r="V20" s="703"/>
      <c r="W20" s="704"/>
      <c r="X20" s="3471"/>
      <c r="Y20" s="3685"/>
      <c r="Z20" s="3472"/>
      <c r="AA20" s="3470">
        <v>1</v>
      </c>
      <c r="AB20" s="3470">
        <v>1</v>
      </c>
      <c r="AC20" s="3470">
        <v>1</v>
      </c>
    </row>
    <row r="21" spans="1:29" ht="28.5">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83"/>
      <c r="Q21" s="3469" t="str">
        <f>B21</f>
        <v>基础设施水平</v>
      </c>
      <c r="R21" s="703" t="s">
        <v>14</v>
      </c>
      <c r="S21" s="704">
        <f>F21</f>
        <v>100</v>
      </c>
      <c r="T21" s="703" t="s">
        <v>14</v>
      </c>
      <c r="U21" s="704">
        <f>H21</f>
        <v>100</v>
      </c>
      <c r="V21" s="703" t="s">
        <v>14</v>
      </c>
      <c r="W21" s="704">
        <f>J21</f>
        <v>100</v>
      </c>
      <c r="X21" s="3471"/>
      <c r="Y21" s="3685"/>
      <c r="Z21" s="3472" t="str">
        <f>Q21</f>
        <v>基础设施水平</v>
      </c>
      <c r="AA21" s="3470">
        <f t="shared" ref="AA21" si="8">D21/F21</f>
        <v>1</v>
      </c>
      <c r="AB21" s="3470">
        <f t="shared" ref="AB21" si="9">D21/H21</f>
        <v>1</v>
      </c>
      <c r="AC21" s="3470">
        <f t="shared" ref="AC21" si="10">D21/J21</f>
        <v>1</v>
      </c>
    </row>
    <row r="22" spans="1:29" ht="15">
      <c r="A22" s="378"/>
      <c r="B22" s="1127"/>
      <c r="C22" s="1897"/>
      <c r="D22" s="398"/>
      <c r="E22" s="397"/>
      <c r="F22" s="398"/>
      <c r="G22" s="1900"/>
      <c r="H22" s="398"/>
      <c r="I22" s="397"/>
      <c r="J22" s="398"/>
      <c r="K22" s="1901"/>
      <c r="L22" s="2718"/>
      <c r="M22" s="2712"/>
      <c r="N22" s="2712"/>
      <c r="O22" s="2712"/>
      <c r="P22" s="3683"/>
      <c r="Q22" s="3469"/>
      <c r="R22" s="703"/>
      <c r="S22" s="704"/>
      <c r="T22" s="703"/>
      <c r="U22" s="704"/>
      <c r="V22" s="703"/>
      <c r="W22" s="704"/>
      <c r="X22" s="3471"/>
      <c r="Y22" s="3685"/>
      <c r="Z22" s="3472"/>
      <c r="AA22" s="3470">
        <v>1</v>
      </c>
      <c r="AB22" s="3470">
        <v>1</v>
      </c>
      <c r="AC22" s="3470">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83"/>
      <c r="Q23" s="3469" t="str">
        <f>B23</f>
        <v>自然及人文环境</v>
      </c>
      <c r="R23" s="703" t="s">
        <v>14</v>
      </c>
      <c r="S23" s="704">
        <f>F23</f>
        <v>100</v>
      </c>
      <c r="T23" s="703" t="s">
        <v>14</v>
      </c>
      <c r="U23" s="704">
        <f>H23</f>
        <v>100</v>
      </c>
      <c r="V23" s="703" t="s">
        <v>14</v>
      </c>
      <c r="W23" s="704">
        <f>J23</f>
        <v>100</v>
      </c>
      <c r="X23" s="3471"/>
      <c r="Y23" s="3685"/>
      <c r="Z23" s="3472" t="str">
        <f>Q23</f>
        <v>自然及人文环境</v>
      </c>
      <c r="AA23" s="3470">
        <f>D23/F23</f>
        <v>1</v>
      </c>
      <c r="AB23" s="3470">
        <f>D23/H23</f>
        <v>1</v>
      </c>
      <c r="AC23" s="3470">
        <f>D23/J23</f>
        <v>1</v>
      </c>
    </row>
    <row r="24" spans="1:29" ht="15">
      <c r="A24" s="378"/>
      <c r="B24" s="406"/>
      <c r="C24" s="397"/>
      <c r="D24" s="398"/>
      <c r="E24" s="1893"/>
      <c r="F24" s="398"/>
      <c r="G24" s="1894"/>
      <c r="H24" s="398"/>
      <c r="I24" s="1894"/>
      <c r="J24" s="398"/>
      <c r="K24" s="1895"/>
      <c r="L24" s="2718"/>
      <c r="M24" s="2712"/>
      <c r="N24" s="2712"/>
      <c r="O24" s="2712"/>
      <c r="P24" s="3683"/>
      <c r="Q24" s="3469"/>
      <c r="R24" s="703"/>
      <c r="S24" s="704"/>
      <c r="T24" s="703"/>
      <c r="U24" s="704"/>
      <c r="V24" s="703"/>
      <c r="W24" s="704"/>
      <c r="X24" s="3471"/>
      <c r="Y24" s="3685"/>
      <c r="Z24" s="3472"/>
      <c r="AA24" s="3470">
        <v>1</v>
      </c>
      <c r="AB24" s="3470">
        <v>1</v>
      </c>
      <c r="AC24" s="347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683"/>
      <c r="Q25" s="3469" t="str">
        <f t="shared" ref="Q25:Q46" si="11">B25</f>
        <v>楼层-1</v>
      </c>
      <c r="R25" s="703" t="s">
        <v>14</v>
      </c>
      <c r="S25" s="704">
        <f t="shared" ref="S25:S46" si="12">F25</f>
        <v>100</v>
      </c>
      <c r="T25" s="703" t="s">
        <v>14</v>
      </c>
      <c r="U25" s="704">
        <f t="shared" ref="U25:U46" si="13">H25</f>
        <v>100</v>
      </c>
      <c r="V25" s="703" t="s">
        <v>14</v>
      </c>
      <c r="W25" s="704">
        <f t="shared" ref="W25:W46" si="14">J25</f>
        <v>100</v>
      </c>
      <c r="X25" s="3471"/>
      <c r="Y25" s="3685"/>
      <c r="Z25" s="3472" t="str">
        <f>Q25</f>
        <v>楼层-1</v>
      </c>
      <c r="AA25" s="3470">
        <f t="shared" ref="AA25:AA46" si="15">D25/F25</f>
        <v>1</v>
      </c>
      <c r="AB25" s="3470">
        <f t="shared" ref="AB25:AB46" si="16">D25/H25</f>
        <v>1</v>
      </c>
      <c r="AC25" s="347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683"/>
      <c r="Q26" s="3469" t="str">
        <f t="shared" si="11"/>
        <v>朝向</v>
      </c>
      <c r="R26" s="703" t="s">
        <v>14</v>
      </c>
      <c r="S26" s="704">
        <f t="shared" si="12"/>
        <v>100</v>
      </c>
      <c r="T26" s="703" t="s">
        <v>14</v>
      </c>
      <c r="U26" s="704">
        <f t="shared" si="13"/>
        <v>100</v>
      </c>
      <c r="V26" s="703" t="s">
        <v>14</v>
      </c>
      <c r="W26" s="704">
        <f t="shared" si="14"/>
        <v>100</v>
      </c>
      <c r="X26" s="3471"/>
      <c r="Y26" s="3685"/>
      <c r="Z26" s="3472" t="str">
        <f>Q26</f>
        <v>朝向</v>
      </c>
      <c r="AA26" s="3470">
        <f t="shared" si="15"/>
        <v>1</v>
      </c>
      <c r="AB26" s="3470">
        <f t="shared" si="16"/>
        <v>1</v>
      </c>
      <c r="AC26" s="3470">
        <f t="shared" si="17"/>
        <v>1</v>
      </c>
    </row>
    <row r="27" spans="1:29" s="107"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683"/>
      <c r="Q27" s="3450">
        <f t="shared" si="11"/>
        <v>111</v>
      </c>
      <c r="R27" s="699" t="s">
        <v>14</v>
      </c>
      <c r="S27" s="700">
        <f t="shared" si="12"/>
        <v>100</v>
      </c>
      <c r="T27" s="699" t="s">
        <v>14</v>
      </c>
      <c r="U27" s="700">
        <f t="shared" si="13"/>
        <v>100</v>
      </c>
      <c r="V27" s="699" t="s">
        <v>14</v>
      </c>
      <c r="W27" s="700">
        <f t="shared" si="14"/>
        <v>100</v>
      </c>
      <c r="X27" s="701"/>
      <c r="Y27" s="3685"/>
      <c r="Z27" s="3448">
        <f>Q27</f>
        <v>111</v>
      </c>
      <c r="AA27" s="3470">
        <f t="shared" si="15"/>
        <v>1</v>
      </c>
      <c r="AB27" s="3470">
        <f t="shared" si="16"/>
        <v>1</v>
      </c>
      <c r="AC27" s="3470">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683"/>
      <c r="Q28" s="3469">
        <f t="shared" si="11"/>
        <v>111</v>
      </c>
      <c r="R28" s="703" t="s">
        <v>14</v>
      </c>
      <c r="S28" s="704">
        <f t="shared" si="12"/>
        <v>100</v>
      </c>
      <c r="T28" s="703" t="s">
        <v>14</v>
      </c>
      <c r="U28" s="704">
        <f t="shared" si="13"/>
        <v>100</v>
      </c>
      <c r="V28" s="703" t="s">
        <v>14</v>
      </c>
      <c r="W28" s="704">
        <f t="shared" si="14"/>
        <v>100</v>
      </c>
      <c r="X28" s="3471"/>
      <c r="Y28" s="3685"/>
      <c r="Z28" s="3472">
        <f t="shared" ref="Z28:Z46" si="18">Q28</f>
        <v>111</v>
      </c>
      <c r="AA28" s="3470">
        <f t="shared" si="15"/>
        <v>1</v>
      </c>
      <c r="AB28" s="3470">
        <f t="shared" si="16"/>
        <v>1</v>
      </c>
      <c r="AC28" s="3470">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683"/>
      <c r="Q29" s="3469">
        <f t="shared" si="11"/>
        <v>111</v>
      </c>
      <c r="R29" s="703" t="s">
        <v>14</v>
      </c>
      <c r="S29" s="704">
        <f t="shared" si="12"/>
        <v>100</v>
      </c>
      <c r="T29" s="703" t="s">
        <v>14</v>
      </c>
      <c r="U29" s="704">
        <f t="shared" si="13"/>
        <v>100</v>
      </c>
      <c r="V29" s="703" t="s">
        <v>14</v>
      </c>
      <c r="W29" s="704">
        <f t="shared" si="14"/>
        <v>100</v>
      </c>
      <c r="X29" s="3471"/>
      <c r="Y29" s="3685"/>
      <c r="Z29" s="3472">
        <f t="shared" si="18"/>
        <v>111</v>
      </c>
      <c r="AA29" s="3470">
        <f t="shared" si="15"/>
        <v>1</v>
      </c>
      <c r="AB29" s="3470">
        <f t="shared" si="16"/>
        <v>1</v>
      </c>
      <c r="AC29" s="3470">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683"/>
      <c r="Q30" s="3469">
        <f t="shared" si="11"/>
        <v>111</v>
      </c>
      <c r="R30" s="703" t="s">
        <v>14</v>
      </c>
      <c r="S30" s="704">
        <f t="shared" si="12"/>
        <v>100</v>
      </c>
      <c r="T30" s="703" t="s">
        <v>14</v>
      </c>
      <c r="U30" s="704">
        <f t="shared" si="13"/>
        <v>100</v>
      </c>
      <c r="V30" s="703" t="s">
        <v>14</v>
      </c>
      <c r="W30" s="704">
        <f t="shared" si="14"/>
        <v>100</v>
      </c>
      <c r="X30" s="3471"/>
      <c r="Y30" s="3685"/>
      <c r="Z30" s="3472">
        <f t="shared" si="18"/>
        <v>111</v>
      </c>
      <c r="AA30" s="3470">
        <f t="shared" si="15"/>
        <v>1</v>
      </c>
      <c r="AB30" s="3470">
        <f t="shared" si="16"/>
        <v>1</v>
      </c>
      <c r="AC30" s="3470">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683"/>
      <c r="Q31" s="3469">
        <f t="shared" si="11"/>
        <v>111</v>
      </c>
      <c r="R31" s="703" t="s">
        <v>14</v>
      </c>
      <c r="S31" s="704">
        <f t="shared" si="12"/>
        <v>100</v>
      </c>
      <c r="T31" s="703" t="s">
        <v>14</v>
      </c>
      <c r="U31" s="704">
        <f t="shared" si="13"/>
        <v>100</v>
      </c>
      <c r="V31" s="703" t="s">
        <v>14</v>
      </c>
      <c r="W31" s="704">
        <f t="shared" si="14"/>
        <v>100</v>
      </c>
      <c r="X31" s="3471"/>
      <c r="Y31" s="3685"/>
      <c r="Z31" s="3472">
        <f t="shared" si="18"/>
        <v>111</v>
      </c>
      <c r="AA31" s="3470">
        <f t="shared" si="15"/>
        <v>1</v>
      </c>
      <c r="AB31" s="3470">
        <f t="shared" si="16"/>
        <v>1</v>
      </c>
      <c r="AC31" s="3470">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686" t="s">
        <v>1696</v>
      </c>
      <c r="Q32" s="3469" t="str">
        <f t="shared" si="11"/>
        <v>建筑类型</v>
      </c>
      <c r="R32" s="703" t="s">
        <v>14</v>
      </c>
      <c r="S32" s="704">
        <f t="shared" si="12"/>
        <v>100</v>
      </c>
      <c r="T32" s="703" t="s">
        <v>14</v>
      </c>
      <c r="U32" s="704">
        <f t="shared" si="13"/>
        <v>100</v>
      </c>
      <c r="V32" s="703" t="s">
        <v>14</v>
      </c>
      <c r="W32" s="704">
        <f t="shared" si="14"/>
        <v>100</v>
      </c>
      <c r="X32" s="3471"/>
      <c r="Y32" s="3689" t="s">
        <v>1696</v>
      </c>
      <c r="Z32" s="3472" t="str">
        <f t="shared" si="18"/>
        <v>建筑类型</v>
      </c>
      <c r="AA32" s="3470">
        <f t="shared" si="15"/>
        <v>1</v>
      </c>
      <c r="AB32" s="3470">
        <f t="shared" si="16"/>
        <v>1</v>
      </c>
      <c r="AC32" s="347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687"/>
      <c r="Q33" s="705" t="str">
        <f t="shared" si="11"/>
        <v>项目建筑规模</v>
      </c>
      <c r="R33" s="706" t="s">
        <v>14</v>
      </c>
      <c r="S33" s="707" t="e">
        <f t="shared" si="12"/>
        <v>#N/A</v>
      </c>
      <c r="T33" s="706" t="s">
        <v>14</v>
      </c>
      <c r="U33" s="707" t="e">
        <f t="shared" si="13"/>
        <v>#N/A</v>
      </c>
      <c r="V33" s="706" t="s">
        <v>14</v>
      </c>
      <c r="W33" s="707" t="e">
        <f t="shared" si="14"/>
        <v>#N/A</v>
      </c>
      <c r="X33" s="708"/>
      <c r="Y33" s="3689"/>
      <c r="Z33" s="709" t="str">
        <f t="shared" si="18"/>
        <v>项目建筑规模</v>
      </c>
      <c r="AA33" s="3470" t="e">
        <f t="shared" si="15"/>
        <v>#N/A</v>
      </c>
      <c r="AB33" s="3470" t="e">
        <f t="shared" si="16"/>
        <v>#N/A</v>
      </c>
      <c r="AC33" s="347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687"/>
      <c r="Q34" s="3469" t="str">
        <f t="shared" si="11"/>
        <v>建筑结构</v>
      </c>
      <c r="R34" s="703" t="s">
        <v>14</v>
      </c>
      <c r="S34" s="704">
        <f t="shared" si="12"/>
        <v>100</v>
      </c>
      <c r="T34" s="703" t="s">
        <v>14</v>
      </c>
      <c r="U34" s="704">
        <f t="shared" si="13"/>
        <v>100</v>
      </c>
      <c r="V34" s="703" t="s">
        <v>14</v>
      </c>
      <c r="W34" s="704">
        <f t="shared" si="14"/>
        <v>100</v>
      </c>
      <c r="X34" s="3471"/>
      <c r="Y34" s="3689"/>
      <c r="Z34" s="3472" t="str">
        <f t="shared" si="18"/>
        <v>建筑结构</v>
      </c>
      <c r="AA34" s="3470">
        <f t="shared" si="15"/>
        <v>1</v>
      </c>
      <c r="AB34" s="3470">
        <f t="shared" si="16"/>
        <v>1</v>
      </c>
      <c r="AC34" s="347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687"/>
      <c r="Q35" s="3469" t="str">
        <f t="shared" si="11"/>
        <v>建筑品质</v>
      </c>
      <c r="R35" s="703" t="s">
        <v>14</v>
      </c>
      <c r="S35" s="704">
        <f t="shared" si="12"/>
        <v>100</v>
      </c>
      <c r="T35" s="703" t="s">
        <v>14</v>
      </c>
      <c r="U35" s="704">
        <f t="shared" si="13"/>
        <v>100</v>
      </c>
      <c r="V35" s="703" t="s">
        <v>14</v>
      </c>
      <c r="W35" s="704">
        <f t="shared" si="14"/>
        <v>100</v>
      </c>
      <c r="X35" s="3471"/>
      <c r="Y35" s="3689"/>
      <c r="Z35" s="3472" t="str">
        <f t="shared" si="18"/>
        <v>建筑品质</v>
      </c>
      <c r="AA35" s="3470">
        <f t="shared" si="15"/>
        <v>1</v>
      </c>
      <c r="AB35" s="3470">
        <f t="shared" si="16"/>
        <v>1</v>
      </c>
      <c r="AC35" s="347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687"/>
      <c r="Q36" s="3469" t="str">
        <f t="shared" si="11"/>
        <v>公共部分装修</v>
      </c>
      <c r="R36" s="703" t="s">
        <v>14</v>
      </c>
      <c r="S36" s="704">
        <f t="shared" si="12"/>
        <v>100</v>
      </c>
      <c r="T36" s="703" t="s">
        <v>14</v>
      </c>
      <c r="U36" s="704">
        <f t="shared" si="13"/>
        <v>100</v>
      </c>
      <c r="V36" s="703" t="s">
        <v>14</v>
      </c>
      <c r="W36" s="704">
        <f t="shared" si="14"/>
        <v>100</v>
      </c>
      <c r="X36" s="3471"/>
      <c r="Y36" s="3689"/>
      <c r="Z36" s="3472" t="str">
        <f t="shared" si="18"/>
        <v>公共部分装修</v>
      </c>
      <c r="AA36" s="3470">
        <f t="shared" si="15"/>
        <v>1</v>
      </c>
      <c r="AB36" s="3470">
        <f t="shared" si="16"/>
        <v>1</v>
      </c>
      <c r="AC36" s="347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87"/>
      <c r="Q37" s="3450" t="str">
        <f t="shared" si="11"/>
        <v>成新度</v>
      </c>
      <c r="R37" s="699" t="s">
        <v>14</v>
      </c>
      <c r="S37" s="700" t="e">
        <f t="shared" si="12"/>
        <v>#N/A</v>
      </c>
      <c r="T37" s="699" t="s">
        <v>14</v>
      </c>
      <c r="U37" s="700" t="e">
        <f t="shared" si="13"/>
        <v>#N/A</v>
      </c>
      <c r="V37" s="699" t="s">
        <v>14</v>
      </c>
      <c r="W37" s="700" t="e">
        <f t="shared" si="14"/>
        <v>#N/A</v>
      </c>
      <c r="X37" s="701"/>
      <c r="Y37" s="3689"/>
      <c r="Z37" s="3448"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687" t="s">
        <v>1696</v>
      </c>
      <c r="Q38" s="3469" t="str">
        <f t="shared" si="11"/>
        <v>物业管理</v>
      </c>
      <c r="R38" s="703" t="s">
        <v>14</v>
      </c>
      <c r="S38" s="704">
        <f t="shared" si="12"/>
        <v>100</v>
      </c>
      <c r="T38" s="703" t="s">
        <v>14</v>
      </c>
      <c r="U38" s="704">
        <f t="shared" si="13"/>
        <v>100</v>
      </c>
      <c r="V38" s="703" t="s">
        <v>14</v>
      </c>
      <c r="W38" s="704">
        <f t="shared" si="14"/>
        <v>100</v>
      </c>
      <c r="X38" s="3471"/>
      <c r="Y38" s="3689" t="s">
        <v>1696</v>
      </c>
      <c r="Z38" s="3472" t="str">
        <f t="shared" si="18"/>
        <v>物业管理</v>
      </c>
      <c r="AA38" s="3470">
        <f t="shared" si="15"/>
        <v>1</v>
      </c>
      <c r="AB38" s="3470">
        <f t="shared" si="16"/>
        <v>1</v>
      </c>
      <c r="AC38" s="347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687"/>
      <c r="Q39" s="3469" t="str">
        <f t="shared" si="11"/>
        <v>市政基础设施</v>
      </c>
      <c r="R39" s="703" t="s">
        <v>14</v>
      </c>
      <c r="S39" s="704">
        <f t="shared" si="12"/>
        <v>100</v>
      </c>
      <c r="T39" s="703" t="s">
        <v>14</v>
      </c>
      <c r="U39" s="704">
        <f t="shared" si="13"/>
        <v>100</v>
      </c>
      <c r="V39" s="703" t="s">
        <v>14</v>
      </c>
      <c r="W39" s="704">
        <f t="shared" si="14"/>
        <v>100</v>
      </c>
      <c r="X39" s="3471"/>
      <c r="Y39" s="3689"/>
      <c r="Z39" s="3472" t="str">
        <f t="shared" si="18"/>
        <v>市政基础设施</v>
      </c>
      <c r="AA39" s="3470">
        <f t="shared" si="15"/>
        <v>1</v>
      </c>
      <c r="AB39" s="3470">
        <f t="shared" si="16"/>
        <v>1</v>
      </c>
      <c r="AC39" s="347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687"/>
      <c r="Q40" s="3469" t="str">
        <f t="shared" si="11"/>
        <v>房型</v>
      </c>
      <c r="R40" s="703" t="s">
        <v>14</v>
      </c>
      <c r="S40" s="704">
        <f t="shared" si="12"/>
        <v>100</v>
      </c>
      <c r="T40" s="703" t="s">
        <v>14</v>
      </c>
      <c r="U40" s="704">
        <f t="shared" si="13"/>
        <v>100</v>
      </c>
      <c r="V40" s="703" t="s">
        <v>14</v>
      </c>
      <c r="W40" s="704">
        <f t="shared" si="14"/>
        <v>100</v>
      </c>
      <c r="X40" s="3471"/>
      <c r="Y40" s="3689"/>
      <c r="Z40" s="3472" t="str">
        <f t="shared" si="18"/>
        <v>房型</v>
      </c>
      <c r="AA40" s="3470">
        <f t="shared" si="15"/>
        <v>1</v>
      </c>
      <c r="AB40" s="3470">
        <f t="shared" si="16"/>
        <v>1</v>
      </c>
      <c r="AC40" s="347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687"/>
      <c r="Q41" s="705" t="str">
        <f t="shared" si="11"/>
        <v>单套/主力户型建筑面积</v>
      </c>
      <c r="R41" s="706" t="s">
        <v>14</v>
      </c>
      <c r="S41" s="707">
        <f t="shared" si="12"/>
        <v>100</v>
      </c>
      <c r="T41" s="706" t="s">
        <v>14</v>
      </c>
      <c r="U41" s="707">
        <f t="shared" si="13"/>
        <v>100</v>
      </c>
      <c r="V41" s="706" t="s">
        <v>14</v>
      </c>
      <c r="W41" s="707">
        <f t="shared" si="14"/>
        <v>100</v>
      </c>
      <c r="X41" s="708"/>
      <c r="Y41" s="3689"/>
      <c r="Z41" s="709" t="str">
        <f t="shared" si="18"/>
        <v>单套/主力户型建筑面积</v>
      </c>
      <c r="AA41" s="3470">
        <f t="shared" si="15"/>
        <v>1</v>
      </c>
      <c r="AB41" s="3470">
        <f t="shared" si="16"/>
        <v>1</v>
      </c>
      <c r="AC41" s="347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687"/>
      <c r="Q42" s="3469" t="str">
        <f t="shared" si="11"/>
        <v>内部装修</v>
      </c>
      <c r="R42" s="703" t="s">
        <v>14</v>
      </c>
      <c r="S42" s="704">
        <f t="shared" si="12"/>
        <v>100</v>
      </c>
      <c r="T42" s="703" t="s">
        <v>14</v>
      </c>
      <c r="U42" s="704">
        <f t="shared" si="13"/>
        <v>100</v>
      </c>
      <c r="V42" s="703" t="s">
        <v>14</v>
      </c>
      <c r="W42" s="704">
        <f t="shared" si="14"/>
        <v>100</v>
      </c>
      <c r="X42" s="3471"/>
      <c r="Y42" s="3689"/>
      <c r="Z42" s="3472" t="str">
        <f t="shared" si="18"/>
        <v>内部装修</v>
      </c>
      <c r="AA42" s="3470">
        <f t="shared" si="15"/>
        <v>1</v>
      </c>
      <c r="AB42" s="3470">
        <f t="shared" si="16"/>
        <v>1</v>
      </c>
      <c r="AC42" s="347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687"/>
      <c r="Q43" s="3469" t="str">
        <f t="shared" si="11"/>
        <v>内部装修维护情况</v>
      </c>
      <c r="R43" s="703" t="s">
        <v>14</v>
      </c>
      <c r="S43" s="704">
        <f t="shared" si="12"/>
        <v>100</v>
      </c>
      <c r="T43" s="703" t="s">
        <v>14</v>
      </c>
      <c r="U43" s="704">
        <f t="shared" si="13"/>
        <v>100</v>
      </c>
      <c r="V43" s="703" t="s">
        <v>14</v>
      </c>
      <c r="W43" s="704">
        <f t="shared" si="14"/>
        <v>100</v>
      </c>
      <c r="X43" s="3471"/>
      <c r="Y43" s="3689"/>
      <c r="Z43" s="3472" t="str">
        <f t="shared" si="18"/>
        <v>内部装修维护情况</v>
      </c>
      <c r="AA43" s="3470">
        <f t="shared" si="15"/>
        <v>1</v>
      </c>
      <c r="AB43" s="3470">
        <f t="shared" si="16"/>
        <v>1</v>
      </c>
      <c r="AC43" s="3470">
        <f t="shared" si="17"/>
        <v>1</v>
      </c>
    </row>
    <row r="44" spans="1:29" s="107"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687"/>
      <c r="Q44" s="3450">
        <f t="shared" si="11"/>
        <v>111</v>
      </c>
      <c r="R44" s="699" t="s">
        <v>14</v>
      </c>
      <c r="S44" s="700">
        <f t="shared" si="12"/>
        <v>100</v>
      </c>
      <c r="T44" s="699" t="s">
        <v>14</v>
      </c>
      <c r="U44" s="700">
        <f t="shared" si="13"/>
        <v>100</v>
      </c>
      <c r="V44" s="699" t="s">
        <v>14</v>
      </c>
      <c r="W44" s="700">
        <f t="shared" si="14"/>
        <v>100</v>
      </c>
      <c r="X44" s="701"/>
      <c r="Y44" s="3689"/>
      <c r="Z44" s="3448">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687"/>
      <c r="Q45" s="3469">
        <f t="shared" si="11"/>
        <v>111</v>
      </c>
      <c r="R45" s="703" t="s">
        <v>14</v>
      </c>
      <c r="S45" s="704">
        <f t="shared" si="12"/>
        <v>100</v>
      </c>
      <c r="T45" s="703" t="s">
        <v>14</v>
      </c>
      <c r="U45" s="704">
        <f t="shared" si="13"/>
        <v>100</v>
      </c>
      <c r="V45" s="703" t="s">
        <v>14</v>
      </c>
      <c r="W45" s="704">
        <f t="shared" si="14"/>
        <v>100</v>
      </c>
      <c r="X45" s="3471"/>
      <c r="Y45" s="3689"/>
      <c r="Z45" s="3472">
        <f t="shared" si="18"/>
        <v>111</v>
      </c>
      <c r="AA45" s="3470">
        <f t="shared" si="15"/>
        <v>1</v>
      </c>
      <c r="AB45" s="3470">
        <f t="shared" si="16"/>
        <v>1</v>
      </c>
      <c r="AC45" s="347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688"/>
      <c r="Q46" s="3469">
        <f t="shared" si="11"/>
        <v>111</v>
      </c>
      <c r="R46" s="703" t="s">
        <v>14</v>
      </c>
      <c r="S46" s="704">
        <f t="shared" si="12"/>
        <v>100</v>
      </c>
      <c r="T46" s="703" t="s">
        <v>14</v>
      </c>
      <c r="U46" s="704">
        <f t="shared" si="13"/>
        <v>100</v>
      </c>
      <c r="V46" s="703" t="s">
        <v>14</v>
      </c>
      <c r="W46" s="704">
        <f t="shared" si="14"/>
        <v>100</v>
      </c>
      <c r="X46" s="3471"/>
      <c r="Y46" s="3690"/>
      <c r="Z46" s="3472">
        <f t="shared" si="18"/>
        <v>111</v>
      </c>
      <c r="AA46" s="3470">
        <f t="shared" si="15"/>
        <v>1</v>
      </c>
      <c r="AB46" s="3470">
        <f t="shared" si="16"/>
        <v>1</v>
      </c>
      <c r="AC46" s="3470">
        <f t="shared" si="17"/>
        <v>1</v>
      </c>
    </row>
    <row r="47" spans="1:29" ht="15">
      <c r="A47" s="429" t="s">
        <v>1708</v>
      </c>
      <c r="B47" s="430"/>
      <c r="C47" s="1150" t="s">
        <v>0</v>
      </c>
      <c r="D47" s="1151"/>
      <c r="E47" s="1152"/>
      <c r="F47" s="1153"/>
      <c r="G47" s="1154"/>
      <c r="H47" s="1155"/>
      <c r="I47" s="1152"/>
      <c r="J47" s="1155"/>
      <c r="K47" s="1910"/>
      <c r="L47" s="2720"/>
      <c r="M47" s="2721"/>
      <c r="N47" s="2712"/>
      <c r="O47" s="2721"/>
      <c r="P47" s="3691" t="str">
        <f>A47</f>
        <v>成交单价（元/平方米）</v>
      </c>
      <c r="Q47" s="3691"/>
      <c r="R47" s="3692">
        <f>E47</f>
        <v>0</v>
      </c>
      <c r="S47" s="3692"/>
      <c r="T47" s="3692">
        <f>G47</f>
        <v>0</v>
      </c>
      <c r="U47" s="3692"/>
      <c r="V47" s="3692">
        <f>I47</f>
        <v>0</v>
      </c>
      <c r="W47" s="3692"/>
      <c r="X47" s="688"/>
      <c r="Y47" s="710"/>
      <c r="Z47" s="688"/>
      <c r="AA47" s="688"/>
      <c r="AB47" s="688"/>
      <c r="AC47" s="688"/>
    </row>
    <row r="48" spans="1:29" ht="15.75" thickBot="1">
      <c r="A48" s="436" t="s">
        <v>1709</v>
      </c>
      <c r="B48" s="437"/>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40" t="s">
        <v>1710</v>
      </c>
      <c r="B49" s="441"/>
      <c r="C49" s="1158" t="e">
        <f>R49</f>
        <v>#DIV/0!</v>
      </c>
      <c r="D49" s="1159"/>
      <c r="E49" s="1159"/>
      <c r="F49" s="1159"/>
      <c r="G49" s="1159"/>
      <c r="H49" s="1159"/>
      <c r="I49" s="1159"/>
      <c r="J49" s="1159"/>
      <c r="K49" s="1911"/>
      <c r="L49" s="2720"/>
      <c r="M49" s="2721"/>
      <c r="N49" s="2721"/>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7"/>
      <c r="L57" s="938"/>
      <c r="M57" s="936"/>
      <c r="N57" s="936"/>
      <c r="O57" s="936"/>
      <c r="P57" s="1914"/>
      <c r="Q57" s="452"/>
    </row>
    <row r="58" spans="1:29" s="456" customFormat="1" ht="15">
      <c r="A58" s="453" t="s">
        <v>1679</v>
      </c>
      <c r="B58" s="454"/>
      <c r="C58" s="1182" t="str">
        <f>YEAR(C7)&amp;"-"&amp;MONTH(C7)</f>
        <v>2023-8</v>
      </c>
      <c r="D58" s="1181">
        <f>EDATE(C58,-1)</f>
        <v>45108</v>
      </c>
      <c r="E58" s="1181">
        <f>EDATE(D58,-1)</f>
        <v>45078</v>
      </c>
      <c r="F58" s="1181">
        <f t="shared" ref="F58:O58" si="19">EDATE(E58,-1)</f>
        <v>45047</v>
      </c>
      <c r="G58" s="1181">
        <f t="shared" si="19"/>
        <v>45017</v>
      </c>
      <c r="H58" s="1181">
        <f t="shared" si="19"/>
        <v>44986</v>
      </c>
      <c r="I58" s="1181">
        <f t="shared" si="19"/>
        <v>44958</v>
      </c>
      <c r="J58" s="1181">
        <f t="shared" si="19"/>
        <v>44927</v>
      </c>
      <c r="K58" s="1181">
        <f t="shared" si="19"/>
        <v>44896</v>
      </c>
      <c r="L58" s="1181">
        <f t="shared" si="19"/>
        <v>44866</v>
      </c>
      <c r="M58" s="1181">
        <f t="shared" si="19"/>
        <v>44835</v>
      </c>
      <c r="N58" s="1181">
        <f t="shared" si="19"/>
        <v>44805</v>
      </c>
      <c r="O58" s="1181">
        <f t="shared" si="19"/>
        <v>44774</v>
      </c>
      <c r="P58" s="1177"/>
    </row>
    <row r="59" spans="1:29" s="107" customFormat="1" ht="15">
      <c r="A59" s="457"/>
      <c r="B59" s="1915"/>
      <c r="C59" s="1179">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1681</v>
      </c>
      <c r="B61" s="458"/>
      <c r="C61" s="470" t="s">
        <v>1718</v>
      </c>
      <c r="D61" s="471"/>
      <c r="E61" s="471"/>
      <c r="F61" s="471"/>
      <c r="G61" s="471"/>
      <c r="H61" s="471"/>
      <c r="I61" s="471"/>
      <c r="J61" s="471"/>
      <c r="K61" s="471"/>
      <c r="L61" s="472"/>
      <c r="M61" s="473"/>
      <c r="N61" s="928"/>
      <c r="O61" s="928"/>
      <c r="P61" s="1917"/>
      <c r="Q61" s="452"/>
    </row>
    <row r="62" spans="1:29" s="107"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1719</v>
      </c>
      <c r="B63" s="476" t="s">
        <v>1685</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1688</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7" customFormat="1" ht="15.75" thickTop="1">
      <c r="A86" s="527"/>
      <c r="B86" s="486" t="s">
        <v>1734</v>
      </c>
      <c r="C86" s="502"/>
      <c r="D86" s="502"/>
      <c r="E86" s="502"/>
      <c r="F86" s="502"/>
      <c r="G86" s="502"/>
      <c r="H86" s="502"/>
      <c r="I86" s="502"/>
      <c r="J86" s="502"/>
      <c r="K86" s="502"/>
      <c r="L86" s="528"/>
      <c r="M86" s="529"/>
      <c r="N86" s="928"/>
      <c r="O86" s="928"/>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7" customFormat="1" ht="15.75" thickTop="1">
      <c r="A88" s="527"/>
      <c r="B88" s="486" t="s">
        <v>1735</v>
      </c>
      <c r="C88" s="502"/>
      <c r="D88" s="502"/>
      <c r="E88" s="502"/>
      <c r="F88" s="1923"/>
      <c r="G88" s="502"/>
      <c r="H88" s="502"/>
      <c r="I88" s="502"/>
      <c r="J88" s="502"/>
      <c r="K88" s="502"/>
      <c r="L88" s="502"/>
      <c r="M88" s="529"/>
      <c r="N88" s="928"/>
      <c r="O88" s="928"/>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1694</v>
      </c>
      <c r="B100" s="476" t="s">
        <v>1736</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1738</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1739</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1740</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1742</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27" priority="18" stopIfTrue="1" operator="containsText" text="超过">
      <formula>NOT(ISERROR(SEARCH("超过",F52)))</formula>
    </cfRule>
  </conditionalFormatting>
  <conditionalFormatting sqref="J54">
    <cfRule type="containsText" dxfId="226" priority="17" stopIfTrue="1" operator="containsText" text="超过">
      <formula>NOT(ISERROR(SEARCH("超过",J54)))</formula>
    </cfRule>
  </conditionalFormatting>
  <conditionalFormatting sqref="H54">
    <cfRule type="containsText" dxfId="225" priority="16" stopIfTrue="1" operator="containsText" text="超过">
      <formula>NOT(ISERROR(SEARCH("超过",H54)))</formula>
    </cfRule>
  </conditionalFormatting>
  <conditionalFormatting sqref="F54">
    <cfRule type="containsText" dxfId="224" priority="15" stopIfTrue="1" operator="containsText" text="超过">
      <formula>NOT(ISERROR(SEARCH("超过",F54)))</formula>
    </cfRule>
  </conditionalFormatting>
  <conditionalFormatting sqref="F53 H53 J53">
    <cfRule type="containsText" dxfId="223" priority="14" stopIfTrue="1" operator="containsText" text="超过">
      <formula>NOT(ISERROR(SEARCH("超过",F53)))</formula>
    </cfRule>
  </conditionalFormatting>
  <conditionalFormatting sqref="E52">
    <cfRule type="expression" dxfId="222" priority="13" stopIfTrue="1">
      <formula>$F$52="超过30%"</formula>
    </cfRule>
  </conditionalFormatting>
  <conditionalFormatting sqref="G54">
    <cfRule type="expression" dxfId="221" priority="12" stopIfTrue="1">
      <formula>$H$54="超过30%"</formula>
    </cfRule>
  </conditionalFormatting>
  <conditionalFormatting sqref="E53">
    <cfRule type="expression" dxfId="220" priority="11" stopIfTrue="1">
      <formula>$F$53="超过20%"</formula>
    </cfRule>
  </conditionalFormatting>
  <conditionalFormatting sqref="E54">
    <cfRule type="expression" dxfId="219" priority="10" stopIfTrue="1">
      <formula>$F$54="超过30%"</formula>
    </cfRule>
  </conditionalFormatting>
  <conditionalFormatting sqref="G52">
    <cfRule type="expression" dxfId="218" priority="9" stopIfTrue="1">
      <formula>$H$52="超过30%"</formula>
    </cfRule>
  </conditionalFormatting>
  <conditionalFormatting sqref="G53">
    <cfRule type="expression" dxfId="217" priority="8" stopIfTrue="1">
      <formula>$H$53="超过20%"</formula>
    </cfRule>
  </conditionalFormatting>
  <conditionalFormatting sqref="I52">
    <cfRule type="expression" dxfId="216" priority="7" stopIfTrue="1">
      <formula>$J$52="超过30%"</formula>
    </cfRule>
  </conditionalFormatting>
  <conditionalFormatting sqref="I53">
    <cfRule type="expression" dxfId="215" priority="6" stopIfTrue="1">
      <formula>$J$53="超过20%"</formula>
    </cfRule>
  </conditionalFormatting>
  <conditionalFormatting sqref="I54">
    <cfRule type="expression" dxfId="214" priority="5" stopIfTrue="1">
      <formula>$J$54="超过30%"</formula>
    </cfRule>
  </conditionalFormatting>
  <conditionalFormatting sqref="F48">
    <cfRule type="expression" dxfId="213" priority="4">
      <formula>$D$48="简单平均"</formula>
    </cfRule>
  </conditionalFormatting>
  <conditionalFormatting sqref="H48">
    <cfRule type="expression" dxfId="212" priority="3">
      <formula>$D$48="简单平均"</formula>
    </cfRule>
  </conditionalFormatting>
  <conditionalFormatting sqref="J48">
    <cfRule type="expression" dxfId="211" priority="2">
      <formula>$D$48="简单平均"</formula>
    </cfRule>
  </conditionalFormatting>
  <conditionalFormatting sqref="F7:F46 H7:H46 J7:J46">
    <cfRule type="cellIs" dxfId="210"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90" zoomScaleNormal="60" zoomScaleSheetLayoutView="90" workbookViewId="0">
      <selection activeCell="F10" sqref="F10"/>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1661</v>
      </c>
      <c r="C1" s="1234" t="s">
        <v>1662</v>
      </c>
      <c r="D1" s="1221" t="s">
        <v>3397</v>
      </c>
      <c r="E1" s="3421"/>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14137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1666</v>
      </c>
      <c r="B4" s="355"/>
      <c r="C4" s="3652" t="s">
        <v>1667</v>
      </c>
      <c r="D4" s="3653"/>
      <c r="E4" s="3654" t="s">
        <v>1668</v>
      </c>
      <c r="F4" s="3655"/>
      <c r="G4" s="3652" t="s">
        <v>1669</v>
      </c>
      <c r="H4" s="3653"/>
      <c r="I4" s="3652" t="s">
        <v>1670</v>
      </c>
      <c r="J4" s="3653"/>
      <c r="K4" s="1885" t="s">
        <v>1671</v>
      </c>
      <c r="L4" s="2711"/>
      <c r="M4" s="2712"/>
      <c r="N4" s="2712"/>
      <c r="O4" s="2712"/>
      <c r="P4" s="3656" t="s">
        <v>1672</v>
      </c>
      <c r="Q4" s="3657"/>
      <c r="R4" s="3662" t="s">
        <v>1668</v>
      </c>
      <c r="S4" s="3663"/>
      <c r="T4" s="3662" t="s">
        <v>1669</v>
      </c>
      <c r="U4" s="3663"/>
      <c r="V4" s="3676" t="s">
        <v>1670</v>
      </c>
      <c r="W4" s="3676"/>
      <c r="X4" s="3471"/>
      <c r="Y4" s="3662" t="s">
        <v>1672</v>
      </c>
      <c r="Z4" s="3663"/>
      <c r="AA4" s="3649" t="s">
        <v>1668</v>
      </c>
      <c r="AB4" s="3649" t="s">
        <v>1669</v>
      </c>
      <c r="AC4" s="3649" t="s">
        <v>1670</v>
      </c>
    </row>
    <row r="5" spans="1:29" ht="15">
      <c r="A5" s="357"/>
      <c r="B5" s="358"/>
      <c r="C5" s="3666" t="s">
        <v>1673</v>
      </c>
      <c r="D5" s="3667"/>
      <c r="E5" s="3668" t="s">
        <v>1674</v>
      </c>
      <c r="F5" s="3669"/>
      <c r="G5" s="3666" t="s">
        <v>1675</v>
      </c>
      <c r="H5" s="3667"/>
      <c r="I5" s="3666" t="s">
        <v>1676</v>
      </c>
      <c r="J5" s="3667"/>
      <c r="K5" s="1886"/>
      <c r="L5" s="2711"/>
      <c r="M5" s="2712"/>
      <c r="N5" s="2712"/>
      <c r="O5" s="2712"/>
      <c r="P5" s="3658"/>
      <c r="Q5" s="3659"/>
      <c r="R5" s="3664"/>
      <c r="S5" s="3665"/>
      <c r="T5" s="3664"/>
      <c r="U5" s="3665"/>
      <c r="V5" s="3676"/>
      <c r="W5" s="3676"/>
      <c r="X5" s="3471"/>
      <c r="Y5" s="3664"/>
      <c r="Z5" s="3665"/>
      <c r="AA5" s="3650"/>
      <c r="AB5" s="3650"/>
      <c r="AC5" s="3650"/>
    </row>
    <row r="6" spans="1:29" ht="15.75" thickBot="1">
      <c r="A6" s="359"/>
      <c r="B6" s="360"/>
      <c r="C6" s="3670" t="s">
        <v>1677</v>
      </c>
      <c r="D6" s="3671"/>
      <c r="E6" s="3672" t="s">
        <v>1677</v>
      </c>
      <c r="F6" s="3673"/>
      <c r="G6" s="3670" t="s">
        <v>1677</v>
      </c>
      <c r="H6" s="3671"/>
      <c r="I6" s="3670" t="s">
        <v>1677</v>
      </c>
      <c r="J6" s="3671"/>
      <c r="K6" s="1886" t="s">
        <v>1678</v>
      </c>
      <c r="L6" s="2711"/>
      <c r="M6" s="2712"/>
      <c r="N6" s="2712"/>
      <c r="O6" s="2712"/>
      <c r="P6" s="3660"/>
      <c r="Q6" s="3661"/>
      <c r="R6" s="3664"/>
      <c r="S6" s="3665"/>
      <c r="T6" s="3674"/>
      <c r="U6" s="3675"/>
      <c r="V6" s="3676"/>
      <c r="W6" s="3676"/>
      <c r="X6" s="3471"/>
      <c r="Y6" s="3674"/>
      <c r="Z6" s="3675"/>
      <c r="AA6" s="3651"/>
      <c r="AB6" s="3651"/>
      <c r="AC6" s="3651"/>
    </row>
    <row r="7" spans="1:29" s="107" customFormat="1" ht="15.75" thickBot="1">
      <c r="A7" s="361" t="s">
        <v>1679</v>
      </c>
      <c r="B7" s="362"/>
      <c r="C7" s="363">
        <f>'数据-取费表'!B2</f>
        <v>45159</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677" t="s">
        <v>1683</v>
      </c>
      <c r="Q8" s="3679"/>
      <c r="R8" s="699" t="s">
        <v>14</v>
      </c>
      <c r="S8" s="700">
        <f t="shared" si="0"/>
        <v>100</v>
      </c>
      <c r="T8" s="699" t="s">
        <v>14</v>
      </c>
      <c r="U8" s="700">
        <f t="shared" si="1"/>
        <v>100</v>
      </c>
      <c r="V8" s="699" t="s">
        <v>14</v>
      </c>
      <c r="W8" s="700">
        <f t="shared" si="2"/>
        <v>100</v>
      </c>
      <c r="X8" s="701"/>
      <c r="Y8" s="3677" t="s">
        <v>1683</v>
      </c>
      <c r="Z8" s="367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680" t="s">
        <v>1686</v>
      </c>
      <c r="Q9" s="3450" t="str">
        <f t="shared" ref="Q9:Q15" si="6">B9</f>
        <v>用途</v>
      </c>
      <c r="R9" s="699" t="s">
        <v>14</v>
      </c>
      <c r="S9" s="700">
        <f t="shared" si="0"/>
        <v>100</v>
      </c>
      <c r="T9" s="699" t="s">
        <v>14</v>
      </c>
      <c r="U9" s="700">
        <f t="shared" si="1"/>
        <v>100</v>
      </c>
      <c r="V9" s="699" t="s">
        <v>14</v>
      </c>
      <c r="W9" s="700">
        <f t="shared" si="2"/>
        <v>100</v>
      </c>
      <c r="X9" s="701"/>
      <c r="Y9" s="3681" t="s">
        <v>1687</v>
      </c>
      <c r="Z9" s="3448" t="str">
        <f t="shared" ref="Z9:Z15" si="7">Q9</f>
        <v>用途</v>
      </c>
      <c r="AA9" s="702">
        <f t="shared" si="3"/>
        <v>1</v>
      </c>
      <c r="AB9" s="702">
        <f t="shared" si="4"/>
        <v>1</v>
      </c>
      <c r="AC9" s="702">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7"/>
      <c r="L10" s="2715"/>
      <c r="M10" s="2716"/>
      <c r="N10" s="2716"/>
      <c r="O10" s="2716"/>
      <c r="P10" s="3680"/>
      <c r="Q10" s="3450" t="str">
        <f t="shared" si="6"/>
        <v>土地使用年限（年）</v>
      </c>
      <c r="R10" s="699" t="s">
        <v>14</v>
      </c>
      <c r="S10" s="700">
        <f t="shared" si="0"/>
        <v>100</v>
      </c>
      <c r="T10" s="699" t="s">
        <v>14</v>
      </c>
      <c r="U10" s="700">
        <f t="shared" si="1"/>
        <v>100</v>
      </c>
      <c r="V10" s="699" t="s">
        <v>14</v>
      </c>
      <c r="W10" s="700">
        <f t="shared" si="2"/>
        <v>100</v>
      </c>
      <c r="X10" s="701"/>
      <c r="Y10" s="3681"/>
      <c r="Z10" s="3448"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80"/>
      <c r="Q11" s="3450" t="str">
        <f t="shared" si="6"/>
        <v>容积率</v>
      </c>
      <c r="R11" s="699" t="s">
        <v>14</v>
      </c>
      <c r="S11" s="700" t="e">
        <f t="shared" si="0"/>
        <v>#N/A</v>
      </c>
      <c r="T11" s="699" t="s">
        <v>14</v>
      </c>
      <c r="U11" s="700" t="e">
        <f t="shared" si="1"/>
        <v>#N/A</v>
      </c>
      <c r="V11" s="699" t="s">
        <v>14</v>
      </c>
      <c r="W11" s="700" t="e">
        <f t="shared" si="2"/>
        <v>#N/A</v>
      </c>
      <c r="X11" s="701"/>
      <c r="Y11" s="3681"/>
      <c r="Z11" s="3448"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680"/>
      <c r="Q12" s="3450">
        <f t="shared" si="6"/>
        <v>111</v>
      </c>
      <c r="R12" s="699" t="s">
        <v>14</v>
      </c>
      <c r="S12" s="700">
        <f t="shared" si="0"/>
        <v>100</v>
      </c>
      <c r="T12" s="699" t="s">
        <v>14</v>
      </c>
      <c r="U12" s="700">
        <f t="shared" si="1"/>
        <v>100</v>
      </c>
      <c r="V12" s="699" t="s">
        <v>14</v>
      </c>
      <c r="W12" s="700">
        <f t="shared" si="2"/>
        <v>100</v>
      </c>
      <c r="X12" s="701"/>
      <c r="Y12" s="3681"/>
      <c r="Z12" s="3448">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680"/>
      <c r="Q13" s="3450">
        <f t="shared" si="6"/>
        <v>111</v>
      </c>
      <c r="R13" s="699" t="s">
        <v>14</v>
      </c>
      <c r="S13" s="700">
        <f t="shared" si="0"/>
        <v>100</v>
      </c>
      <c r="T13" s="699" t="s">
        <v>14</v>
      </c>
      <c r="U13" s="700">
        <f t="shared" si="1"/>
        <v>100</v>
      </c>
      <c r="V13" s="699" t="s">
        <v>14</v>
      </c>
      <c r="W13" s="700">
        <f t="shared" si="2"/>
        <v>100</v>
      </c>
      <c r="X13" s="701"/>
      <c r="Y13" s="3681"/>
      <c r="Z13" s="3448">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680"/>
      <c r="Q14" s="3450">
        <f t="shared" si="6"/>
        <v>111</v>
      </c>
      <c r="R14" s="699" t="s">
        <v>14</v>
      </c>
      <c r="S14" s="700">
        <f t="shared" si="0"/>
        <v>100</v>
      </c>
      <c r="T14" s="699" t="s">
        <v>14</v>
      </c>
      <c r="U14" s="700">
        <f t="shared" si="1"/>
        <v>100</v>
      </c>
      <c r="V14" s="699" t="s">
        <v>14</v>
      </c>
      <c r="W14" s="700">
        <f t="shared" si="2"/>
        <v>100</v>
      </c>
      <c r="X14" s="701"/>
      <c r="Y14" s="3681"/>
      <c r="Z14" s="3448">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82" t="s">
        <v>1691</v>
      </c>
      <c r="Q15" s="3469" t="str">
        <f t="shared" si="6"/>
        <v>居住社区成熟度</v>
      </c>
      <c r="R15" s="703" t="s">
        <v>14</v>
      </c>
      <c r="S15" s="704">
        <f t="shared" si="0"/>
        <v>100</v>
      </c>
      <c r="T15" s="703" t="s">
        <v>14</v>
      </c>
      <c r="U15" s="704">
        <f t="shared" si="1"/>
        <v>100</v>
      </c>
      <c r="V15" s="703" t="s">
        <v>14</v>
      </c>
      <c r="W15" s="704">
        <f t="shared" si="2"/>
        <v>100</v>
      </c>
      <c r="X15" s="3471"/>
      <c r="Y15" s="3684" t="s">
        <v>1691</v>
      </c>
      <c r="Z15" s="3472" t="str">
        <f t="shared" si="7"/>
        <v>居住社区成熟度</v>
      </c>
      <c r="AA15" s="3470">
        <f t="shared" si="3"/>
        <v>1</v>
      </c>
      <c r="AB15" s="3470">
        <f t="shared" si="4"/>
        <v>1</v>
      </c>
      <c r="AC15" s="3470">
        <f t="shared" si="5"/>
        <v>1</v>
      </c>
    </row>
    <row r="16" spans="1:29" ht="15">
      <c r="A16" s="378"/>
      <c r="B16" s="396"/>
      <c r="C16" s="397"/>
      <c r="D16" s="398"/>
      <c r="E16" s="1893"/>
      <c r="F16" s="398"/>
      <c r="G16" s="1894"/>
      <c r="H16" s="400"/>
      <c r="I16" s="1894"/>
      <c r="J16" s="398"/>
      <c r="K16" s="1895"/>
      <c r="L16" s="2718"/>
      <c r="M16" s="2712"/>
      <c r="N16" s="2712"/>
      <c r="O16" s="2712"/>
      <c r="P16" s="3683"/>
      <c r="Q16" s="3469"/>
      <c r="R16" s="703"/>
      <c r="S16" s="704"/>
      <c r="T16" s="703"/>
      <c r="U16" s="704"/>
      <c r="V16" s="703"/>
      <c r="W16" s="704"/>
      <c r="X16" s="3471"/>
      <c r="Y16" s="3685"/>
      <c r="Z16" s="3472"/>
      <c r="AA16" s="3470">
        <v>1</v>
      </c>
      <c r="AB16" s="3470">
        <v>1</v>
      </c>
      <c r="AC16" s="3470">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83"/>
      <c r="Q17" s="3469" t="str">
        <f>B17</f>
        <v>交通便捷度</v>
      </c>
      <c r="R17" s="703" t="s">
        <v>14</v>
      </c>
      <c r="S17" s="704">
        <f>F17</f>
        <v>100</v>
      </c>
      <c r="T17" s="703" t="s">
        <v>14</v>
      </c>
      <c r="U17" s="704">
        <f>H17</f>
        <v>100</v>
      </c>
      <c r="V17" s="703" t="s">
        <v>14</v>
      </c>
      <c r="W17" s="704">
        <f>J17</f>
        <v>100</v>
      </c>
      <c r="X17" s="3471"/>
      <c r="Y17" s="3685"/>
      <c r="Z17" s="3472" t="str">
        <f>Q17</f>
        <v>交通便捷度</v>
      </c>
      <c r="AA17" s="3470">
        <f t="shared" si="3"/>
        <v>1</v>
      </c>
      <c r="AB17" s="3470">
        <f t="shared" si="4"/>
        <v>1</v>
      </c>
      <c r="AC17" s="3470">
        <f t="shared" si="5"/>
        <v>1</v>
      </c>
    </row>
    <row r="18" spans="1:29" ht="15">
      <c r="A18" s="378"/>
      <c r="B18" s="406"/>
      <c r="C18" s="1897"/>
      <c r="D18" s="400"/>
      <c r="E18" s="1898"/>
      <c r="F18" s="400"/>
      <c r="G18" s="1899"/>
      <c r="H18" s="398"/>
      <c r="I18" s="1899"/>
      <c r="J18" s="398"/>
      <c r="K18" s="1895"/>
      <c r="L18" s="2718"/>
      <c r="M18" s="2712"/>
      <c r="N18" s="2712"/>
      <c r="O18" s="2712"/>
      <c r="P18" s="3683"/>
      <c r="Q18" s="3469"/>
      <c r="R18" s="703"/>
      <c r="S18" s="704"/>
      <c r="T18" s="703"/>
      <c r="U18" s="704"/>
      <c r="V18" s="703"/>
      <c r="W18" s="704"/>
      <c r="X18" s="3471"/>
      <c r="Y18" s="3685"/>
      <c r="Z18" s="3472"/>
      <c r="AA18" s="3470">
        <v>1</v>
      </c>
      <c r="AB18" s="3470">
        <v>1</v>
      </c>
      <c r="AC18" s="3470">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83"/>
      <c r="Q19" s="3469" t="str">
        <f>B19</f>
        <v>公共配套设施</v>
      </c>
      <c r="R19" s="703" t="s">
        <v>14</v>
      </c>
      <c r="S19" s="704">
        <f>F19</f>
        <v>100</v>
      </c>
      <c r="T19" s="703" t="s">
        <v>14</v>
      </c>
      <c r="U19" s="704">
        <f>H19</f>
        <v>100</v>
      </c>
      <c r="V19" s="703" t="s">
        <v>14</v>
      </c>
      <c r="W19" s="704">
        <f>J19</f>
        <v>100</v>
      </c>
      <c r="X19" s="3471"/>
      <c r="Y19" s="3685"/>
      <c r="Z19" s="3472" t="str">
        <f>Q19</f>
        <v>公共配套设施</v>
      </c>
      <c r="AA19" s="3470">
        <f t="shared" si="3"/>
        <v>1</v>
      </c>
      <c r="AB19" s="3470">
        <f t="shared" si="4"/>
        <v>1</v>
      </c>
      <c r="AC19" s="3470">
        <f t="shared" si="5"/>
        <v>1</v>
      </c>
    </row>
    <row r="20" spans="1:29" ht="15">
      <c r="A20" s="378"/>
      <c r="B20" s="406"/>
      <c r="C20" s="397"/>
      <c r="D20" s="398"/>
      <c r="E20" s="1893"/>
      <c r="F20" s="398"/>
      <c r="G20" s="1894"/>
      <c r="H20" s="398"/>
      <c r="I20" s="1894"/>
      <c r="J20" s="398"/>
      <c r="K20" s="1895"/>
      <c r="L20" s="2718"/>
      <c r="M20" s="2712"/>
      <c r="N20" s="2712"/>
      <c r="O20" s="2712"/>
      <c r="P20" s="3683"/>
      <c r="Q20" s="3469"/>
      <c r="R20" s="703"/>
      <c r="S20" s="704"/>
      <c r="T20" s="703"/>
      <c r="U20" s="704"/>
      <c r="V20" s="703"/>
      <c r="W20" s="704"/>
      <c r="X20" s="3471"/>
      <c r="Y20" s="3685"/>
      <c r="Z20" s="3472"/>
      <c r="AA20" s="3470">
        <v>1</v>
      </c>
      <c r="AB20" s="3470">
        <v>1</v>
      </c>
      <c r="AC20" s="3470">
        <v>1</v>
      </c>
    </row>
    <row r="21" spans="1:29" ht="28.5">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83"/>
      <c r="Q21" s="3469" t="str">
        <f>B21</f>
        <v>基础设施水平</v>
      </c>
      <c r="R21" s="703" t="s">
        <v>14</v>
      </c>
      <c r="S21" s="704">
        <f>F21</f>
        <v>100</v>
      </c>
      <c r="T21" s="703" t="s">
        <v>14</v>
      </c>
      <c r="U21" s="704">
        <f>H21</f>
        <v>100</v>
      </c>
      <c r="V21" s="703" t="s">
        <v>14</v>
      </c>
      <c r="W21" s="704">
        <f>J21</f>
        <v>100</v>
      </c>
      <c r="X21" s="3471"/>
      <c r="Y21" s="3685"/>
      <c r="Z21" s="3472" t="str">
        <f>Q21</f>
        <v>基础设施水平</v>
      </c>
      <c r="AA21" s="3470">
        <f t="shared" ref="AA21" si="8">D21/F21</f>
        <v>1</v>
      </c>
      <c r="AB21" s="3470">
        <f t="shared" ref="AB21" si="9">D21/H21</f>
        <v>1</v>
      </c>
      <c r="AC21" s="3470">
        <f t="shared" ref="AC21" si="10">D21/J21</f>
        <v>1</v>
      </c>
    </row>
    <row r="22" spans="1:29" ht="15">
      <c r="A22" s="378"/>
      <c r="B22" s="1127"/>
      <c r="C22" s="1897"/>
      <c r="D22" s="398"/>
      <c r="E22" s="397"/>
      <c r="F22" s="398"/>
      <c r="G22" s="1900"/>
      <c r="H22" s="398"/>
      <c r="I22" s="397"/>
      <c r="J22" s="398"/>
      <c r="K22" s="1901"/>
      <c r="L22" s="2718"/>
      <c r="M22" s="2712"/>
      <c r="N22" s="2712"/>
      <c r="O22" s="2712"/>
      <c r="P22" s="3683"/>
      <c r="Q22" s="3469"/>
      <c r="R22" s="703"/>
      <c r="S22" s="704"/>
      <c r="T22" s="703"/>
      <c r="U22" s="704"/>
      <c r="V22" s="703"/>
      <c r="W22" s="704"/>
      <c r="X22" s="3471"/>
      <c r="Y22" s="3685"/>
      <c r="Z22" s="3472"/>
      <c r="AA22" s="3470">
        <v>1</v>
      </c>
      <c r="AB22" s="3470">
        <v>1</v>
      </c>
      <c r="AC22" s="3470">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83"/>
      <c r="Q23" s="3469" t="str">
        <f>B23</f>
        <v>自然及人文环境</v>
      </c>
      <c r="R23" s="703" t="s">
        <v>14</v>
      </c>
      <c r="S23" s="704">
        <f>F23</f>
        <v>100</v>
      </c>
      <c r="T23" s="703" t="s">
        <v>14</v>
      </c>
      <c r="U23" s="704">
        <f>H23</f>
        <v>100</v>
      </c>
      <c r="V23" s="703" t="s">
        <v>14</v>
      </c>
      <c r="W23" s="704">
        <f>J23</f>
        <v>100</v>
      </c>
      <c r="X23" s="3471"/>
      <c r="Y23" s="3685"/>
      <c r="Z23" s="3472" t="str">
        <f>Q23</f>
        <v>自然及人文环境</v>
      </c>
      <c r="AA23" s="3470">
        <f>D23/F23</f>
        <v>1</v>
      </c>
      <c r="AB23" s="3470">
        <f>D23/H23</f>
        <v>1</v>
      </c>
      <c r="AC23" s="3470">
        <f>D23/J23</f>
        <v>1</v>
      </c>
    </row>
    <row r="24" spans="1:29" ht="15">
      <c r="A24" s="378"/>
      <c r="B24" s="406"/>
      <c r="C24" s="397"/>
      <c r="D24" s="398"/>
      <c r="E24" s="1893"/>
      <c r="F24" s="398"/>
      <c r="G24" s="1894"/>
      <c r="H24" s="398"/>
      <c r="I24" s="1894"/>
      <c r="J24" s="398"/>
      <c r="K24" s="1895"/>
      <c r="L24" s="2718"/>
      <c r="M24" s="2712"/>
      <c r="N24" s="2712"/>
      <c r="O24" s="2712"/>
      <c r="P24" s="3683"/>
      <c r="Q24" s="3469"/>
      <c r="R24" s="703"/>
      <c r="S24" s="704"/>
      <c r="T24" s="703"/>
      <c r="U24" s="704"/>
      <c r="V24" s="703"/>
      <c r="W24" s="704"/>
      <c r="X24" s="3471"/>
      <c r="Y24" s="3685"/>
      <c r="Z24" s="3472"/>
      <c r="AA24" s="3470">
        <v>1</v>
      </c>
      <c r="AB24" s="3470">
        <v>1</v>
      </c>
      <c r="AC24" s="347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683"/>
      <c r="Q25" s="3469" t="str">
        <f t="shared" ref="Q25:Q46" si="11">B25</f>
        <v>楼层-1</v>
      </c>
      <c r="R25" s="703" t="s">
        <v>14</v>
      </c>
      <c r="S25" s="704">
        <f t="shared" ref="S25:S46" si="12">F25</f>
        <v>100</v>
      </c>
      <c r="T25" s="703" t="s">
        <v>14</v>
      </c>
      <c r="U25" s="704">
        <f t="shared" ref="U25:U46" si="13">H25</f>
        <v>100</v>
      </c>
      <c r="V25" s="703" t="s">
        <v>14</v>
      </c>
      <c r="W25" s="704">
        <f t="shared" ref="W25:W46" si="14">J25</f>
        <v>100</v>
      </c>
      <c r="X25" s="3471"/>
      <c r="Y25" s="3685"/>
      <c r="Z25" s="3472" t="str">
        <f>Q25</f>
        <v>楼层-1</v>
      </c>
      <c r="AA25" s="3470">
        <f t="shared" ref="AA25:AA46" si="15">D25/F25</f>
        <v>1</v>
      </c>
      <c r="AB25" s="3470">
        <f t="shared" ref="AB25:AB46" si="16">D25/H25</f>
        <v>1</v>
      </c>
      <c r="AC25" s="347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683"/>
      <c r="Q26" s="3469" t="str">
        <f t="shared" si="11"/>
        <v>朝向</v>
      </c>
      <c r="R26" s="703" t="s">
        <v>14</v>
      </c>
      <c r="S26" s="704">
        <f t="shared" si="12"/>
        <v>100</v>
      </c>
      <c r="T26" s="703" t="s">
        <v>14</v>
      </c>
      <c r="U26" s="704">
        <f t="shared" si="13"/>
        <v>100</v>
      </c>
      <c r="V26" s="703" t="s">
        <v>14</v>
      </c>
      <c r="W26" s="704">
        <f t="shared" si="14"/>
        <v>100</v>
      </c>
      <c r="X26" s="3471"/>
      <c r="Y26" s="3685"/>
      <c r="Z26" s="3472" t="str">
        <f>Q26</f>
        <v>朝向</v>
      </c>
      <c r="AA26" s="3470">
        <f t="shared" si="15"/>
        <v>1</v>
      </c>
      <c r="AB26" s="3470">
        <f t="shared" si="16"/>
        <v>1</v>
      </c>
      <c r="AC26" s="3470">
        <f t="shared" si="17"/>
        <v>1</v>
      </c>
    </row>
    <row r="27" spans="1:29" s="107"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683"/>
      <c r="Q27" s="3450">
        <f t="shared" si="11"/>
        <v>111</v>
      </c>
      <c r="R27" s="699" t="s">
        <v>14</v>
      </c>
      <c r="S27" s="700">
        <f t="shared" si="12"/>
        <v>100</v>
      </c>
      <c r="T27" s="699" t="s">
        <v>14</v>
      </c>
      <c r="U27" s="700">
        <f t="shared" si="13"/>
        <v>100</v>
      </c>
      <c r="V27" s="699" t="s">
        <v>14</v>
      </c>
      <c r="W27" s="700">
        <f t="shared" si="14"/>
        <v>100</v>
      </c>
      <c r="X27" s="701"/>
      <c r="Y27" s="3685"/>
      <c r="Z27" s="3448">
        <f>Q27</f>
        <v>111</v>
      </c>
      <c r="AA27" s="3470">
        <f t="shared" si="15"/>
        <v>1</v>
      </c>
      <c r="AB27" s="3470">
        <f t="shared" si="16"/>
        <v>1</v>
      </c>
      <c r="AC27" s="3470">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683"/>
      <c r="Q28" s="3469">
        <f t="shared" si="11"/>
        <v>111</v>
      </c>
      <c r="R28" s="703" t="s">
        <v>14</v>
      </c>
      <c r="S28" s="704">
        <f t="shared" si="12"/>
        <v>100</v>
      </c>
      <c r="T28" s="703" t="s">
        <v>14</v>
      </c>
      <c r="U28" s="704">
        <f t="shared" si="13"/>
        <v>100</v>
      </c>
      <c r="V28" s="703" t="s">
        <v>14</v>
      </c>
      <c r="W28" s="704">
        <f t="shared" si="14"/>
        <v>100</v>
      </c>
      <c r="X28" s="3471"/>
      <c r="Y28" s="3685"/>
      <c r="Z28" s="3472">
        <f t="shared" ref="Z28:Z46" si="18">Q28</f>
        <v>111</v>
      </c>
      <c r="AA28" s="3470">
        <f t="shared" si="15"/>
        <v>1</v>
      </c>
      <c r="AB28" s="3470">
        <f t="shared" si="16"/>
        <v>1</v>
      </c>
      <c r="AC28" s="3470">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683"/>
      <c r="Q29" s="3469">
        <f t="shared" si="11"/>
        <v>111</v>
      </c>
      <c r="R29" s="703" t="s">
        <v>14</v>
      </c>
      <c r="S29" s="704">
        <f t="shared" si="12"/>
        <v>100</v>
      </c>
      <c r="T29" s="703" t="s">
        <v>14</v>
      </c>
      <c r="U29" s="704">
        <f t="shared" si="13"/>
        <v>100</v>
      </c>
      <c r="V29" s="703" t="s">
        <v>14</v>
      </c>
      <c r="W29" s="704">
        <f t="shared" si="14"/>
        <v>100</v>
      </c>
      <c r="X29" s="3471"/>
      <c r="Y29" s="3685"/>
      <c r="Z29" s="3472">
        <f t="shared" si="18"/>
        <v>111</v>
      </c>
      <c r="AA29" s="3470">
        <f t="shared" si="15"/>
        <v>1</v>
      </c>
      <c r="AB29" s="3470">
        <f t="shared" si="16"/>
        <v>1</v>
      </c>
      <c r="AC29" s="3470">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683"/>
      <c r="Q30" s="3469">
        <f t="shared" si="11"/>
        <v>111</v>
      </c>
      <c r="R30" s="703" t="s">
        <v>14</v>
      </c>
      <c r="S30" s="704">
        <f t="shared" si="12"/>
        <v>100</v>
      </c>
      <c r="T30" s="703" t="s">
        <v>14</v>
      </c>
      <c r="U30" s="704">
        <f t="shared" si="13"/>
        <v>100</v>
      </c>
      <c r="V30" s="703" t="s">
        <v>14</v>
      </c>
      <c r="W30" s="704">
        <f t="shared" si="14"/>
        <v>100</v>
      </c>
      <c r="X30" s="3471"/>
      <c r="Y30" s="3685"/>
      <c r="Z30" s="3472">
        <f t="shared" si="18"/>
        <v>111</v>
      </c>
      <c r="AA30" s="3470">
        <f t="shared" si="15"/>
        <v>1</v>
      </c>
      <c r="AB30" s="3470">
        <f t="shared" si="16"/>
        <v>1</v>
      </c>
      <c r="AC30" s="3470">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683"/>
      <c r="Q31" s="3469">
        <f t="shared" si="11"/>
        <v>111</v>
      </c>
      <c r="R31" s="703" t="s">
        <v>14</v>
      </c>
      <c r="S31" s="704">
        <f t="shared" si="12"/>
        <v>100</v>
      </c>
      <c r="T31" s="703" t="s">
        <v>14</v>
      </c>
      <c r="U31" s="704">
        <f t="shared" si="13"/>
        <v>100</v>
      </c>
      <c r="V31" s="703" t="s">
        <v>14</v>
      </c>
      <c r="W31" s="704">
        <f t="shared" si="14"/>
        <v>100</v>
      </c>
      <c r="X31" s="3471"/>
      <c r="Y31" s="3685"/>
      <c r="Z31" s="3472">
        <f t="shared" si="18"/>
        <v>111</v>
      </c>
      <c r="AA31" s="3470">
        <f t="shared" si="15"/>
        <v>1</v>
      </c>
      <c r="AB31" s="3470">
        <f t="shared" si="16"/>
        <v>1</v>
      </c>
      <c r="AC31" s="3470">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686" t="s">
        <v>1696</v>
      </c>
      <c r="Q32" s="3469" t="str">
        <f t="shared" si="11"/>
        <v>建筑类型</v>
      </c>
      <c r="R32" s="703" t="s">
        <v>14</v>
      </c>
      <c r="S32" s="704">
        <f t="shared" si="12"/>
        <v>100</v>
      </c>
      <c r="T32" s="703" t="s">
        <v>14</v>
      </c>
      <c r="U32" s="704">
        <f t="shared" si="13"/>
        <v>100</v>
      </c>
      <c r="V32" s="703" t="s">
        <v>14</v>
      </c>
      <c r="W32" s="704">
        <f t="shared" si="14"/>
        <v>100</v>
      </c>
      <c r="X32" s="3471"/>
      <c r="Y32" s="3689" t="s">
        <v>1696</v>
      </c>
      <c r="Z32" s="3472" t="str">
        <f t="shared" si="18"/>
        <v>建筑类型</v>
      </c>
      <c r="AA32" s="3470">
        <f t="shared" si="15"/>
        <v>1</v>
      </c>
      <c r="AB32" s="3470">
        <f t="shared" si="16"/>
        <v>1</v>
      </c>
      <c r="AC32" s="347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687"/>
      <c r="Q33" s="705" t="str">
        <f t="shared" si="11"/>
        <v>项目建筑规模</v>
      </c>
      <c r="R33" s="706" t="s">
        <v>14</v>
      </c>
      <c r="S33" s="707" t="e">
        <f t="shared" si="12"/>
        <v>#N/A</v>
      </c>
      <c r="T33" s="706" t="s">
        <v>14</v>
      </c>
      <c r="U33" s="707" t="e">
        <f t="shared" si="13"/>
        <v>#N/A</v>
      </c>
      <c r="V33" s="706" t="s">
        <v>14</v>
      </c>
      <c r="W33" s="707" t="e">
        <f t="shared" si="14"/>
        <v>#N/A</v>
      </c>
      <c r="X33" s="708"/>
      <c r="Y33" s="3689"/>
      <c r="Z33" s="709" t="str">
        <f t="shared" si="18"/>
        <v>项目建筑规模</v>
      </c>
      <c r="AA33" s="3470" t="e">
        <f t="shared" si="15"/>
        <v>#N/A</v>
      </c>
      <c r="AB33" s="3470" t="e">
        <f t="shared" si="16"/>
        <v>#N/A</v>
      </c>
      <c r="AC33" s="347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687"/>
      <c r="Q34" s="3469" t="str">
        <f t="shared" si="11"/>
        <v>建筑结构</v>
      </c>
      <c r="R34" s="703" t="s">
        <v>14</v>
      </c>
      <c r="S34" s="704">
        <f t="shared" si="12"/>
        <v>100</v>
      </c>
      <c r="T34" s="703" t="s">
        <v>14</v>
      </c>
      <c r="U34" s="704">
        <f t="shared" si="13"/>
        <v>100</v>
      </c>
      <c r="V34" s="703" t="s">
        <v>14</v>
      </c>
      <c r="W34" s="704">
        <f t="shared" si="14"/>
        <v>100</v>
      </c>
      <c r="X34" s="3471"/>
      <c r="Y34" s="3689"/>
      <c r="Z34" s="3472" t="str">
        <f t="shared" si="18"/>
        <v>建筑结构</v>
      </c>
      <c r="AA34" s="3470">
        <f t="shared" si="15"/>
        <v>1</v>
      </c>
      <c r="AB34" s="3470">
        <f t="shared" si="16"/>
        <v>1</v>
      </c>
      <c r="AC34" s="347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687"/>
      <c r="Q35" s="3469" t="str">
        <f t="shared" si="11"/>
        <v>建筑品质</v>
      </c>
      <c r="R35" s="703" t="s">
        <v>14</v>
      </c>
      <c r="S35" s="704">
        <f t="shared" si="12"/>
        <v>100</v>
      </c>
      <c r="T35" s="703" t="s">
        <v>14</v>
      </c>
      <c r="U35" s="704">
        <f t="shared" si="13"/>
        <v>100</v>
      </c>
      <c r="V35" s="703" t="s">
        <v>14</v>
      </c>
      <c r="W35" s="704">
        <f t="shared" si="14"/>
        <v>100</v>
      </c>
      <c r="X35" s="3471"/>
      <c r="Y35" s="3689"/>
      <c r="Z35" s="3472" t="str">
        <f t="shared" si="18"/>
        <v>建筑品质</v>
      </c>
      <c r="AA35" s="3470">
        <f t="shared" si="15"/>
        <v>1</v>
      </c>
      <c r="AB35" s="3470">
        <f t="shared" si="16"/>
        <v>1</v>
      </c>
      <c r="AC35" s="347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687"/>
      <c r="Q36" s="3469" t="str">
        <f t="shared" si="11"/>
        <v>公共部分装修</v>
      </c>
      <c r="R36" s="703" t="s">
        <v>14</v>
      </c>
      <c r="S36" s="704">
        <f t="shared" si="12"/>
        <v>100</v>
      </c>
      <c r="T36" s="703" t="s">
        <v>14</v>
      </c>
      <c r="U36" s="704">
        <f t="shared" si="13"/>
        <v>100</v>
      </c>
      <c r="V36" s="703" t="s">
        <v>14</v>
      </c>
      <c r="W36" s="704">
        <f t="shared" si="14"/>
        <v>100</v>
      </c>
      <c r="X36" s="3471"/>
      <c r="Y36" s="3689"/>
      <c r="Z36" s="3472" t="str">
        <f t="shared" si="18"/>
        <v>公共部分装修</v>
      </c>
      <c r="AA36" s="3470">
        <f t="shared" si="15"/>
        <v>1</v>
      </c>
      <c r="AB36" s="3470">
        <f t="shared" si="16"/>
        <v>1</v>
      </c>
      <c r="AC36" s="347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87"/>
      <c r="Q37" s="3450" t="str">
        <f t="shared" si="11"/>
        <v>成新度</v>
      </c>
      <c r="R37" s="699" t="s">
        <v>14</v>
      </c>
      <c r="S37" s="700" t="e">
        <f t="shared" si="12"/>
        <v>#N/A</v>
      </c>
      <c r="T37" s="699" t="s">
        <v>14</v>
      </c>
      <c r="U37" s="700" t="e">
        <f t="shared" si="13"/>
        <v>#N/A</v>
      </c>
      <c r="V37" s="699" t="s">
        <v>14</v>
      </c>
      <c r="W37" s="700" t="e">
        <f t="shared" si="14"/>
        <v>#N/A</v>
      </c>
      <c r="X37" s="701"/>
      <c r="Y37" s="3689"/>
      <c r="Z37" s="3448"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687" t="s">
        <v>1696</v>
      </c>
      <c r="Q38" s="3469" t="str">
        <f t="shared" si="11"/>
        <v>物业管理</v>
      </c>
      <c r="R38" s="703" t="s">
        <v>14</v>
      </c>
      <c r="S38" s="704">
        <f t="shared" si="12"/>
        <v>100</v>
      </c>
      <c r="T38" s="703" t="s">
        <v>14</v>
      </c>
      <c r="U38" s="704">
        <f t="shared" si="13"/>
        <v>100</v>
      </c>
      <c r="V38" s="703" t="s">
        <v>14</v>
      </c>
      <c r="W38" s="704">
        <f t="shared" si="14"/>
        <v>100</v>
      </c>
      <c r="X38" s="3471"/>
      <c r="Y38" s="3689" t="s">
        <v>1696</v>
      </c>
      <c r="Z38" s="3472" t="str">
        <f t="shared" si="18"/>
        <v>物业管理</v>
      </c>
      <c r="AA38" s="3470">
        <f t="shared" si="15"/>
        <v>1</v>
      </c>
      <c r="AB38" s="3470">
        <f t="shared" si="16"/>
        <v>1</v>
      </c>
      <c r="AC38" s="347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687"/>
      <c r="Q39" s="3469" t="str">
        <f t="shared" si="11"/>
        <v>市政基础设施</v>
      </c>
      <c r="R39" s="703" t="s">
        <v>14</v>
      </c>
      <c r="S39" s="704">
        <f t="shared" si="12"/>
        <v>100</v>
      </c>
      <c r="T39" s="703" t="s">
        <v>14</v>
      </c>
      <c r="U39" s="704">
        <f t="shared" si="13"/>
        <v>100</v>
      </c>
      <c r="V39" s="703" t="s">
        <v>14</v>
      </c>
      <c r="W39" s="704">
        <f t="shared" si="14"/>
        <v>100</v>
      </c>
      <c r="X39" s="3471"/>
      <c r="Y39" s="3689"/>
      <c r="Z39" s="3472" t="str">
        <f t="shared" si="18"/>
        <v>市政基础设施</v>
      </c>
      <c r="AA39" s="3470">
        <f t="shared" si="15"/>
        <v>1</v>
      </c>
      <c r="AB39" s="3470">
        <f t="shared" si="16"/>
        <v>1</v>
      </c>
      <c r="AC39" s="347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687"/>
      <c r="Q40" s="3469" t="str">
        <f t="shared" si="11"/>
        <v>房型</v>
      </c>
      <c r="R40" s="703" t="s">
        <v>14</v>
      </c>
      <c r="S40" s="704">
        <f t="shared" si="12"/>
        <v>100</v>
      </c>
      <c r="T40" s="703" t="s">
        <v>14</v>
      </c>
      <c r="U40" s="704">
        <f t="shared" si="13"/>
        <v>100</v>
      </c>
      <c r="V40" s="703" t="s">
        <v>14</v>
      </c>
      <c r="W40" s="704">
        <f t="shared" si="14"/>
        <v>100</v>
      </c>
      <c r="X40" s="3471"/>
      <c r="Y40" s="3689"/>
      <c r="Z40" s="3472" t="str">
        <f t="shared" si="18"/>
        <v>房型</v>
      </c>
      <c r="AA40" s="3470">
        <f t="shared" si="15"/>
        <v>1</v>
      </c>
      <c r="AB40" s="3470">
        <f t="shared" si="16"/>
        <v>1</v>
      </c>
      <c r="AC40" s="347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687"/>
      <c r="Q41" s="705" t="str">
        <f t="shared" si="11"/>
        <v>单套/主力户型建筑面积</v>
      </c>
      <c r="R41" s="706" t="s">
        <v>14</v>
      </c>
      <c r="S41" s="707">
        <f t="shared" si="12"/>
        <v>100</v>
      </c>
      <c r="T41" s="706" t="s">
        <v>14</v>
      </c>
      <c r="U41" s="707">
        <f t="shared" si="13"/>
        <v>100</v>
      </c>
      <c r="V41" s="706" t="s">
        <v>14</v>
      </c>
      <c r="W41" s="707">
        <f t="shared" si="14"/>
        <v>100</v>
      </c>
      <c r="X41" s="708"/>
      <c r="Y41" s="3689"/>
      <c r="Z41" s="709" t="str">
        <f t="shared" si="18"/>
        <v>单套/主力户型建筑面积</v>
      </c>
      <c r="AA41" s="3470">
        <f t="shared" si="15"/>
        <v>1</v>
      </c>
      <c r="AB41" s="3470">
        <f t="shared" si="16"/>
        <v>1</v>
      </c>
      <c r="AC41" s="347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687"/>
      <c r="Q42" s="3469" t="str">
        <f t="shared" si="11"/>
        <v>内部装修</v>
      </c>
      <c r="R42" s="703" t="s">
        <v>14</v>
      </c>
      <c r="S42" s="704">
        <f t="shared" si="12"/>
        <v>100</v>
      </c>
      <c r="T42" s="703" t="s">
        <v>14</v>
      </c>
      <c r="U42" s="704">
        <f t="shared" si="13"/>
        <v>100</v>
      </c>
      <c r="V42" s="703" t="s">
        <v>14</v>
      </c>
      <c r="W42" s="704">
        <f t="shared" si="14"/>
        <v>100</v>
      </c>
      <c r="X42" s="3471"/>
      <c r="Y42" s="3689"/>
      <c r="Z42" s="3472" t="str">
        <f t="shared" si="18"/>
        <v>内部装修</v>
      </c>
      <c r="AA42" s="3470">
        <f t="shared" si="15"/>
        <v>1</v>
      </c>
      <c r="AB42" s="3470">
        <f t="shared" si="16"/>
        <v>1</v>
      </c>
      <c r="AC42" s="347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687"/>
      <c r="Q43" s="3469" t="str">
        <f t="shared" si="11"/>
        <v>内部装修维护情况</v>
      </c>
      <c r="R43" s="703" t="s">
        <v>14</v>
      </c>
      <c r="S43" s="704">
        <f t="shared" si="12"/>
        <v>100</v>
      </c>
      <c r="T43" s="703" t="s">
        <v>14</v>
      </c>
      <c r="U43" s="704">
        <f t="shared" si="13"/>
        <v>100</v>
      </c>
      <c r="V43" s="703" t="s">
        <v>14</v>
      </c>
      <c r="W43" s="704">
        <f t="shared" si="14"/>
        <v>100</v>
      </c>
      <c r="X43" s="3471"/>
      <c r="Y43" s="3689"/>
      <c r="Z43" s="3472" t="str">
        <f t="shared" si="18"/>
        <v>内部装修维护情况</v>
      </c>
      <c r="AA43" s="3470">
        <f t="shared" si="15"/>
        <v>1</v>
      </c>
      <c r="AB43" s="3470">
        <f t="shared" si="16"/>
        <v>1</v>
      </c>
      <c r="AC43" s="3470">
        <f t="shared" si="17"/>
        <v>1</v>
      </c>
    </row>
    <row r="44" spans="1:29" s="107"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687"/>
      <c r="Q44" s="3450">
        <f t="shared" si="11"/>
        <v>111</v>
      </c>
      <c r="R44" s="699" t="s">
        <v>14</v>
      </c>
      <c r="S44" s="700">
        <f t="shared" si="12"/>
        <v>100</v>
      </c>
      <c r="T44" s="699" t="s">
        <v>14</v>
      </c>
      <c r="U44" s="700">
        <f t="shared" si="13"/>
        <v>100</v>
      </c>
      <c r="V44" s="699" t="s">
        <v>14</v>
      </c>
      <c r="W44" s="700">
        <f t="shared" si="14"/>
        <v>100</v>
      </c>
      <c r="X44" s="701"/>
      <c r="Y44" s="3689"/>
      <c r="Z44" s="3448">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687"/>
      <c r="Q45" s="3469">
        <f t="shared" si="11"/>
        <v>111</v>
      </c>
      <c r="R45" s="703" t="s">
        <v>14</v>
      </c>
      <c r="S45" s="704">
        <f t="shared" si="12"/>
        <v>100</v>
      </c>
      <c r="T45" s="703" t="s">
        <v>14</v>
      </c>
      <c r="U45" s="704">
        <f t="shared" si="13"/>
        <v>100</v>
      </c>
      <c r="V45" s="703" t="s">
        <v>14</v>
      </c>
      <c r="W45" s="704">
        <f t="shared" si="14"/>
        <v>100</v>
      </c>
      <c r="X45" s="3471"/>
      <c r="Y45" s="3689"/>
      <c r="Z45" s="3472">
        <f t="shared" si="18"/>
        <v>111</v>
      </c>
      <c r="AA45" s="3470">
        <f t="shared" si="15"/>
        <v>1</v>
      </c>
      <c r="AB45" s="3470">
        <f t="shared" si="16"/>
        <v>1</v>
      </c>
      <c r="AC45" s="347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688"/>
      <c r="Q46" s="3469">
        <f t="shared" si="11"/>
        <v>111</v>
      </c>
      <c r="R46" s="703" t="s">
        <v>14</v>
      </c>
      <c r="S46" s="704">
        <f t="shared" si="12"/>
        <v>100</v>
      </c>
      <c r="T46" s="703" t="s">
        <v>14</v>
      </c>
      <c r="U46" s="704">
        <f t="shared" si="13"/>
        <v>100</v>
      </c>
      <c r="V46" s="703" t="s">
        <v>14</v>
      </c>
      <c r="W46" s="704">
        <f t="shared" si="14"/>
        <v>100</v>
      </c>
      <c r="X46" s="3471"/>
      <c r="Y46" s="3690"/>
      <c r="Z46" s="3472">
        <f t="shared" si="18"/>
        <v>111</v>
      </c>
      <c r="AA46" s="3470">
        <f t="shared" si="15"/>
        <v>1</v>
      </c>
      <c r="AB46" s="3470">
        <f t="shared" si="16"/>
        <v>1</v>
      </c>
      <c r="AC46" s="3470">
        <f t="shared" si="17"/>
        <v>1</v>
      </c>
    </row>
    <row r="47" spans="1:29" ht="15">
      <c r="A47" s="429" t="s">
        <v>1708</v>
      </c>
      <c r="B47" s="430"/>
      <c r="C47" s="1150" t="s">
        <v>0</v>
      </c>
      <c r="D47" s="1151"/>
      <c r="E47" s="1152"/>
      <c r="F47" s="1153"/>
      <c r="G47" s="1154"/>
      <c r="H47" s="1155"/>
      <c r="I47" s="1152"/>
      <c r="J47" s="1155"/>
      <c r="K47" s="1910"/>
      <c r="L47" s="2720"/>
      <c r="M47" s="2721"/>
      <c r="N47" s="2712"/>
      <c r="O47" s="2721"/>
      <c r="P47" s="3691" t="str">
        <f>A47</f>
        <v>成交单价（元/平方米）</v>
      </c>
      <c r="Q47" s="3691"/>
      <c r="R47" s="3692">
        <f>E47</f>
        <v>0</v>
      </c>
      <c r="S47" s="3692"/>
      <c r="T47" s="3692">
        <f>G47</f>
        <v>0</v>
      </c>
      <c r="U47" s="3692"/>
      <c r="V47" s="3692">
        <f>I47</f>
        <v>0</v>
      </c>
      <c r="W47" s="3692"/>
      <c r="X47" s="688"/>
      <c r="Y47" s="710"/>
      <c r="Z47" s="688"/>
      <c r="AA47" s="688"/>
      <c r="AB47" s="688"/>
      <c r="AC47" s="688"/>
    </row>
    <row r="48" spans="1:29" ht="15.75" thickBot="1">
      <c r="A48" s="436" t="s">
        <v>1709</v>
      </c>
      <c r="B48" s="437"/>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40" t="s">
        <v>1710</v>
      </c>
      <c r="B49" s="441"/>
      <c r="C49" s="1158" t="e">
        <f>R49</f>
        <v>#DIV/0!</v>
      </c>
      <c r="D49" s="1159"/>
      <c r="E49" s="1159"/>
      <c r="F49" s="1159"/>
      <c r="G49" s="1159"/>
      <c r="H49" s="1159"/>
      <c r="I49" s="1159"/>
      <c r="J49" s="1159"/>
      <c r="K49" s="1911"/>
      <c r="L49" s="2720"/>
      <c r="M49" s="2721"/>
      <c r="N49" s="2721"/>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7"/>
      <c r="L57" s="938"/>
      <c r="M57" s="936"/>
      <c r="N57" s="936"/>
      <c r="O57" s="936"/>
      <c r="P57" s="1914"/>
      <c r="Q57" s="452"/>
    </row>
    <row r="58" spans="1:29" s="456" customFormat="1" ht="15">
      <c r="A58" s="453" t="s">
        <v>1679</v>
      </c>
      <c r="B58" s="454"/>
      <c r="C58" s="1182" t="str">
        <f>YEAR(C7)&amp;"-"&amp;MONTH(C7)</f>
        <v>2023-8</v>
      </c>
      <c r="D58" s="1181">
        <f>EDATE(C58,-1)</f>
        <v>45108</v>
      </c>
      <c r="E58" s="1181">
        <f>EDATE(D58,-1)</f>
        <v>45078</v>
      </c>
      <c r="F58" s="1181">
        <f t="shared" ref="F58:O58" si="19">EDATE(E58,-1)</f>
        <v>45047</v>
      </c>
      <c r="G58" s="1181">
        <f t="shared" si="19"/>
        <v>45017</v>
      </c>
      <c r="H58" s="1181">
        <f t="shared" si="19"/>
        <v>44986</v>
      </c>
      <c r="I58" s="1181">
        <f t="shared" si="19"/>
        <v>44958</v>
      </c>
      <c r="J58" s="1181">
        <f t="shared" si="19"/>
        <v>44927</v>
      </c>
      <c r="K58" s="1181">
        <f t="shared" si="19"/>
        <v>44896</v>
      </c>
      <c r="L58" s="1181">
        <f t="shared" si="19"/>
        <v>44866</v>
      </c>
      <c r="M58" s="1181">
        <f t="shared" si="19"/>
        <v>44835</v>
      </c>
      <c r="N58" s="1181">
        <f t="shared" si="19"/>
        <v>44805</v>
      </c>
      <c r="O58" s="1181">
        <f t="shared" si="19"/>
        <v>44774</v>
      </c>
      <c r="P58" s="1177"/>
    </row>
    <row r="59" spans="1:29" s="107" customFormat="1" ht="15">
      <c r="A59" s="457"/>
      <c r="B59" s="1915"/>
      <c r="C59" s="1179">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1681</v>
      </c>
      <c r="B61" s="458"/>
      <c r="C61" s="470" t="s">
        <v>1718</v>
      </c>
      <c r="D61" s="471"/>
      <c r="E61" s="471"/>
      <c r="F61" s="471"/>
      <c r="G61" s="471"/>
      <c r="H61" s="471"/>
      <c r="I61" s="471"/>
      <c r="J61" s="471"/>
      <c r="K61" s="471"/>
      <c r="L61" s="472"/>
      <c r="M61" s="473"/>
      <c r="N61" s="928"/>
      <c r="O61" s="928"/>
      <c r="P61" s="1917"/>
      <c r="Q61" s="452"/>
    </row>
    <row r="62" spans="1:29" s="107"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1719</v>
      </c>
      <c r="B63" s="476" t="s">
        <v>1685</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1688</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7" customFormat="1" ht="15.75" thickTop="1">
      <c r="A86" s="527"/>
      <c r="B86" s="486" t="s">
        <v>1734</v>
      </c>
      <c r="C86" s="502"/>
      <c r="D86" s="502"/>
      <c r="E86" s="502"/>
      <c r="F86" s="502"/>
      <c r="G86" s="502"/>
      <c r="H86" s="502"/>
      <c r="I86" s="502"/>
      <c r="J86" s="502"/>
      <c r="K86" s="502"/>
      <c r="L86" s="528"/>
      <c r="M86" s="529"/>
      <c r="N86" s="928"/>
      <c r="O86" s="928"/>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7" customFormat="1" ht="15.75" thickTop="1">
      <c r="A88" s="527"/>
      <c r="B88" s="486" t="s">
        <v>1735</v>
      </c>
      <c r="C88" s="502"/>
      <c r="D88" s="502"/>
      <c r="E88" s="502"/>
      <c r="F88" s="1923"/>
      <c r="G88" s="502"/>
      <c r="H88" s="502"/>
      <c r="I88" s="502"/>
      <c r="J88" s="502"/>
      <c r="K88" s="502"/>
      <c r="L88" s="502"/>
      <c r="M88" s="529"/>
      <c r="N88" s="928"/>
      <c r="O88" s="928"/>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1694</v>
      </c>
      <c r="B100" s="476" t="s">
        <v>1736</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1738</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1739</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1740</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1742</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09" priority="18" stopIfTrue="1" operator="containsText" text="超过">
      <formula>NOT(ISERROR(SEARCH("超过",F52)))</formula>
    </cfRule>
  </conditionalFormatting>
  <conditionalFormatting sqref="J54">
    <cfRule type="containsText" dxfId="208" priority="17" stopIfTrue="1" operator="containsText" text="超过">
      <formula>NOT(ISERROR(SEARCH("超过",J54)))</formula>
    </cfRule>
  </conditionalFormatting>
  <conditionalFormatting sqref="H54">
    <cfRule type="containsText" dxfId="207" priority="16" stopIfTrue="1" operator="containsText" text="超过">
      <formula>NOT(ISERROR(SEARCH("超过",H54)))</formula>
    </cfRule>
  </conditionalFormatting>
  <conditionalFormatting sqref="F54">
    <cfRule type="containsText" dxfId="206" priority="15" stopIfTrue="1" operator="containsText" text="超过">
      <formula>NOT(ISERROR(SEARCH("超过",F54)))</formula>
    </cfRule>
  </conditionalFormatting>
  <conditionalFormatting sqref="F53 H53 J53">
    <cfRule type="containsText" dxfId="205" priority="14" stopIfTrue="1" operator="containsText" text="超过">
      <formula>NOT(ISERROR(SEARCH("超过",F53)))</formula>
    </cfRule>
  </conditionalFormatting>
  <conditionalFormatting sqref="E52">
    <cfRule type="expression" dxfId="204" priority="13" stopIfTrue="1">
      <formula>$F$52="超过30%"</formula>
    </cfRule>
  </conditionalFormatting>
  <conditionalFormatting sqref="G54">
    <cfRule type="expression" dxfId="203" priority="12" stopIfTrue="1">
      <formula>$H$54="超过30%"</formula>
    </cfRule>
  </conditionalFormatting>
  <conditionalFormatting sqref="E53">
    <cfRule type="expression" dxfId="202" priority="11" stopIfTrue="1">
      <formula>$F$53="超过20%"</formula>
    </cfRule>
  </conditionalFormatting>
  <conditionalFormatting sqref="E54">
    <cfRule type="expression" dxfId="201" priority="10" stopIfTrue="1">
      <formula>$F$54="超过30%"</formula>
    </cfRule>
  </conditionalFormatting>
  <conditionalFormatting sqref="G52">
    <cfRule type="expression" dxfId="200" priority="9" stopIfTrue="1">
      <formula>$H$52="超过30%"</formula>
    </cfRule>
  </conditionalFormatting>
  <conditionalFormatting sqref="G53">
    <cfRule type="expression" dxfId="199" priority="8" stopIfTrue="1">
      <formula>$H$53="超过20%"</formula>
    </cfRule>
  </conditionalFormatting>
  <conditionalFormatting sqref="I52">
    <cfRule type="expression" dxfId="198" priority="7" stopIfTrue="1">
      <formula>$J$52="超过30%"</formula>
    </cfRule>
  </conditionalFormatting>
  <conditionalFormatting sqref="I53">
    <cfRule type="expression" dxfId="197" priority="6" stopIfTrue="1">
      <formula>$J$53="超过20%"</formula>
    </cfRule>
  </conditionalFormatting>
  <conditionalFormatting sqref="I54">
    <cfRule type="expression" dxfId="196" priority="5" stopIfTrue="1">
      <formula>$J$54="超过30%"</formula>
    </cfRule>
  </conditionalFormatting>
  <conditionalFormatting sqref="F48">
    <cfRule type="expression" dxfId="195" priority="4">
      <formula>$D$48="简单平均"</formula>
    </cfRule>
  </conditionalFormatting>
  <conditionalFormatting sqref="H48">
    <cfRule type="expression" dxfId="194" priority="3">
      <formula>$D$48="简单平均"</formula>
    </cfRule>
  </conditionalFormatting>
  <conditionalFormatting sqref="J48">
    <cfRule type="expression" dxfId="193" priority="2">
      <formula>$D$48="简单平均"</formula>
    </cfRule>
  </conditionalFormatting>
  <conditionalFormatting sqref="F7:F46 H7:H46 J7:J46">
    <cfRule type="cellIs" dxfId="192"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1" t="str">
        <f>项目基本情况!B1</f>
        <v>北京市房地产市场价值预评估</v>
      </c>
      <c r="C37" s="3561"/>
      <c r="D37" s="3561"/>
      <c r="E37" s="3561"/>
      <c r="F37" s="3561"/>
      <c r="G37" s="3561"/>
      <c r="H37" s="3561"/>
      <c r="I37" s="356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梁津（注册号：1119970066)、叶凌（注册号：1119970111)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50"/>
  <sheetViews>
    <sheetView tabSelected="1" zoomScale="110" zoomScaleNormal="110" workbookViewId="0">
      <selection activeCell="A4" sqref="A4"/>
    </sheetView>
  </sheetViews>
  <sheetFormatPr defaultRowHeight="13.5"/>
  <cols>
    <col min="1" max="1" width="25.375" customWidth="1"/>
    <col min="2" max="2" width="11.625" customWidth="1"/>
    <col min="3" max="3" width="12" customWidth="1"/>
    <col min="4" max="4" width="14" customWidth="1"/>
    <col min="5" max="7" width="9" customWidth="1"/>
    <col min="8" max="8" width="10.375" customWidth="1"/>
    <col min="9" max="10" width="11.25" customWidth="1"/>
    <col min="11" max="11" width="11.125" customWidth="1"/>
    <col min="12" max="12" width="11.25" customWidth="1"/>
    <col min="13" max="13" width="9.75" customWidth="1"/>
    <col min="15" max="15" width="12.75" bestFit="1" customWidth="1"/>
  </cols>
  <sheetData>
    <row r="1" spans="1:14">
      <c r="A1" s="3528" t="s">
        <v>3385</v>
      </c>
      <c r="B1" s="3696" t="s">
        <v>3386</v>
      </c>
      <c r="C1" s="3696"/>
      <c r="D1" s="3696" t="s">
        <v>8771</v>
      </c>
      <c r="E1" s="3696"/>
      <c r="F1" s="3696"/>
      <c r="G1" s="3696"/>
      <c r="H1" s="3696" t="s">
        <v>3387</v>
      </c>
      <c r="I1" s="3696"/>
      <c r="J1" s="3538"/>
    </row>
    <row r="2" spans="1:14">
      <c r="A2" s="3696" t="s">
        <v>3388</v>
      </c>
      <c r="B2" s="3696" t="s">
        <v>3389</v>
      </c>
      <c r="C2" s="3696" t="s">
        <v>3390</v>
      </c>
      <c r="D2" s="3696" t="s">
        <v>3389</v>
      </c>
      <c r="E2" s="3696" t="s">
        <v>3390</v>
      </c>
      <c r="F2" s="3528" t="s">
        <v>3391</v>
      </c>
      <c r="G2" s="3528" t="s">
        <v>3392</v>
      </c>
      <c r="H2" s="3696" t="s">
        <v>3389</v>
      </c>
      <c r="I2" s="3696" t="s">
        <v>3390</v>
      </c>
      <c r="J2" s="3707" t="s">
        <v>8767</v>
      </c>
      <c r="K2" s="3704" t="s">
        <v>8726</v>
      </c>
      <c r="L2" s="3697" t="s">
        <v>8727</v>
      </c>
      <c r="M2" s="3698" t="s">
        <v>8732</v>
      </c>
    </row>
    <row r="3" spans="1:14">
      <c r="A3" s="3696"/>
      <c r="B3" s="3696"/>
      <c r="C3" s="3696"/>
      <c r="D3" s="3696"/>
      <c r="E3" s="3696"/>
      <c r="F3" s="3528" t="s">
        <v>3393</v>
      </c>
      <c r="G3" s="3528" t="s">
        <v>3394</v>
      </c>
      <c r="H3" s="3696"/>
      <c r="I3" s="3696"/>
      <c r="J3" s="3708"/>
      <c r="K3" s="3705"/>
      <c r="L3" s="3697"/>
      <c r="M3" s="3698" t="s">
        <v>8732</v>
      </c>
    </row>
    <row r="4" spans="1:14">
      <c r="A4" s="3475" t="s">
        <v>3395</v>
      </c>
      <c r="B4" s="3476">
        <v>1366</v>
      </c>
      <c r="C4" s="3477">
        <v>111657</v>
      </c>
      <c r="D4" s="3477">
        <v>1164</v>
      </c>
      <c r="E4" s="3477">
        <v>94990</v>
      </c>
      <c r="F4" s="3477">
        <v>31773</v>
      </c>
      <c r="G4" s="3544">
        <v>301813</v>
      </c>
      <c r="H4" s="3477">
        <f t="shared" ref="H4:I10" si="0">B4-D4</f>
        <v>202</v>
      </c>
      <c r="I4" s="3477">
        <v>16667</v>
      </c>
      <c r="J4" s="3542">
        <f>(K4-F4)/F4</f>
        <v>3.2455229282724235E-2</v>
      </c>
      <c r="K4" s="3546">
        <f>B50</f>
        <v>32804.199999999997</v>
      </c>
      <c r="L4" s="3546">
        <f>ROUND(I4*K4/10000,0)</f>
        <v>54675</v>
      </c>
      <c r="M4" s="3699">
        <f>ROUND((L4+L5+L6)/(I4+I5+I6)*10000,0)</f>
        <v>32773</v>
      </c>
      <c r="N4">
        <f>1-H4/B4</f>
        <v>0.85212298682284038</v>
      </c>
    </row>
    <row r="5" spans="1:14">
      <c r="A5" s="3475" t="s">
        <v>3396</v>
      </c>
      <c r="B5" s="3476">
        <v>296</v>
      </c>
      <c r="C5" s="3477">
        <v>55063</v>
      </c>
      <c r="D5" s="3477">
        <v>225</v>
      </c>
      <c r="E5" s="3477">
        <v>42050</v>
      </c>
      <c r="F5" s="3477">
        <v>26394</v>
      </c>
      <c r="G5" s="3544">
        <f t="shared" ref="G5:G6" si="1">E5*F5/10000</f>
        <v>110986.77</v>
      </c>
      <c r="H5" s="3477">
        <f t="shared" si="0"/>
        <v>71</v>
      </c>
      <c r="I5" s="3477">
        <v>13013</v>
      </c>
      <c r="J5" s="3542">
        <f t="shared" ref="J5:J7" si="2">(K5-F5)/F5</f>
        <v>3.2469500644085776E-2</v>
      </c>
      <c r="K5" s="3546">
        <f>D50</f>
        <v>27251</v>
      </c>
      <c r="L5" s="3546">
        <f t="shared" ref="L5:L9" si="3">ROUND(I5*K5/10000,0)</f>
        <v>35462</v>
      </c>
      <c r="M5" s="3700"/>
      <c r="N5">
        <f t="shared" ref="N5:N6" si="4">1-H5/B5</f>
        <v>0.76013513513513509</v>
      </c>
    </row>
    <row r="6" spans="1:14">
      <c r="A6" s="3475" t="s">
        <v>3397</v>
      </c>
      <c r="B6" s="3476">
        <v>334</v>
      </c>
      <c r="C6" s="3477">
        <v>25311</v>
      </c>
      <c r="D6" s="3477">
        <v>152</v>
      </c>
      <c r="E6" s="3477">
        <v>11174</v>
      </c>
      <c r="F6" s="3478">
        <v>36630</v>
      </c>
      <c r="G6" s="3544">
        <f t="shared" si="1"/>
        <v>40930.362000000001</v>
      </c>
      <c r="H6" s="3477">
        <f t="shared" si="0"/>
        <v>182</v>
      </c>
      <c r="I6" s="3477">
        <v>14137</v>
      </c>
      <c r="J6" s="3542">
        <f t="shared" si="2"/>
        <v>3.2459732459732459E-2</v>
      </c>
      <c r="K6" s="3546">
        <f>E50</f>
        <v>37819</v>
      </c>
      <c r="L6" s="3546">
        <f t="shared" si="3"/>
        <v>53465</v>
      </c>
      <c r="M6" s="3700"/>
      <c r="N6">
        <f t="shared" si="4"/>
        <v>0.45508982035928147</v>
      </c>
    </row>
    <row r="7" spans="1:14">
      <c r="A7" s="3475" t="s">
        <v>8737</v>
      </c>
      <c r="B7" s="3476">
        <v>1247</v>
      </c>
      <c r="C7" s="3476">
        <v>113128</v>
      </c>
      <c r="D7" s="3476">
        <v>736</v>
      </c>
      <c r="E7" s="3476">
        <v>55533</v>
      </c>
      <c r="F7" s="3476">
        <v>11153</v>
      </c>
      <c r="G7" s="3548">
        <v>61937</v>
      </c>
      <c r="H7" s="3476">
        <f t="shared" si="0"/>
        <v>511</v>
      </c>
      <c r="I7" s="3477">
        <f t="shared" si="0"/>
        <v>57595</v>
      </c>
      <c r="J7" s="3542">
        <f t="shared" si="2"/>
        <v>3.2457634717116469E-2</v>
      </c>
      <c r="K7" s="3546">
        <f>F50</f>
        <v>11515</v>
      </c>
      <c r="L7" s="3546">
        <f t="shared" si="3"/>
        <v>66321</v>
      </c>
      <c r="M7" s="3706">
        <f>ROUND((L7+L8)/(I8+I7)*10000,0)</f>
        <v>11127</v>
      </c>
    </row>
    <row r="8" spans="1:14">
      <c r="A8" s="3475" t="s">
        <v>3399</v>
      </c>
      <c r="B8" s="3476">
        <v>139</v>
      </c>
      <c r="C8" s="3476">
        <v>4077</v>
      </c>
      <c r="D8" s="3476">
        <v>0</v>
      </c>
      <c r="E8" s="3476">
        <v>0</v>
      </c>
      <c r="F8" s="3476">
        <v>0</v>
      </c>
      <c r="G8" s="3476">
        <v>0</v>
      </c>
      <c r="H8" s="3476">
        <f t="shared" si="0"/>
        <v>139</v>
      </c>
      <c r="I8" s="3477">
        <f t="shared" si="0"/>
        <v>4077</v>
      </c>
      <c r="J8" s="3542"/>
      <c r="K8" s="3546">
        <f>G50</f>
        <v>5639</v>
      </c>
      <c r="L8" s="3546">
        <f t="shared" si="3"/>
        <v>2299</v>
      </c>
      <c r="M8" s="3706"/>
    </row>
    <row r="9" spans="1:14">
      <c r="A9" s="3475" t="s">
        <v>3400</v>
      </c>
      <c r="B9" s="3476">
        <v>1575</v>
      </c>
      <c r="C9" s="3477">
        <v>72769</v>
      </c>
      <c r="D9" s="3477">
        <v>0</v>
      </c>
      <c r="E9" s="3477">
        <v>0</v>
      </c>
      <c r="F9" s="3478">
        <v>0</v>
      </c>
      <c r="G9" s="3477">
        <v>0</v>
      </c>
      <c r="H9" s="3477">
        <f t="shared" si="0"/>
        <v>1575</v>
      </c>
      <c r="I9" s="3477">
        <f t="shared" si="0"/>
        <v>72769</v>
      </c>
      <c r="J9" s="3542"/>
      <c r="K9" s="3546">
        <f>K4/0.2/46.52</f>
        <v>3525.8168529664654</v>
      </c>
      <c r="L9" s="3546">
        <f t="shared" si="3"/>
        <v>25657</v>
      </c>
      <c r="M9" s="3543">
        <f>L9/B9</f>
        <v>16.29015873015873</v>
      </c>
    </row>
    <row r="10" spans="1:14">
      <c r="A10" s="3475" t="s">
        <v>3401</v>
      </c>
      <c r="B10" s="3479">
        <f>SUM(B4:B9)</f>
        <v>4957</v>
      </c>
      <c r="C10" s="3479">
        <f>SUM(C4:C9)</f>
        <v>382005</v>
      </c>
      <c r="D10" s="3479">
        <f>SUM(D4:D9)</f>
        <v>2277</v>
      </c>
      <c r="E10" s="3475">
        <f>SUM(E4:E9)</f>
        <v>203747</v>
      </c>
      <c r="F10" s="3478">
        <f>G10/E10*10000</f>
        <v>25309.188945113307</v>
      </c>
      <c r="G10" s="3480">
        <f>SUM(G4:G9)</f>
        <v>515667.13200000004</v>
      </c>
      <c r="H10" s="3480">
        <f t="shared" si="0"/>
        <v>2680</v>
      </c>
      <c r="I10" s="3480">
        <f t="shared" si="0"/>
        <v>178258</v>
      </c>
      <c r="J10" s="3480"/>
      <c r="K10" s="3546"/>
      <c r="L10" s="3546">
        <f>SUM(L4:L9)</f>
        <v>237879</v>
      </c>
    </row>
    <row r="11" spans="1:14" hidden="1">
      <c r="K11" s="3547"/>
      <c r="L11" s="3547"/>
    </row>
    <row r="12" spans="1:14">
      <c r="K12" s="3545" t="s">
        <v>8766</v>
      </c>
      <c r="L12" s="3545">
        <f>G10+L10</f>
        <v>753546.13199999998</v>
      </c>
    </row>
    <row r="13" spans="1:14">
      <c r="H13">
        <v>796231</v>
      </c>
      <c r="L13" s="3533"/>
    </row>
    <row r="14" spans="1:14">
      <c r="G14" s="3480" t="e">
        <f>#REF!-L12</f>
        <v>#REF!</v>
      </c>
    </row>
    <row r="15" spans="1:14">
      <c r="A15" s="3701" t="s">
        <v>8711</v>
      </c>
      <c r="B15" s="3701"/>
      <c r="C15" s="3701"/>
      <c r="D15" s="3701"/>
      <c r="E15" s="3701"/>
    </row>
    <row r="16" spans="1:14">
      <c r="A16" s="3514" t="s">
        <v>8693</v>
      </c>
      <c r="B16" s="3514" t="s">
        <v>6738</v>
      </c>
      <c r="C16" s="3514" t="s">
        <v>8704</v>
      </c>
      <c r="D16" s="3514" t="s">
        <v>8705</v>
      </c>
      <c r="E16" s="3514" t="s">
        <v>8706</v>
      </c>
      <c r="H16" s="3702" t="s">
        <v>8735</v>
      </c>
      <c r="I16" s="3702" t="s">
        <v>8734</v>
      </c>
      <c r="J16" s="3539"/>
    </row>
    <row r="17" spans="1:10">
      <c r="A17" s="3514" t="s">
        <v>8694</v>
      </c>
      <c r="B17" s="3514"/>
      <c r="C17" s="3514"/>
      <c r="D17" s="3514"/>
      <c r="E17" s="3514"/>
      <c r="H17" s="3703"/>
      <c r="I17" s="3703"/>
      <c r="J17" s="3539"/>
    </row>
    <row r="18" spans="1:10">
      <c r="A18" s="3514" t="str">
        <f>金地大湖风华中指!A1</f>
        <v>金地大湖风华</v>
      </c>
      <c r="B18" s="3514">
        <f>金地大湖风华中指!L17</f>
        <v>33018.833333333336</v>
      </c>
      <c r="C18" s="3514"/>
      <c r="D18" s="3514"/>
      <c r="E18" s="3514"/>
      <c r="H18" s="3529">
        <v>56</v>
      </c>
      <c r="I18" s="3529">
        <v>4058</v>
      </c>
      <c r="J18" s="3540"/>
    </row>
    <row r="19" spans="1:10">
      <c r="A19" s="3514" t="str">
        <f>天恒·京西悦府!A1</f>
        <v>天恒·京西悦府</v>
      </c>
      <c r="B19" s="3514">
        <f>天恒·京西悦府!N3</f>
        <v>32293.75</v>
      </c>
      <c r="C19" s="3514">
        <f>天恒·京西悦府!N4</f>
        <v>42776.5</v>
      </c>
      <c r="D19" s="3514"/>
      <c r="E19" s="3514">
        <f>天恒·京西悦府!N5</f>
        <v>40760.666666666664</v>
      </c>
      <c r="H19" s="3529">
        <v>16</v>
      </c>
      <c r="I19" s="3529">
        <v>2850</v>
      </c>
      <c r="J19" s="3540"/>
    </row>
    <row r="20" spans="1:10">
      <c r="A20" s="3514" t="str">
        <f>天恒·摩墅!A1</f>
        <v>天恒·摩墅</v>
      </c>
      <c r="B20" s="3514">
        <f>天恒·摩墅!L9</f>
        <v>29477</v>
      </c>
      <c r="C20" s="3514"/>
      <c r="D20" s="3514"/>
      <c r="E20" s="3514"/>
      <c r="H20" s="3529">
        <v>16</v>
      </c>
      <c r="I20" s="3529">
        <v>1178</v>
      </c>
      <c r="J20" s="3540"/>
    </row>
    <row r="21" spans="1:10">
      <c r="A21" s="3514" t="s">
        <v>8697</v>
      </c>
      <c r="B21" s="3514"/>
      <c r="C21" s="3514">
        <f>中国铁建·山语澜廷中指!N8</f>
        <v>31168.75</v>
      </c>
      <c r="D21" s="3514">
        <f>中国铁建·山语澜廷中指!N7</f>
        <v>29913.333333333332</v>
      </c>
      <c r="E21" s="3514">
        <f>中国铁建·山语澜廷中指!N9</f>
        <v>33402</v>
      </c>
      <c r="H21" s="3529">
        <v>203</v>
      </c>
      <c r="I21" s="3529">
        <v>9580</v>
      </c>
      <c r="J21" s="3540"/>
    </row>
    <row r="22" spans="1:10">
      <c r="A22" s="3514"/>
      <c r="B22" s="3514">
        <f>(B18+B19+B20)/3</f>
        <v>31596.527777777781</v>
      </c>
      <c r="C22" s="3514">
        <f>(C19+C21)/2</f>
        <v>36972.625</v>
      </c>
      <c r="D22" s="3514">
        <f>(D19+D21)/1</f>
        <v>29913.333333333332</v>
      </c>
      <c r="E22" s="3514">
        <f t="shared" ref="E22" si="5">(E19+E21)/2</f>
        <v>37081.333333333328</v>
      </c>
      <c r="H22" s="3529">
        <v>341</v>
      </c>
      <c r="I22" s="3529"/>
      <c r="J22" s="3540"/>
    </row>
    <row r="23" spans="1:10">
      <c r="A23" s="3514"/>
      <c r="B23" s="3514">
        <v>1</v>
      </c>
      <c r="C23" s="3514">
        <f>C22/B22</f>
        <v>1.1701483549088989</v>
      </c>
      <c r="D23" s="3514">
        <f>D22/B22</f>
        <v>0.94672849952746196</v>
      </c>
      <c r="E23" s="3514">
        <f>E22/B22</f>
        <v>1.1735888700850565</v>
      </c>
      <c r="H23" s="3529"/>
      <c r="I23" s="3529">
        <v>23896</v>
      </c>
      <c r="J23" s="3540"/>
    </row>
    <row r="24" spans="1:10">
      <c r="A24" t="s">
        <v>8696</v>
      </c>
      <c r="B24">
        <f>北京半岛中指!L4</f>
        <v>34159</v>
      </c>
      <c r="H24" s="3530"/>
      <c r="I24" s="3530">
        <v>174959.34</v>
      </c>
      <c r="J24" s="3541"/>
    </row>
    <row r="25" spans="1:10">
      <c r="A25" t="s">
        <v>8695</v>
      </c>
      <c r="B25">
        <f>东亚朗悦居!L2</f>
        <v>27000</v>
      </c>
    </row>
    <row r="26" spans="1:10">
      <c r="A26" t="s">
        <v>8698</v>
      </c>
      <c r="B26">
        <f>中骏云景台!L102</f>
        <v>23088.14</v>
      </c>
    </row>
    <row r="27" spans="1:10">
      <c r="A27" t="s">
        <v>8699</v>
      </c>
      <c r="B27">
        <f>北京恒大御峰中指!L102</f>
        <v>24134</v>
      </c>
    </row>
    <row r="28" spans="1:10">
      <c r="E28" s="3515">
        <f>D29+E29</f>
        <v>2.3878154125937714</v>
      </c>
    </row>
    <row r="29" spans="1:10">
      <c r="A29" s="3701" t="s">
        <v>8710</v>
      </c>
      <c r="B29" s="3701"/>
      <c r="C29" s="3701"/>
      <c r="D29" s="3517">
        <v>1</v>
      </c>
      <c r="E29" s="3518">
        <f>F6/F5</f>
        <v>1.3878154125937714</v>
      </c>
      <c r="F29" s="3510"/>
      <c r="G29" s="3510"/>
    </row>
    <row r="30" spans="1:10">
      <c r="A30" s="3511" t="s">
        <v>8707</v>
      </c>
      <c r="B30" s="3511" t="s">
        <v>8700</v>
      </c>
      <c r="C30" s="3511" t="s">
        <v>8708</v>
      </c>
      <c r="D30" s="3483" t="str">
        <f>A5</f>
        <v>中跃住宅</v>
      </c>
      <c r="E30" s="3519" t="str">
        <f>A6</f>
        <v>下跃住宅</v>
      </c>
      <c r="F30" s="3483" t="str">
        <f>A7</f>
        <v>跃层绑定仓储</v>
      </c>
      <c r="G30" s="3483" t="str">
        <f>A8</f>
        <v>独立仓储间</v>
      </c>
    </row>
    <row r="31" spans="1:10">
      <c r="A31" s="3483">
        <v>41</v>
      </c>
      <c r="B31" s="3483"/>
      <c r="C31" s="3483">
        <v>28626.11</v>
      </c>
      <c r="D31" s="3483">
        <f>ROUND(C31*2/$E$28*$D$29,0)</f>
        <v>23977</v>
      </c>
      <c r="E31" s="3483">
        <f>ROUND(C31*2/$E$28*$E$29,0)</f>
        <v>33275</v>
      </c>
      <c r="F31" s="3483"/>
      <c r="G31" s="3483"/>
    </row>
    <row r="32" spans="1:10">
      <c r="A32" s="3483">
        <v>8</v>
      </c>
      <c r="B32" s="3483"/>
      <c r="C32" s="3483">
        <v>28246.22</v>
      </c>
      <c r="D32" s="3483">
        <f>ROUND(C32*2/$E$28*$D$29,0)</f>
        <v>23659</v>
      </c>
      <c r="E32" s="3483">
        <f>ROUND(C32*2/$E$28*$E$29,0)</f>
        <v>32834</v>
      </c>
      <c r="F32" s="3483"/>
      <c r="G32" s="3483"/>
    </row>
    <row r="33" spans="1:7">
      <c r="A33" s="3483">
        <v>32</v>
      </c>
      <c r="B33" s="3483"/>
      <c r="C33" s="3483">
        <v>28756.29</v>
      </c>
      <c r="D33" s="3483">
        <f>ROUND(C33*2/$E$28*$D$29,0)</f>
        <v>24086</v>
      </c>
      <c r="E33" s="3483">
        <f>ROUND(C33*2/$E$28*$E$29,0)</f>
        <v>33427</v>
      </c>
      <c r="F33" s="3483"/>
      <c r="G33" s="3483"/>
    </row>
    <row r="34" spans="1:7">
      <c r="A34" s="3483">
        <v>9</v>
      </c>
      <c r="B34" s="3483"/>
      <c r="C34" s="3483">
        <v>28427.73</v>
      </c>
      <c r="D34" s="3483">
        <f>ROUND(C34*2/$E$28*$D$29,0)</f>
        <v>23811</v>
      </c>
      <c r="E34" s="3483">
        <f>ROUND(C34*2/$E$28*$E$29,0)</f>
        <v>33045</v>
      </c>
      <c r="F34" s="3483"/>
      <c r="G34" s="3483">
        <v>3995.93</v>
      </c>
    </row>
    <row r="35" spans="1:7">
      <c r="A35" s="3483">
        <v>33</v>
      </c>
      <c r="B35" s="3483">
        <v>33311</v>
      </c>
      <c r="C35" s="3483"/>
      <c r="D35" s="3483"/>
      <c r="E35" s="3483"/>
      <c r="F35" s="3483"/>
      <c r="G35" s="3483"/>
    </row>
    <row r="36" spans="1:7">
      <c r="A36" s="3483">
        <v>10</v>
      </c>
      <c r="B36" s="3483">
        <v>32421.83</v>
      </c>
      <c r="C36" s="3483"/>
      <c r="D36" s="3483"/>
      <c r="E36" s="3483"/>
      <c r="F36" s="3483">
        <v>11811.05</v>
      </c>
      <c r="G36" s="3483"/>
    </row>
    <row r="37" spans="1:7">
      <c r="A37" s="3483">
        <v>34</v>
      </c>
      <c r="B37" s="3483"/>
      <c r="C37" s="3483">
        <v>27890.83</v>
      </c>
      <c r="D37" s="3483">
        <f>ROUND(C37*2/$E$28*$D$29,0)</f>
        <v>23361</v>
      </c>
      <c r="E37" s="3483">
        <f>ROUND(C37*2/$E$28*$E$29,0)</f>
        <v>32421</v>
      </c>
      <c r="F37" s="3483"/>
      <c r="G37" s="3483"/>
    </row>
    <row r="38" spans="1:7">
      <c r="A38" s="3483">
        <v>25</v>
      </c>
      <c r="B38" s="3483">
        <v>31356.55</v>
      </c>
      <c r="C38" s="3483"/>
      <c r="D38" s="3483"/>
      <c r="E38" s="3483"/>
      <c r="F38" s="3483">
        <v>12457.68</v>
      </c>
      <c r="G38" s="3483"/>
    </row>
    <row r="39" spans="1:7">
      <c r="A39" s="3483">
        <v>40</v>
      </c>
      <c r="B39" s="3483"/>
      <c r="C39" s="3483">
        <v>27219.53</v>
      </c>
      <c r="D39" s="3483">
        <f>ROUND(C39*2/$E$28*$D$29,0)</f>
        <v>22799</v>
      </c>
      <c r="E39" s="3483">
        <f>ROUND(C39*2/$E$28*$E$29,0)</f>
        <v>31640</v>
      </c>
      <c r="F39" s="3483"/>
      <c r="G39" s="3483">
        <v>3468.87</v>
      </c>
    </row>
    <row r="40" spans="1:7">
      <c r="A40" s="3483">
        <v>39</v>
      </c>
      <c r="B40" s="3483"/>
      <c r="C40" s="3483">
        <v>28322.76</v>
      </c>
      <c r="D40" s="3483">
        <f>ROUND(C40*2/$E$28*$D$29,0)</f>
        <v>23723</v>
      </c>
      <c r="E40" s="3483">
        <f>ROUND(C40*2/$E$28*$E$29,0)</f>
        <v>32923</v>
      </c>
      <c r="F40" s="3483"/>
      <c r="G40" s="3483"/>
    </row>
    <row r="41" spans="1:7">
      <c r="A41" s="3483">
        <v>38</v>
      </c>
      <c r="B41" s="3483">
        <v>32598.91</v>
      </c>
      <c r="C41" s="3483"/>
      <c r="D41" s="3483"/>
      <c r="E41" s="3483"/>
      <c r="F41" s="3483">
        <v>13097.3</v>
      </c>
      <c r="G41" s="3483"/>
    </row>
    <row r="42" spans="1:7">
      <c r="A42" s="3483">
        <v>18</v>
      </c>
      <c r="B42" s="3483"/>
      <c r="C42" s="3483">
        <v>28626.16</v>
      </c>
      <c r="D42" s="3483">
        <f>ROUND(C42*2/$E$28*$D$29,0)</f>
        <v>23977</v>
      </c>
      <c r="E42" s="3483">
        <f>ROUND(C42*2/$E$28*$E$29,0)</f>
        <v>33275</v>
      </c>
      <c r="F42" s="3483"/>
      <c r="G42" s="3483">
        <v>3568.48</v>
      </c>
    </row>
    <row r="43" spans="1:7">
      <c r="A43" s="3483">
        <v>17</v>
      </c>
      <c r="B43" s="3483">
        <v>30786.73</v>
      </c>
      <c r="C43" s="3483"/>
      <c r="D43" s="3483"/>
      <c r="E43" s="3483"/>
      <c r="F43" s="3483">
        <v>11711.35</v>
      </c>
      <c r="G43" s="3483"/>
    </row>
    <row r="44" spans="1:7">
      <c r="A44" s="3483">
        <v>6</v>
      </c>
      <c r="B44" s="3483"/>
      <c r="C44" s="3483">
        <v>28437.55</v>
      </c>
      <c r="D44" s="3483">
        <f>ROUND(C44*2/$E$28*$D$29,0)</f>
        <v>23819</v>
      </c>
      <c r="E44" s="3483">
        <f>ROUND(C44*2/$E$28*$E$29,0)</f>
        <v>33056</v>
      </c>
      <c r="F44" s="3483">
        <v>10141.16</v>
      </c>
      <c r="G44" s="3483"/>
    </row>
    <row r="45" spans="1:7">
      <c r="A45" s="3483">
        <v>7</v>
      </c>
      <c r="B45" s="3483"/>
      <c r="C45" s="3483">
        <v>27432.66</v>
      </c>
      <c r="D45" s="3483">
        <f>ROUND(C45*2/$E$28*$D$29,0)</f>
        <v>22977</v>
      </c>
      <c r="E45" s="3483">
        <f>ROUND(C45*2/$E$28*$E$29,0)</f>
        <v>31888</v>
      </c>
      <c r="F45" s="3483">
        <v>10486.07</v>
      </c>
      <c r="G45" s="3483"/>
    </row>
    <row r="46" spans="1:7">
      <c r="A46" s="3511" t="s">
        <v>8709</v>
      </c>
      <c r="B46" s="3520">
        <f>AVERAGE(B31:B44)</f>
        <v>32095.004000000004</v>
      </c>
      <c r="C46" s="3516">
        <f>AVERAGE(C31:C45)</f>
        <v>28198.583999999995</v>
      </c>
      <c r="D46" s="3520">
        <f>AVERAGE(D31:D45)</f>
        <v>23618.9</v>
      </c>
      <c r="E46" s="3520">
        <f>AVERAGE(E31:E45)</f>
        <v>32778.400000000001</v>
      </c>
      <c r="F46" s="3520">
        <f>AVERAGE(F31:F45)</f>
        <v>11617.434999999998</v>
      </c>
      <c r="G46" s="3520">
        <f>AVERAGE(G31:G44)</f>
        <v>3677.7599999999998</v>
      </c>
    </row>
    <row r="47" spans="1:7">
      <c r="A47" s="3511" t="s">
        <v>8722</v>
      </c>
      <c r="B47" s="3521">
        <v>1</v>
      </c>
      <c r="C47" s="3512">
        <f>C46/$B$46</f>
        <v>0.87859730442781658</v>
      </c>
      <c r="D47" s="3522">
        <f>D46/$B$46</f>
        <v>0.73590581263052646</v>
      </c>
      <c r="E47" s="3522">
        <f>E46/$B$46</f>
        <v>1.0212929090147487</v>
      </c>
      <c r="F47" s="3522">
        <f>F46/$B$46</f>
        <v>0.36197019947403641</v>
      </c>
      <c r="G47" s="3522">
        <f>G46/$B$46</f>
        <v>0.11458979721579095</v>
      </c>
    </row>
    <row r="48" spans="1:7">
      <c r="A48" s="3511" t="s">
        <v>8723</v>
      </c>
      <c r="B48" s="3549">
        <v>1</v>
      </c>
      <c r="C48" s="3550"/>
      <c r="D48" s="3549">
        <f>F5/F4</f>
        <v>0.83070531583419882</v>
      </c>
      <c r="E48" s="3551">
        <f>F6/F4</f>
        <v>1.1528656406382778</v>
      </c>
      <c r="F48" s="3551">
        <f>F7/F4</f>
        <v>0.35102130739936421</v>
      </c>
      <c r="G48" s="3552">
        <f>G47*1.5</f>
        <v>0.17188469582368643</v>
      </c>
    </row>
    <row r="49" spans="1:7">
      <c r="A49" s="3511" t="s">
        <v>8724</v>
      </c>
      <c r="B49" s="3483">
        <f>'比较法-洋房'!C48</f>
        <v>32804.199999999997</v>
      </c>
      <c r="C49" s="3483"/>
      <c r="D49" s="3483">
        <f>ROUND($B$49*D47,0)</f>
        <v>24141</v>
      </c>
      <c r="E49" s="3483">
        <f t="shared" ref="E49:G50" si="6">ROUND($B$49*E47,0)</f>
        <v>33503</v>
      </c>
      <c r="F49" s="3483">
        <f t="shared" si="6"/>
        <v>11874</v>
      </c>
      <c r="G49" s="3483">
        <f t="shared" si="6"/>
        <v>3759</v>
      </c>
    </row>
    <row r="50" spans="1:7">
      <c r="A50" s="3511" t="s">
        <v>8725</v>
      </c>
      <c r="B50" s="3513">
        <f>B49</f>
        <v>32804.199999999997</v>
      </c>
      <c r="C50" s="3526"/>
      <c r="D50" s="3513">
        <f>ROUND($B$49*D48,0)</f>
        <v>27251</v>
      </c>
      <c r="E50" s="3513">
        <f t="shared" si="6"/>
        <v>37819</v>
      </c>
      <c r="F50" s="3513">
        <f t="shared" si="6"/>
        <v>11515</v>
      </c>
      <c r="G50" s="3513">
        <f t="shared" si="6"/>
        <v>5639</v>
      </c>
    </row>
  </sheetData>
  <mergeCells count="20">
    <mergeCell ref="L2:L3"/>
    <mergeCell ref="M2:M3"/>
    <mergeCell ref="M4:M6"/>
    <mergeCell ref="A15:E15"/>
    <mergeCell ref="A29:C29"/>
    <mergeCell ref="H16:H17"/>
    <mergeCell ref="I16:I17"/>
    <mergeCell ref="K2:K3"/>
    <mergeCell ref="M7:M8"/>
    <mergeCell ref="J2:J3"/>
    <mergeCell ref="B1:C1"/>
    <mergeCell ref="D1:G1"/>
    <mergeCell ref="H1:I1"/>
    <mergeCell ref="A2:A3"/>
    <mergeCell ref="B2:B3"/>
    <mergeCell ref="C2:C3"/>
    <mergeCell ref="D2:D3"/>
    <mergeCell ref="E2:E3"/>
    <mergeCell ref="H2:H3"/>
    <mergeCell ref="I2:I3"/>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3" sqref="E2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t="s">
        <v>3395</v>
      </c>
      <c r="D1" s="1743"/>
      <c r="E1" s="1743"/>
      <c r="F1" s="1745" t="s">
        <v>1263</v>
      </c>
      <c r="G1" s="1557"/>
      <c r="H1" s="1746" t="str">
        <f>IF(G1="现房","——","估价对象范围")</f>
        <v>估价对象范围</v>
      </c>
      <c r="I1" s="1747"/>
    </row>
    <row r="2" spans="1:12" ht="21.75" customHeight="1" thickBot="1">
      <c r="A2" s="3776" t="str">
        <f>项目基本情况!S2</f>
        <v>北京市房地产</v>
      </c>
      <c r="B2" s="3777"/>
      <c r="C2" s="3777"/>
      <c r="D2" s="3777"/>
      <c r="E2" s="3777"/>
      <c r="F2" s="3777"/>
      <c r="G2" s="3777"/>
      <c r="H2" s="3777"/>
      <c r="I2" s="3778"/>
    </row>
    <row r="3" spans="1:12" ht="12.75">
      <c r="A3" s="3779" t="s">
        <v>1264</v>
      </c>
      <c r="B3" s="3780"/>
      <c r="C3" s="3780"/>
      <c r="D3" s="3780"/>
      <c r="E3" s="3780"/>
      <c r="F3" s="3780"/>
      <c r="G3" s="3780"/>
      <c r="H3" s="3780"/>
      <c r="I3" s="3780"/>
    </row>
    <row r="4" spans="1:12" ht="14.25">
      <c r="A4" s="1750" t="s">
        <v>1265</v>
      </c>
      <c r="B4" s="1751" t="s">
        <v>1266</v>
      </c>
      <c r="C4" s="1752" t="s">
        <v>8718</v>
      </c>
      <c r="D4" s="1752" t="s">
        <v>8720</v>
      </c>
      <c r="E4" s="3784" t="s">
        <v>1267</v>
      </c>
      <c r="F4" s="3785"/>
      <c r="G4" s="3785"/>
      <c r="H4" s="3785"/>
      <c r="I4" s="3786"/>
      <c r="K4" s="145" t="str">
        <f>IF(ISNUMBER(FIND("比较法",'结果表-洋房'!C4)),"比较法",IF(ISNUMBER(FIND("成本法",'结果表-洋房'!C4)),"成本法",IF(ISNUMBER(FIND("假设开发法",'结果表-洋房'!C4)),"假设开发法",IF(ISNUMBER(FIND("收益法",'结果表-洋房'!C4)),"收益法","基准地价系数修正法"))))</f>
        <v>比较法</v>
      </c>
      <c r="L4" s="145" t="str">
        <f>IF(ISNUMBER(FIND("比较法",'结果表-洋房'!D4)),"比较法",IF(ISNUMBER(FIND("成本法",'结果表-洋房'!D4)),"成本法",IF(ISNUMBER(FIND("假设开发法",'结果表-洋房'!D4)),"假设开发法",IF(ISNUMBER(FIND("收益法",'结果表-洋房'!D4)),"收益法","基准地价系数修正法"))))</f>
        <v>成本法</v>
      </c>
    </row>
    <row r="5" spans="1:12" ht="12.75">
      <c r="A5" s="3724" t="s">
        <v>1268</v>
      </c>
      <c r="B5" s="3681">
        <v>25</v>
      </c>
      <c r="C5" s="3781">
        <v>80</v>
      </c>
      <c r="D5" s="3770">
        <f>100-C5</f>
        <v>20</v>
      </c>
      <c r="E5" s="130" t="s">
        <v>1269</v>
      </c>
      <c r="F5" s="1753"/>
      <c r="G5" s="1753"/>
      <c r="H5" s="1753"/>
      <c r="I5" s="1369"/>
    </row>
    <row r="6" spans="1:12" ht="12.75">
      <c r="A6" s="3724"/>
      <c r="B6" s="3681"/>
      <c r="C6" s="3783"/>
      <c r="D6" s="3770"/>
      <c r="E6" s="130" t="s">
        <v>1270</v>
      </c>
      <c r="F6" s="1753"/>
      <c r="G6" s="1753"/>
      <c r="H6" s="1753"/>
      <c r="I6" s="1369"/>
    </row>
    <row r="7" spans="1:12" ht="12.75">
      <c r="A7" s="3724"/>
      <c r="B7" s="3681"/>
      <c r="C7" s="3782"/>
      <c r="D7" s="3770"/>
      <c r="E7" s="130" t="s">
        <v>1271</v>
      </c>
      <c r="F7" s="1753"/>
      <c r="G7" s="1753"/>
      <c r="H7" s="1753"/>
      <c r="I7" s="1369"/>
    </row>
    <row r="8" spans="1:12" ht="12.75">
      <c r="A8" s="3724" t="s">
        <v>1272</v>
      </c>
      <c r="B8" s="3681">
        <v>15</v>
      </c>
      <c r="C8" s="3781"/>
      <c r="D8" s="3770"/>
      <c r="E8" s="130" t="s">
        <v>1273</v>
      </c>
      <c r="F8" s="1753"/>
      <c r="G8" s="1753"/>
      <c r="H8" s="1753"/>
      <c r="I8" s="1369"/>
    </row>
    <row r="9" spans="1:12" ht="12.75">
      <c r="A9" s="3724"/>
      <c r="B9" s="3681"/>
      <c r="C9" s="3782"/>
      <c r="D9" s="3770"/>
      <c r="E9" s="130" t="s">
        <v>1274</v>
      </c>
      <c r="F9" s="1753"/>
      <c r="G9" s="1753"/>
      <c r="H9" s="1753"/>
      <c r="I9" s="1369"/>
    </row>
    <row r="10" spans="1:12" ht="12.75">
      <c r="A10" s="3724" t="s">
        <v>1275</v>
      </c>
      <c r="B10" s="3681">
        <v>15</v>
      </c>
      <c r="C10" s="3781"/>
      <c r="D10" s="3770"/>
      <c r="E10" s="130" t="s">
        <v>1276</v>
      </c>
      <c r="F10" s="1753"/>
      <c r="G10" s="1753"/>
      <c r="H10" s="1753"/>
      <c r="I10" s="1369"/>
    </row>
    <row r="11" spans="1:12" ht="12.75">
      <c r="A11" s="3724"/>
      <c r="B11" s="3681"/>
      <c r="C11" s="3782"/>
      <c r="D11" s="3770"/>
      <c r="E11" s="130" t="s">
        <v>1277</v>
      </c>
      <c r="F11" s="1753"/>
      <c r="G11" s="1753"/>
      <c r="H11" s="1753"/>
      <c r="I11" s="1369"/>
    </row>
    <row r="12" spans="1:12" ht="12.75">
      <c r="A12" s="3724" t="s">
        <v>1278</v>
      </c>
      <c r="B12" s="3681">
        <v>15</v>
      </c>
      <c r="C12" s="3781"/>
      <c r="D12" s="3770"/>
      <c r="E12" s="130" t="s">
        <v>1279</v>
      </c>
      <c r="F12" s="1753"/>
      <c r="G12" s="1753"/>
      <c r="H12" s="1753"/>
      <c r="I12" s="1369"/>
    </row>
    <row r="13" spans="1:12" ht="12.75">
      <c r="A13" s="3724"/>
      <c r="B13" s="3681"/>
      <c r="C13" s="3782"/>
      <c r="D13" s="3770"/>
      <c r="E13" s="130" t="s">
        <v>1280</v>
      </c>
      <c r="F13" s="1753"/>
      <c r="G13" s="1753"/>
      <c r="H13" s="1753"/>
      <c r="I13" s="1369"/>
    </row>
    <row r="14" spans="1:12" ht="12.75">
      <c r="A14" s="3724" t="s">
        <v>1281</v>
      </c>
      <c r="B14" s="3681">
        <v>30</v>
      </c>
      <c r="C14" s="3781"/>
      <c r="D14" s="3770"/>
      <c r="E14" s="130" t="s">
        <v>1282</v>
      </c>
      <c r="F14" s="1753"/>
      <c r="G14" s="1753"/>
      <c r="H14" s="1753"/>
      <c r="I14" s="1369"/>
    </row>
    <row r="15" spans="1:12" ht="12.75">
      <c r="A15" s="3724"/>
      <c r="B15" s="3681"/>
      <c r="C15" s="3783"/>
      <c r="D15" s="3770"/>
      <c r="E15" s="130" t="s">
        <v>1283</v>
      </c>
      <c r="F15" s="1753"/>
      <c r="G15" s="1753"/>
      <c r="H15" s="1753"/>
      <c r="I15" s="1369"/>
    </row>
    <row r="16" spans="1:12" ht="12.75">
      <c r="A16" s="3724"/>
      <c r="B16" s="3681"/>
      <c r="C16" s="3782"/>
      <c r="D16" s="3770"/>
      <c r="E16" s="130" t="s">
        <v>1284</v>
      </c>
      <c r="F16" s="1753"/>
      <c r="G16" s="1753"/>
      <c r="H16" s="1753"/>
      <c r="I16" s="1369"/>
    </row>
    <row r="17" spans="1:36" ht="15">
      <c r="A17" s="1754" t="s">
        <v>1285</v>
      </c>
      <c r="B17" s="56"/>
      <c r="C17" s="131">
        <f>SUM(C5:C16)</f>
        <v>80</v>
      </c>
      <c r="D17" s="131">
        <f>SUM(D5:D16)</f>
        <v>20</v>
      </c>
      <c r="E17" s="128"/>
      <c r="F17" s="128"/>
      <c r="G17" s="128"/>
      <c r="H17" s="128"/>
      <c r="I17" s="128"/>
      <c r="K17" s="301"/>
      <c r="L17" s="301" t="s">
        <v>1286</v>
      </c>
      <c r="M17" s="301" t="s">
        <v>1287</v>
      </c>
    </row>
    <row r="18" spans="1:36" ht="31.9" customHeight="1" thickBot="1">
      <c r="A18" s="1755" t="s">
        <v>1288</v>
      </c>
      <c r="B18" s="1756"/>
      <c r="C18" s="132">
        <f>ROUND(C17/SUM(C17:D17),2)</f>
        <v>0.8</v>
      </c>
      <c r="D18" s="132">
        <f>1-C18</f>
        <v>0.19999999999999996</v>
      </c>
      <c r="E18" s="3800" t="s">
        <v>2131</v>
      </c>
      <c r="F18" s="3801"/>
      <c r="G18" s="3801"/>
      <c r="H18" s="3801"/>
      <c r="I18" s="3801"/>
      <c r="K18" s="301" t="s">
        <v>1289</v>
      </c>
      <c r="L18" s="301">
        <f>IF(C1="",'数据-汇总表'!E3,SUMIF(项目类型,C1,'数据-汇总表'!E17:E26)+SUMIF(项目类型,C1,'数据-汇总表'!I17:I26))</f>
        <v>16667</v>
      </c>
      <c r="M18" s="301">
        <f>IF(C1="",'数据-汇总表'!E3,SUMIF(项目类型,C1,'数据-汇总表'!E17:E26))</f>
        <v>16667</v>
      </c>
    </row>
    <row r="19" spans="1:36" ht="15">
      <c r="A19" s="1757" t="s">
        <v>1290</v>
      </c>
      <c r="B19" s="1758" t="s">
        <v>1291</v>
      </c>
      <c r="C19" s="133">
        <f ca="1">SUMIF(INDIRECT("'"&amp;C4&amp;"'"&amp;"!A:A"),'结果表-洋房'!B19,INDIRECT("'"&amp;C4&amp;"'"&amp;"!B:B"))</f>
        <v>0</v>
      </c>
      <c r="D19" s="134">
        <f ca="1">SUMIF(INDIRECT("'"&amp;D4&amp;"'"&amp;"!A:A"),'结果表-洋房'!B19,INDIRECT("'"&amp;D4&amp;"'"&amp;"!B:B"))</f>
        <v>33296</v>
      </c>
      <c r="E19" s="1757" t="s">
        <v>1292</v>
      </c>
      <c r="F19" s="1758" t="s">
        <v>1291</v>
      </c>
      <c r="G19" s="135">
        <f ca="1">ROUND(C19*$C$18+D19*$D$18,0)</f>
        <v>6659</v>
      </c>
      <c r="H19" s="1759" t="s">
        <v>1293</v>
      </c>
      <c r="I19" s="128"/>
      <c r="K19" s="301" t="s">
        <v>1294</v>
      </c>
      <c r="L19" s="301">
        <f>IF(C1="",'数据-汇总表'!D3,SUMIF(项目类型,C1,'数据-汇总表'!D17:D26)+SUMIF(项目类型,C1,'数据-汇总表'!H17:H27))</f>
        <v>10416.879999999999</v>
      </c>
      <c r="M19" s="301">
        <f>IF(C1="",'数据-汇总表'!D3,SUMIF(项目类型,C1,'数据-汇总表'!D17:D26))</f>
        <v>10416.879999999999</v>
      </c>
    </row>
    <row r="20" spans="1:36" ht="15">
      <c r="A20" s="1760"/>
      <c r="B20" s="1022" t="s">
        <v>1295</v>
      </c>
      <c r="C20" s="136">
        <f ca="1">SUMIF(INDIRECT("'"&amp;C4&amp;"'"&amp;"!A:A"),'结果表-洋房'!B20,INDIRECT("'"&amp;C4&amp;"'"&amp;"!B:B"))</f>
        <v>32804.199999999997</v>
      </c>
      <c r="D20" s="137">
        <f ca="1">SUMIF(INDIRECT("'"&amp;D4&amp;"'"&amp;"!A:A"),'结果表-洋房'!B20,INDIRECT("'"&amp;D4&amp;"'"&amp;"!B:B"))</f>
        <v>19977</v>
      </c>
      <c r="E20" s="1760"/>
      <c r="F20" s="1022" t="s">
        <v>1295</v>
      </c>
      <c r="G20" s="138">
        <f ca="1">ROUND(C20*$C$18+D20*$D$18,0)</f>
        <v>30239</v>
      </c>
      <c r="H20" s="804" t="s">
        <v>1296</v>
      </c>
      <c r="I20" s="128"/>
    </row>
    <row r="21" spans="1:36" ht="15" customHeight="1" thickBot="1">
      <c r="A21" s="824"/>
      <c r="B21" s="1761" t="s">
        <v>1297</v>
      </c>
      <c r="C21" s="717">
        <f ca="1">ROUND(C19*10000/L19,0)</f>
        <v>0</v>
      </c>
      <c r="D21" s="718">
        <f ca="1">ROUND(D19*10000/L19,0)</f>
        <v>31964</v>
      </c>
      <c r="E21" s="824"/>
      <c r="F21" s="1761" t="s">
        <v>1297</v>
      </c>
      <c r="G21" s="139">
        <f ca="1">ROUND(G19*10000/L19,0)</f>
        <v>6393</v>
      </c>
      <c r="H21" s="1762" t="s">
        <v>1296</v>
      </c>
      <c r="I21" s="128"/>
    </row>
    <row r="22" spans="1:36" ht="15" thickBot="1">
      <c r="A22" s="1684" t="s">
        <v>1298</v>
      </c>
      <c r="B22" s="1763"/>
      <c r="C22" s="1764"/>
      <c r="D22" s="719" t="e">
        <f ca="1">IF(C19&lt;D19,D19/C19-1,C19/D19-1)</f>
        <v>#DIV/0!</v>
      </c>
      <c r="E22" s="128"/>
      <c r="F22" s="128"/>
      <c r="G22" s="128"/>
      <c r="H22" s="128"/>
      <c r="I22" s="128"/>
    </row>
    <row r="23" spans="1:36" ht="13.5" thickBot="1">
      <c r="A23" s="1743"/>
      <c r="B23" s="1743"/>
      <c r="C23" s="1743"/>
      <c r="D23" s="1743"/>
      <c r="E23" s="128"/>
      <c r="F23" s="128"/>
      <c r="G23" s="128"/>
      <c r="H23" s="128"/>
      <c r="I23" s="128"/>
    </row>
    <row r="24" spans="1:36" ht="14.25">
      <c r="A24" s="3793" t="s">
        <v>1299</v>
      </c>
      <c r="B24" s="1758" t="s">
        <v>1291</v>
      </c>
      <c r="C24" s="135">
        <f>IF(B30=0,0,D30)</f>
        <v>0</v>
      </c>
      <c r="D24" s="1765"/>
      <c r="E24" s="128"/>
      <c r="F24" s="128"/>
      <c r="G24" s="128"/>
      <c r="H24" s="128"/>
      <c r="I24" s="128"/>
    </row>
    <row r="25" spans="1:36" ht="14.25">
      <c r="A25" s="3794"/>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30239</v>
      </c>
      <c r="D32" s="1771"/>
      <c r="E32" s="128"/>
      <c r="F32" s="128"/>
      <c r="G32" s="128"/>
      <c r="H32" s="128"/>
      <c r="I32" s="128"/>
    </row>
    <row r="33" spans="1:15" ht="15">
      <c r="A33" s="782"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71" t="s">
        <v>1312</v>
      </c>
      <c r="B36" s="1783" t="s">
        <v>1313</v>
      </c>
      <c r="C36" s="144"/>
      <c r="D36" s="1784"/>
      <c r="E36" s="1785"/>
      <c r="F36" s="1786"/>
      <c r="G36" s="128"/>
      <c r="H36" s="128"/>
      <c r="I36" s="128"/>
    </row>
    <row r="37" spans="1:15" ht="15.75" thickBot="1">
      <c r="A37" s="3772"/>
      <c r="B37" s="1670" t="s">
        <v>1314</v>
      </c>
      <c r="C37" s="146"/>
      <c r="D37" s="1135"/>
      <c r="E37" s="1135"/>
      <c r="F37" s="1786"/>
      <c r="G37" s="128"/>
      <c r="H37" s="128"/>
      <c r="I37" s="128"/>
    </row>
    <row r="38" spans="1:15" ht="15.75" thickBot="1">
      <c r="A38" s="3773"/>
      <c r="B38" s="1787" t="s">
        <v>1315</v>
      </c>
      <c r="C38" s="672"/>
      <c r="D38" s="1788" t="s">
        <v>1316</v>
      </c>
      <c r="E38" s="1135"/>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90" t="s">
        <v>1326</v>
      </c>
      <c r="B45" s="3791"/>
      <c r="C45" s="3792"/>
      <c r="D45" s="154" t="e">
        <f ca="1">ROUND(H101*F45,0)</f>
        <v>#REF!</v>
      </c>
      <c r="E45" s="155" t="s">
        <v>1327</v>
      </c>
      <c r="F45" s="156">
        <v>1</v>
      </c>
      <c r="G45" s="157" t="s">
        <v>1328</v>
      </c>
      <c r="H45" s="128"/>
      <c r="I45" s="128"/>
      <c r="J45" s="3711" t="s">
        <v>1329</v>
      </c>
      <c r="K45" s="3711"/>
      <c r="L45" s="3711"/>
      <c r="M45" s="3711"/>
      <c r="N45" s="3711"/>
      <c r="O45" s="3711"/>
    </row>
    <row r="46" spans="1:15" ht="14.25" customHeight="1">
      <c r="A46" s="3787" t="s">
        <v>1330</v>
      </c>
      <c r="B46" s="3788"/>
      <c r="C46" s="3788"/>
      <c r="D46" s="3788"/>
      <c r="E46" s="3788"/>
      <c r="F46" s="3788"/>
      <c r="G46" s="3789"/>
      <c r="H46" s="1802"/>
      <c r="I46" s="158"/>
      <c r="J46" s="2519">
        <v>1</v>
      </c>
      <c r="K46" s="3712" t="s">
        <v>1331</v>
      </c>
      <c r="L46" s="3712"/>
      <c r="M46" s="3713"/>
      <c r="N46" s="3713"/>
      <c r="O46" s="3713"/>
    </row>
    <row r="47" spans="1:15" ht="12" customHeight="1">
      <c r="A47" s="159" t="s">
        <v>1332</v>
      </c>
      <c r="B47" s="160"/>
      <c r="C47" s="161"/>
      <c r="D47" s="1083" t="s">
        <v>1333</v>
      </c>
      <c r="E47" s="301" t="s">
        <v>1334</v>
      </c>
      <c r="F47" s="162" t="s">
        <v>1335</v>
      </c>
      <c r="G47" s="2542" t="s">
        <v>1336</v>
      </c>
      <c r="H47" s="2543"/>
      <c r="I47" s="158"/>
      <c r="J47" s="2519">
        <v>2</v>
      </c>
      <c r="K47" s="3712" t="s">
        <v>1337</v>
      </c>
      <c r="L47" s="3712"/>
      <c r="M47" s="3714">
        <f>'数据-取费表'!B2</f>
        <v>45159</v>
      </c>
      <c r="N47" s="3714"/>
      <c r="O47" s="3714"/>
    </row>
    <row r="48" spans="1:15" ht="25.5">
      <c r="A48" s="3774" t="s">
        <v>1338</v>
      </c>
      <c r="B48" s="3775"/>
      <c r="C48" s="377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712" t="s">
        <v>1340</v>
      </c>
      <c r="L48" s="3712"/>
      <c r="M48" s="3715" t="e">
        <f ca="1">H101</f>
        <v>#REF!</v>
      </c>
      <c r="N48" s="3715"/>
      <c r="O48" s="3715"/>
    </row>
    <row r="49" spans="1:35" ht="25.5" customHeight="1">
      <c r="A49" s="2329" t="s">
        <v>1341</v>
      </c>
      <c r="B49" s="3760" t="s">
        <v>1342</v>
      </c>
      <c r="C49" s="3760"/>
      <c r="D49" s="1586">
        <v>0</v>
      </c>
      <c r="E49" s="323" t="s">
        <v>1343</v>
      </c>
      <c r="F49" s="2420" t="s">
        <v>28</v>
      </c>
      <c r="G49" s="3743"/>
      <c r="H49" s="2306" t="s">
        <v>2134</v>
      </c>
      <c r="I49" s="2307"/>
      <c r="J49" s="2519">
        <v>4</v>
      </c>
      <c r="K49" s="3712" t="str">
        <f>IF(项目基本情况!E8="房地产抵押价值","房地产抵押价值","抵押担保权已注销时的房地产抵押价值")</f>
        <v>抵押担保权已注销时的房地产抵押价值</v>
      </c>
      <c r="L49" s="3712"/>
      <c r="M49" s="3715" t="str">
        <f>IF(项目基本情况!E8="房地产抵押价值",H107,H109)</f>
        <v>——</v>
      </c>
      <c r="N49" s="3715"/>
      <c r="O49" s="3715"/>
    </row>
    <row r="50" spans="1:35" ht="25.5" customHeight="1">
      <c r="A50" s="2547"/>
      <c r="B50" s="3760" t="s">
        <v>1344</v>
      </c>
      <c r="C50" s="3760"/>
      <c r="D50" s="2548"/>
      <c r="E50" s="331"/>
      <c r="F50" s="2420"/>
      <c r="G50" s="3744"/>
      <c r="H50" s="2308" t="s">
        <v>2135</v>
      </c>
      <c r="I50" s="2307"/>
      <c r="J50" s="3711" t="s">
        <v>1345</v>
      </c>
      <c r="K50" s="3711"/>
      <c r="L50" s="3711"/>
      <c r="M50" s="3711"/>
      <c r="N50" s="3711"/>
      <c r="O50" s="3711"/>
    </row>
    <row r="51" spans="1:35" ht="20.45" customHeight="1">
      <c r="A51" s="2549"/>
      <c r="B51" s="3760" t="s">
        <v>1346</v>
      </c>
      <c r="C51" s="3760"/>
      <c r="D51" s="1083"/>
      <c r="E51" s="326"/>
      <c r="F51" s="2420"/>
      <c r="G51" s="3745"/>
      <c r="H51" s="2308" t="s">
        <v>2136</v>
      </c>
      <c r="I51" s="2307"/>
      <c r="J51" s="2520" t="s">
        <v>1347</v>
      </c>
      <c r="K51" s="3712" t="s">
        <v>1348</v>
      </c>
      <c r="L51" s="3712"/>
      <c r="M51" s="2520" t="s">
        <v>1349</v>
      </c>
      <c r="N51" s="2520" t="s">
        <v>1350</v>
      </c>
      <c r="O51" s="2520" t="s">
        <v>1351</v>
      </c>
    </row>
    <row r="52" spans="1:35" ht="24" customHeight="1">
      <c r="A52" s="2331" t="s">
        <v>1352</v>
      </c>
      <c r="B52" s="3760" t="s">
        <v>1353</v>
      </c>
      <c r="C52" s="3760"/>
      <c r="D52" s="1083" t="e">
        <f ca="1">ROUND(D45*'数据-取费表'!B41/(1+'数据-取费表'!C42),0)</f>
        <v>#REF!</v>
      </c>
      <c r="E52" s="2330" t="s">
        <v>1354</v>
      </c>
      <c r="F52" s="2550">
        <f>'数据-取费表'!B41</f>
        <v>5.5000000000000007E-2</v>
      </c>
      <c r="G52" s="2551"/>
      <c r="H52" s="2540"/>
      <c r="I52" s="1803"/>
      <c r="J52" s="2519">
        <v>1</v>
      </c>
      <c r="K52" s="3737" t="s">
        <v>1355</v>
      </c>
      <c r="L52" s="3737"/>
      <c r="M52" s="2521" t="b">
        <f>D48</f>
        <v>0</v>
      </c>
      <c r="N52" s="2519" t="str">
        <f>E48</f>
        <v>销售额×税（费）率</v>
      </c>
      <c r="O52" s="2522">
        <f>F48</f>
        <v>5.5000000000000007E-2</v>
      </c>
    </row>
    <row r="53" spans="1:35" ht="12" customHeight="1">
      <c r="A53" s="2331" t="s">
        <v>1356</v>
      </c>
      <c r="B53" s="3761" t="s">
        <v>2291</v>
      </c>
      <c r="C53" s="3762"/>
      <c r="D53" s="1083" t="e">
        <f ca="1">ROUND(D45*'数据-取费表'!B41/(1+'数据-取费表'!C42),0)</f>
        <v>#REF!</v>
      </c>
      <c r="E53" s="2330" t="s">
        <v>1354</v>
      </c>
      <c r="F53" s="2550">
        <f>'数据-取费表'!B41</f>
        <v>5.5000000000000007E-2</v>
      </c>
      <c r="G53" s="2551"/>
      <c r="H53" s="2540"/>
      <c r="I53" s="1803"/>
      <c r="J53" s="2519">
        <v>2</v>
      </c>
      <c r="K53" s="3737" t="s">
        <v>1357</v>
      </c>
      <c r="L53" s="3737"/>
      <c r="M53" s="2521" t="e">
        <f t="shared" ref="M53:O54" ca="1" si="0">D55</f>
        <v>#REF!</v>
      </c>
      <c r="N53" s="2519" t="str">
        <f t="shared" si="0"/>
        <v>销售额×税（费）率</v>
      </c>
      <c r="O53" s="2522" t="str">
        <f t="shared" si="0"/>
        <v>免征</v>
      </c>
    </row>
    <row r="54" spans="1:35" ht="12" customHeight="1">
      <c r="A54" s="2331" t="s">
        <v>1358</v>
      </c>
      <c r="B54" s="3761" t="s">
        <v>2292</v>
      </c>
      <c r="C54" s="3762"/>
      <c r="D54" s="1083" t="e">
        <f ca="1">C68</f>
        <v>#REF!</v>
      </c>
      <c r="E54" s="326" t="s">
        <v>1359</v>
      </c>
      <c r="F54" s="2550">
        <f>'数据-取费表'!B41</f>
        <v>5.5000000000000007E-2</v>
      </c>
      <c r="G54" s="2551"/>
      <c r="H54" s="2552"/>
      <c r="I54" s="1803"/>
      <c r="J54" s="2519">
        <v>3</v>
      </c>
      <c r="K54" s="3737" t="s">
        <v>1360</v>
      </c>
      <c r="L54" s="3737"/>
      <c r="M54" s="2521" t="e">
        <f t="shared" ca="1" si="0"/>
        <v>#REF!</v>
      </c>
      <c r="N54" s="2519" t="str">
        <f t="shared" si="0"/>
        <v>增值额×税（费）率</v>
      </c>
      <c r="O54" s="2523" t="str">
        <f t="shared" si="0"/>
        <v>免征</v>
      </c>
    </row>
    <row r="55" spans="1:35" ht="24" customHeight="1">
      <c r="A55" s="3796" t="s">
        <v>1361</v>
      </c>
      <c r="B55" s="3775"/>
      <c r="C55" s="3775"/>
      <c r="D55" s="2320" t="e">
        <f ca="1">IF(H55="个人住宅",0,ROUND(D45*I55,0))</f>
        <v>#REF!</v>
      </c>
      <c r="E55" s="2330" t="s">
        <v>1362</v>
      </c>
      <c r="F55" s="2550" t="str">
        <f>IF(H55="正常",I55,"免征")</f>
        <v>免征</v>
      </c>
      <c r="G55" s="2551"/>
      <c r="H55" s="2546"/>
      <c r="I55" s="164">
        <f>'数据-取费表'!B49</f>
        <v>5.0000000000000001E-4</v>
      </c>
      <c r="J55" s="2519">
        <f>IF(H59="非个人房产","",4)</f>
        <v>4</v>
      </c>
      <c r="K55" s="3737" t="str">
        <f>IF(H59="非个人房产","——","个人所得税")</f>
        <v>个人所得税</v>
      </c>
      <c r="L55" s="3737"/>
      <c r="M55" s="2524" t="e">
        <f ca="1">D59</f>
        <v>#REF!</v>
      </c>
      <c r="N55" s="2036" t="str">
        <f>E59</f>
        <v>差额计税</v>
      </c>
      <c r="O55" s="2525">
        <f>F59</f>
        <v>0.01</v>
      </c>
    </row>
    <row r="56" spans="1:35" ht="24.75">
      <c r="A56" s="3796" t="s">
        <v>1363</v>
      </c>
      <c r="B56" s="3775"/>
      <c r="C56" s="3775"/>
      <c r="D56" s="2320" t="e">
        <f ca="1">IF(H56="个人住宅",D57,D58)</f>
        <v>#REF!</v>
      </c>
      <c r="E56" s="2330" t="s">
        <v>1364</v>
      </c>
      <c r="F56" s="2550" t="str">
        <f>IF(H56="正常",F58,"免征")</f>
        <v>免征</v>
      </c>
      <c r="G56" s="2553" t="s">
        <v>1365</v>
      </c>
      <c r="H56" s="2554"/>
      <c r="I56" s="1804"/>
      <c r="J56" s="2519" t="str">
        <f>IF(项目基本情况!K6="上海银行",IF(J55="",4,J55+1),"")</f>
        <v/>
      </c>
      <c r="K56" s="3718" t="str">
        <f>IF(项目基本情况!K6="上海银行","其他处置费用","")</f>
        <v/>
      </c>
      <c r="L56" s="3719"/>
      <c r="M56" s="2521" t="str">
        <f>IF(项目基本情况!K6="上海银行",M69,"")</f>
        <v/>
      </c>
      <c r="N56" s="3718" t="str">
        <f>IF(项目基本情况!K6="上海银行","包含处置中涉及的律师、诉讼、拍卖、评估等费用","")</f>
        <v/>
      </c>
      <c r="O56" s="3721"/>
    </row>
    <row r="57" spans="1:35" ht="12.75">
      <c r="A57" s="2331" t="s">
        <v>1341</v>
      </c>
      <c r="B57" s="3761" t="s">
        <v>1366</v>
      </c>
      <c r="C57" s="3762"/>
      <c r="D57" s="1586">
        <v>0</v>
      </c>
      <c r="E57" s="323" t="s">
        <v>1343</v>
      </c>
      <c r="F57" s="301"/>
      <c r="G57" s="2551"/>
      <c r="H57" s="2555"/>
      <c r="I57" s="1804"/>
      <c r="J57" s="3737">
        <f>IF(AND(J55="",J56=""),4,IF(项目基本情况!K6="上海银行",'结果表-洋房'!J56+1,'结果表-洋房'!J55+1))</f>
        <v>5</v>
      </c>
      <c r="K57" s="3737" t="s">
        <v>1367</v>
      </c>
      <c r="L57" s="2526" t="s">
        <v>1368</v>
      </c>
      <c r="M57" s="2527"/>
      <c r="N57" s="2528">
        <f ca="1">SUMIF(M52:M56,"&lt;9e307")</f>
        <v>0</v>
      </c>
      <c r="O57" s="2529"/>
      <c r="P57" s="2686" t="e">
        <f ca="1">N57/M49</f>
        <v>#VALUE!</v>
      </c>
    </row>
    <row r="58" spans="1:35" ht="24.75">
      <c r="A58" s="2331" t="s">
        <v>1352</v>
      </c>
      <c r="B58" s="3761" t="s">
        <v>1369</v>
      </c>
      <c r="C58" s="3760"/>
      <c r="D58" s="2320" t="e">
        <f ca="1">IF(H58="转让取得",C81,C97)</f>
        <v>#REF!</v>
      </c>
      <c r="E58" s="2330" t="s">
        <v>1364</v>
      </c>
      <c r="F58" s="301" t="s">
        <v>28</v>
      </c>
      <c r="G58" s="2551"/>
      <c r="H58" s="2554"/>
      <c r="I58" s="1804"/>
      <c r="J58" s="3737"/>
      <c r="K58" s="3737"/>
      <c r="L58" s="2526" t="s">
        <v>1370</v>
      </c>
      <c r="M58" s="2530"/>
      <c r="N58" s="2531" t="str">
        <f ca="1">NUMBERSTRING(INT(N57*10000),2)&amp;"元整"</f>
        <v>零元整</v>
      </c>
      <c r="O58" s="2532"/>
    </row>
    <row r="59" spans="1:35" ht="24.75" thickBot="1">
      <c r="A59" s="3741" t="s">
        <v>1371</v>
      </c>
      <c r="B59" s="3742"/>
      <c r="C59" s="3742"/>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739">
        <f>J57+1</f>
        <v>6</v>
      </c>
      <c r="K59" s="3737" t="s">
        <v>1372</v>
      </c>
      <c r="L59" s="2519" t="s">
        <v>1368</v>
      </c>
      <c r="M59" s="2533"/>
      <c r="N59" s="2534" t="e">
        <f ca="1">M49-N57</f>
        <v>#VALUE!</v>
      </c>
      <c r="O59" s="2535"/>
    </row>
    <row r="60" spans="1:35" ht="12" customHeight="1">
      <c r="A60" s="1805"/>
      <c r="B60" s="1743"/>
      <c r="C60" s="1743"/>
      <c r="D60" s="1743"/>
      <c r="E60" s="1574"/>
      <c r="F60" s="1804"/>
      <c r="G60" s="1804"/>
      <c r="H60" s="1806"/>
      <c r="I60" s="128"/>
      <c r="J60" s="3740"/>
      <c r="K60" s="3737"/>
      <c r="L60" s="2526" t="s">
        <v>1370</v>
      </c>
      <c r="M60" s="2530"/>
      <c r="N60" s="2531" t="e">
        <f ca="1">NUMBERSTRING(INT(N59*10000),2)&amp;"元整"</f>
        <v>#VALUE!</v>
      </c>
      <c r="O60" s="2532"/>
    </row>
    <row r="61" spans="1:35" ht="13.5" thickBot="1">
      <c r="A61" s="3795" t="s">
        <v>1373</v>
      </c>
      <c r="B61" s="3795"/>
      <c r="C61" s="3795"/>
      <c r="D61" s="3795"/>
      <c r="E61" s="3795"/>
      <c r="F61" s="1804"/>
      <c r="G61" s="1804"/>
      <c r="H61" s="1806"/>
      <c r="I61" s="128"/>
      <c r="J61" s="2519">
        <f>J59+1</f>
        <v>7</v>
      </c>
      <c r="K61" s="3737" t="s">
        <v>1374</v>
      </c>
      <c r="L61" s="3737"/>
      <c r="M61" s="2536"/>
      <c r="N61" s="2537" t="e">
        <f ca="1">ROUND(N59*10000/'数据-汇总表'!E3,0)</f>
        <v>#VALUE!</v>
      </c>
      <c r="O61" s="2538"/>
    </row>
    <row r="62" spans="1:35" ht="12.75">
      <c r="A62" s="3756" t="s">
        <v>1375</v>
      </c>
      <c r="B62" s="3757"/>
      <c r="C62" s="2017"/>
      <c r="D62" s="2017" t="s">
        <v>1376</v>
      </c>
      <c r="E62" s="165" t="s">
        <v>1377</v>
      </c>
      <c r="F62" s="1804"/>
      <c r="G62" s="1804"/>
      <c r="H62" s="1806"/>
      <c r="I62" s="128"/>
    </row>
    <row r="63" spans="1:35" ht="12.75">
      <c r="A63" s="172" t="s">
        <v>330</v>
      </c>
      <c r="B63" s="166" t="s">
        <v>1378</v>
      </c>
      <c r="C63" s="2560" t="e">
        <f ca="1">ROUND((C64+C65)/(1+'数据-取费表'!C42),0)</f>
        <v>#REF!</v>
      </c>
      <c r="D63" s="166"/>
      <c r="E63" s="167"/>
      <c r="F63" s="1804"/>
      <c r="G63" s="1804"/>
      <c r="H63" s="1806"/>
      <c r="I63" s="128"/>
      <c r="J63" s="3720" t="s">
        <v>1379</v>
      </c>
      <c r="K63" s="1328" t="s">
        <v>1380</v>
      </c>
      <c r="L63" s="1328" t="e">
        <f>IF(M49&gt;10000,M49*0.5%,IF(AND(M49&gt;1000,M49&lt;=10000),M49*1%,IF(AND(M49&gt;100,M49&lt;=1000),M49*3%,IF(AND(M49&gt;10,M49&lt;=100),M49*5%,M49*8%))))</f>
        <v>#VALUE!</v>
      </c>
      <c r="M63" s="301" t="e">
        <f>ROUND(L63,1)</f>
        <v>#VALUE!</v>
      </c>
      <c r="N63" s="2539"/>
      <c r="Z63" s="1748"/>
      <c r="AI63" s="1749"/>
    </row>
    <row r="64" spans="1:35" ht="14.25" customHeight="1">
      <c r="A64" s="168" t="s">
        <v>325</v>
      </c>
      <c r="B64" s="169" t="s">
        <v>1381</v>
      </c>
      <c r="C64" s="2561" t="e">
        <f ca="1">D45</f>
        <v>#REF!</v>
      </c>
      <c r="D64" s="169" t="s">
        <v>26</v>
      </c>
      <c r="E64" s="171"/>
      <c r="F64" s="1804"/>
      <c r="G64" s="1804"/>
      <c r="H64" s="1806"/>
      <c r="I64" s="128"/>
      <c r="J64" s="3720"/>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8" t="s">
        <v>326</v>
      </c>
      <c r="B65" s="169" t="s">
        <v>1384</v>
      </c>
      <c r="C65" s="2562"/>
      <c r="D65" s="169"/>
      <c r="E65" s="171"/>
      <c r="F65" s="1804"/>
      <c r="G65" s="1804"/>
      <c r="H65" s="1806"/>
      <c r="I65" s="128"/>
      <c r="J65" s="3720"/>
      <c r="K65" s="1328" t="s">
        <v>1385</v>
      </c>
      <c r="L65" s="1328" t="e">
        <f>IF(M49&gt;1000,M49*0.1%,IF(AND(M49&gt;500,M49&lt;=1000),M49*0.5%,IF(AND(M49&gt;50,M49&lt;=500),M49*1%,IF(AND(M49&gt;1,M49&lt;=50),M49*1.5%))))</f>
        <v>#VALUE!</v>
      </c>
      <c r="M65" s="301" t="e">
        <f t="shared" si="1"/>
        <v>#VALUE!</v>
      </c>
      <c r="N65" s="2540" t="s">
        <v>1383</v>
      </c>
      <c r="Z65" s="1748"/>
      <c r="AI65" s="1749"/>
    </row>
    <row r="66" spans="1:35" ht="14.25" customHeight="1">
      <c r="A66" s="172" t="s">
        <v>327</v>
      </c>
      <c r="B66" s="173" t="s">
        <v>1386</v>
      </c>
      <c r="C66" s="2563"/>
      <c r="D66" s="173" t="s">
        <v>26</v>
      </c>
      <c r="E66" s="1334" t="s">
        <v>671</v>
      </c>
      <c r="F66" s="1804"/>
      <c r="G66" s="1804"/>
      <c r="H66" s="1806"/>
      <c r="I66" s="128"/>
      <c r="J66" s="3720"/>
      <c r="K66" s="1328" t="s">
        <v>1387</v>
      </c>
      <c r="L66" s="1328" t="e">
        <f>M49*0.5%</f>
        <v>#VALUE!</v>
      </c>
      <c r="M66" s="301" t="e">
        <f>IF(L66&gt;0.5,0.5,ROUND(L66,0))</f>
        <v>#VALUE!</v>
      </c>
      <c r="N66" s="2540" t="s">
        <v>1388</v>
      </c>
      <c r="Z66" s="1748"/>
      <c r="AI66" s="1749"/>
    </row>
    <row r="67" spans="1:35" ht="14.25" customHeight="1">
      <c r="A67" s="172" t="s">
        <v>328</v>
      </c>
      <c r="B67" s="173" t="s">
        <v>1389</v>
      </c>
      <c r="C67" s="2564" t="e">
        <f ca="1">C63-C66</f>
        <v>#REF!</v>
      </c>
      <c r="D67" s="169" t="s">
        <v>26</v>
      </c>
      <c r="E67" s="171"/>
      <c r="F67" s="1804"/>
      <c r="G67" s="1804"/>
      <c r="H67" s="1806"/>
      <c r="I67" s="128"/>
      <c r="J67" s="3720"/>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5" t="s">
        <v>329</v>
      </c>
      <c r="B68" s="176" t="s">
        <v>1391</v>
      </c>
      <c r="C68" s="2565" t="e">
        <f ca="1">IF(C67&lt;=0,0,ROUND(C67*D68,0))</f>
        <v>#REF!</v>
      </c>
      <c r="D68" s="2566">
        <f>'数据-取费表'!B41</f>
        <v>5.5000000000000007E-2</v>
      </c>
      <c r="E68" s="177"/>
      <c r="F68" s="1804"/>
      <c r="G68" s="1804"/>
      <c r="H68" s="1806"/>
      <c r="I68" s="128"/>
      <c r="J68" s="3720"/>
      <c r="K68" s="1328" t="s">
        <v>1392</v>
      </c>
      <c r="L68" s="1328"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720"/>
      <c r="K69" s="1328" t="s">
        <v>1393</v>
      </c>
      <c r="L69" s="1328"/>
      <c r="M69" s="301" t="e">
        <f>ROUND(SUM(M63:M68),0)</f>
        <v>#VALUE!</v>
      </c>
      <c r="N69" s="2541"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64" t="s">
        <v>1394</v>
      </c>
      <c r="B70" s="3765"/>
      <c r="C70" s="3765"/>
      <c r="D70" s="3765"/>
      <c r="E70" s="3765"/>
      <c r="F70" s="3765"/>
      <c r="G70" s="3765"/>
      <c r="H70" s="376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56" t="s">
        <v>1375</v>
      </c>
      <c r="B71" s="3757"/>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t="e">
        <f ca="1">ROUND(D45/(1+'数据-取费表'!C42),0)</f>
        <v>#REF!</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761" t="s">
        <v>1402</v>
      </c>
      <c r="F76" s="3760"/>
      <c r="G76" s="3760"/>
      <c r="H76" s="376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t="e">
        <f ca="1">ROUND(D45*D78/(1+'数据-取费表'!C42),0)</f>
        <v>#REF!</v>
      </c>
      <c r="D78" s="2573">
        <f>'数据-取费表'!B43</f>
        <v>5.000000000000001E-3</v>
      </c>
      <c r="E78" s="3753" t="s">
        <v>1406</v>
      </c>
      <c r="F78" s="3754"/>
      <c r="G78" s="3754"/>
      <c r="H78" s="375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4"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t="e">
        <f ca="1">ROUND(IF(C79&lt;=0,0,IF(C80&gt;=200%,C79*60%-C73*35%,IF(C80&gt;=100%,C79*50%-C73*15%,IF(C80&gt;=50%,C79*40%-C73*5%,IF(C80&lt;50%,C79*30%,0))))),0)</f>
        <v>#REF!</v>
      </c>
      <c r="D81" s="2576"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4" t="s">
        <v>1410</v>
      </c>
      <c r="B83" s="3765"/>
      <c r="C83" s="3765"/>
      <c r="D83" s="3765"/>
      <c r="E83" s="3765"/>
      <c r="F83" s="3765"/>
      <c r="G83" s="3765"/>
      <c r="H83" s="376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6" t="s">
        <v>1375</v>
      </c>
      <c r="B84" s="3757"/>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t="e">
        <f ca="1">IF(H88="仅含出让金",C87+C90+C91+C92+C93+C94,C87+C91+C92+C93+C94)</f>
        <v>#REF!</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232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2323"/>
      <c r="G90" s="3722" t="s">
        <v>2129</v>
      </c>
      <c r="H90" s="3723"/>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IF(H91="——",'成本法-洋房'!C33,I91)</f>
        <v>0</v>
      </c>
      <c r="D91" s="2573"/>
      <c r="E91" s="3753" t="s">
        <v>1419</v>
      </c>
      <c r="F91" s="3754"/>
      <c r="G91" s="375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753" t="s">
        <v>1422</v>
      </c>
      <c r="F92" s="3754"/>
      <c r="G92" s="3754"/>
      <c r="H92" s="3755"/>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t="e">
        <f ca="1">ROUND(D45*D93/(1+'数据-取费表'!C42),0)</f>
        <v>#REF!</v>
      </c>
      <c r="D93" s="2573">
        <f>'数据-取费表'!B43</f>
        <v>5.000000000000001E-3</v>
      </c>
      <c r="E93" s="3753" t="s">
        <v>1406</v>
      </c>
      <c r="F93" s="3754"/>
      <c r="G93" s="3754"/>
      <c r="H93" s="375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797" t="s">
        <v>1426</v>
      </c>
      <c r="F94" s="3798"/>
      <c r="G94" s="3798"/>
      <c r="H94" s="379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4"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t="e">
        <f ca="1">ROUND(IF(C95&lt;=0,0,IF(C96&gt;=200%,C95*60%-C86*35%,IF(C96&gt;=100%,C95*50%-C86*15%,IF(C96&gt;=50%,C95*40%-C86*5%,IF(C96&lt;50%,C95*30%,0))))),0)</f>
        <v>#REF!</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645" t="s">
        <v>1428</v>
      </c>
      <c r="B100" s="3646"/>
      <c r="C100" s="3646"/>
      <c r="D100" s="3738"/>
      <c r="E100" s="3646" t="s">
        <v>1429</v>
      </c>
      <c r="F100" s="3646"/>
      <c r="G100" s="3646"/>
      <c r="H100" s="3738"/>
      <c r="I100" s="128"/>
    </row>
    <row r="101" spans="1:35" ht="18.75" customHeight="1">
      <c r="A101" s="3746" t="s">
        <v>1430</v>
      </c>
      <c r="B101" s="3747"/>
      <c r="C101" s="2581" t="str">
        <f>C4</f>
        <v>比较法-洋房</v>
      </c>
      <c r="D101" s="2582" t="str">
        <f>D4</f>
        <v>成本法-洋房</v>
      </c>
      <c r="E101" s="3716" t="s">
        <v>1431</v>
      </c>
      <c r="F101" s="3717"/>
      <c r="G101" s="1823" t="s">
        <v>1432</v>
      </c>
      <c r="H101" s="2591" t="e">
        <f ca="1">H118</f>
        <v>#REF!</v>
      </c>
      <c r="I101" s="128"/>
    </row>
    <row r="102" spans="1:35" ht="18.75" customHeight="1">
      <c r="A102" s="3748" t="s">
        <v>1433</v>
      </c>
      <c r="B102" s="2580" t="s">
        <v>1432</v>
      </c>
      <c r="C102" s="2581">
        <f ca="1">IF(D32="楼面单价",ROUND(C19,0),C19)</f>
        <v>0</v>
      </c>
      <c r="D102" s="2582">
        <f ca="1">IF(D32="楼面单价",ROUND(D19,0),D19)</f>
        <v>33296</v>
      </c>
      <c r="E102" s="3716"/>
      <c r="F102" s="3717"/>
      <c r="G102" s="1823" t="s">
        <v>1434</v>
      </c>
      <c r="H102" s="2551" t="e">
        <f ca="1">I118</f>
        <v>#REF!</v>
      </c>
      <c r="I102" s="128"/>
    </row>
    <row r="103" spans="1:35" ht="42.75" customHeight="1">
      <c r="A103" s="3748"/>
      <c r="B103" s="2580" t="s">
        <v>1434</v>
      </c>
      <c r="C103" s="2583">
        <f ca="1">C20</f>
        <v>32804.199999999997</v>
      </c>
      <c r="D103" s="2584">
        <f ca="1">D20</f>
        <v>19977</v>
      </c>
      <c r="E103" s="3709" t="s">
        <v>1435</v>
      </c>
      <c r="F103" s="3710"/>
      <c r="G103" s="1824" t="s">
        <v>1436</v>
      </c>
      <c r="H103" s="2591">
        <f>IF(D36="正常操作",H104+H105+H106,H105+H106)</f>
        <v>0</v>
      </c>
      <c r="I103" s="128"/>
    </row>
    <row r="104" spans="1:35" ht="18.75" customHeight="1">
      <c r="A104" s="3748" t="s">
        <v>1437</v>
      </c>
      <c r="B104" s="2585" t="s">
        <v>1432</v>
      </c>
      <c r="C104" s="2586" t="e">
        <f ca="1">H118</f>
        <v>#REF!</v>
      </c>
      <c r="D104" s="2587"/>
      <c r="E104" s="1670" t="s">
        <v>1438</v>
      </c>
      <c r="F104" s="1662"/>
      <c r="G104" s="1824" t="s">
        <v>1436</v>
      </c>
      <c r="H104" s="2592">
        <f>IF(D36="同一抵押权人同一抵押物续贷",C36&amp;"（续贷，未扣减，详见特别提示）",C36)</f>
        <v>0</v>
      </c>
      <c r="I104" s="128"/>
    </row>
    <row r="105" spans="1:35" ht="18.75" customHeight="1" thickBot="1">
      <c r="A105" s="3758"/>
      <c r="B105" s="2588" t="s">
        <v>1434</v>
      </c>
      <c r="C105" s="2589" t="e">
        <f ca="1">I118</f>
        <v>#REF!</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749" t="str">
        <f>IF(项目基本情况!E8="已注销","——","3.房地产抵押价值")</f>
        <v>3.房地产抵押价值</v>
      </c>
      <c r="F107" s="3717"/>
      <c r="G107" s="1823" t="s">
        <v>1432</v>
      </c>
      <c r="H107" s="2591" t="e">
        <f ca="1">IF(E107="——","——",H101-H103)</f>
        <v>#REF!</v>
      </c>
      <c r="I107" s="128"/>
    </row>
    <row r="108" spans="1:35" ht="18.75" customHeight="1">
      <c r="A108" s="128"/>
      <c r="B108" s="128"/>
      <c r="C108" s="128"/>
      <c r="D108" s="128"/>
      <c r="E108" s="3749"/>
      <c r="F108" s="3717"/>
      <c r="G108" s="1823" t="s">
        <v>1434</v>
      </c>
      <c r="H108" s="2551">
        <f ca="1">IF(H107=H101,H102,ROUND(H107*10000/'数据-汇总表'!E3,0))</f>
        <v>0</v>
      </c>
      <c r="I108" s="128"/>
    </row>
    <row r="109" spans="1:35" ht="18.75" customHeight="1">
      <c r="A109" s="128"/>
      <c r="B109" s="128"/>
      <c r="C109" s="128"/>
      <c r="D109" s="128"/>
      <c r="E109" s="3749" t="str">
        <f>IF(项目基本情况!E8="已注销及未注销","4.抵押担保权已注销时的房地产抵押价值",IF(项目基本情况!E8="已注销","3.抵押担保权已注销时的房地产抵押价值","——"))</f>
        <v>——</v>
      </c>
      <c r="F109" s="3717"/>
      <c r="G109" s="1823" t="s">
        <v>1432</v>
      </c>
      <c r="H109" s="2594" t="str">
        <f>IF(E109="——","——",H101-H105-H106)</f>
        <v>——</v>
      </c>
      <c r="I109" s="128"/>
    </row>
    <row r="110" spans="1:35" ht="18.75" customHeight="1">
      <c r="A110" s="128"/>
      <c r="B110" s="128"/>
      <c r="C110" s="128"/>
      <c r="D110" s="128"/>
      <c r="E110" s="3749"/>
      <c r="F110" s="3717"/>
      <c r="G110" s="1823" t="s">
        <v>1434</v>
      </c>
      <c r="H110" s="2551" t="str">
        <f>IF(H109="——","——",ROUND(H109*10000/'数据-汇总表'!E3,0))</f>
        <v>——</v>
      </c>
      <c r="I110" s="128"/>
    </row>
    <row r="111" spans="1:35" ht="18.75" customHeight="1">
      <c r="A111" s="128"/>
      <c r="B111" s="128"/>
      <c r="C111" s="128"/>
      <c r="D111" s="128"/>
      <c r="E111" s="3750" t="str">
        <f>IF(项目基本情况!E9="抵押净值",IF(OR(项目基本情况!E8="已注销",项目基本情况!E8="房地产抵押价值"),"4.抵押净值","5.抵押净值"),"——")</f>
        <v>——</v>
      </c>
      <c r="F111" s="3736"/>
      <c r="G111" s="1823" t="s">
        <v>1432</v>
      </c>
      <c r="H111" s="2591" t="str">
        <f>IF(E111="——","——",N59)</f>
        <v>——</v>
      </c>
      <c r="I111" s="128"/>
    </row>
    <row r="112" spans="1:35" ht="18.75" customHeight="1" thickBot="1">
      <c r="A112" s="128"/>
      <c r="B112" s="128"/>
      <c r="C112" s="128"/>
      <c r="D112" s="128"/>
      <c r="E112" s="3751"/>
      <c r="F112" s="3752"/>
      <c r="G112" s="1826" t="s">
        <v>1434</v>
      </c>
      <c r="H112" s="2595" t="str">
        <f>IF(E111="——","——",N61)</f>
        <v>——</v>
      </c>
      <c r="I112" s="128"/>
    </row>
    <row r="113" spans="1:27" ht="18.75" customHeight="1">
      <c r="A113" s="128"/>
      <c r="B113" s="128"/>
      <c r="C113" s="128"/>
      <c r="D113" s="128"/>
      <c r="E113" s="3759" t="s">
        <v>1440</v>
      </c>
      <c r="F113" s="3759"/>
      <c r="G113" s="3759"/>
      <c r="H113" s="3759"/>
      <c r="I113" s="128"/>
    </row>
    <row r="114" spans="1:27" ht="3.75" customHeight="1">
      <c r="A114" s="1743"/>
      <c r="B114" s="1743"/>
      <c r="C114" s="1743"/>
      <c r="D114" s="1743"/>
      <c r="E114" s="1805"/>
      <c r="F114" s="1805"/>
      <c r="G114" s="1805"/>
      <c r="H114" s="1805"/>
      <c r="I114" s="1743"/>
    </row>
    <row r="115" spans="1:27" ht="18.75" customHeight="1">
      <c r="A115" s="3767" t="s">
        <v>1442</v>
      </c>
      <c r="B115" s="3768"/>
      <c r="C115" s="3768"/>
      <c r="D115" s="3768"/>
      <c r="E115" s="3768"/>
      <c r="F115" s="3768"/>
      <c r="G115" s="3768"/>
      <c r="H115" s="3768"/>
      <c r="I115" s="3769"/>
    </row>
    <row r="116" spans="1:27" ht="27" customHeight="1">
      <c r="A116" s="3724" t="s">
        <v>1443</v>
      </c>
      <c r="B116" s="3728" t="s">
        <v>1444</v>
      </c>
      <c r="C116" s="3728" t="s">
        <v>1445</v>
      </c>
      <c r="D116" s="3734" t="s">
        <v>1446</v>
      </c>
      <c r="E116" s="3735"/>
      <c r="F116" s="3766" t="s">
        <v>1447</v>
      </c>
      <c r="G116" s="3766"/>
      <c r="H116" s="3724" t="s">
        <v>1448</v>
      </c>
      <c r="I116" s="3724"/>
    </row>
    <row r="117" spans="1:27" ht="18.75" customHeight="1">
      <c r="A117" s="3724"/>
      <c r="B117" s="3729"/>
      <c r="C117" s="3729"/>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16667</v>
      </c>
      <c r="C118" s="2325">
        <f>M19</f>
        <v>10416.879999999999</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724" t="s">
        <v>1452</v>
      </c>
      <c r="B119" s="3724"/>
      <c r="C119" s="3724"/>
      <c r="D119" s="3730" t="e">
        <f ca="1">NUMBERSTRING(INT(D118*10000),2)&amp;"元整"</f>
        <v>#REF!</v>
      </c>
      <c r="E119" s="3731"/>
      <c r="F119" s="3730" t="e">
        <f ca="1">NUMBERSTRING(INT(F118*10000),2)&amp;"元整"</f>
        <v>#REF!</v>
      </c>
      <c r="G119" s="3731"/>
      <c r="H119" s="3730" t="e">
        <f ca="1">NUMBERSTRING(INT(H118*10000),2)&amp;"元整"</f>
        <v>#REF!</v>
      </c>
      <c r="I119" s="3731"/>
    </row>
    <row r="120" spans="1:27" ht="18.75" customHeight="1">
      <c r="A120" s="3725" t="str">
        <f>IF(项目基本情况!B9="房地产市场价值","",MID(E103,3,LEN(E103)-2))</f>
        <v/>
      </c>
      <c r="B120" s="3726"/>
      <c r="C120" s="3727"/>
      <c r="D120" s="3725">
        <f>H103</f>
        <v>0</v>
      </c>
      <c r="E120" s="3726"/>
      <c r="F120" s="3726"/>
      <c r="G120" s="3726"/>
      <c r="H120" s="3726"/>
      <c r="I120" s="3727"/>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30" t="s">
        <v>1452</v>
      </c>
      <c r="B121" s="3732"/>
      <c r="C121" s="3731"/>
      <c r="D121" s="3730" t="str">
        <f>IF(D120=0,"零元整",NUMBERSTRING(INT(D120*10000),2)&amp;"元整")</f>
        <v>零元整</v>
      </c>
      <c r="E121" s="3732"/>
      <c r="F121" s="3732"/>
      <c r="G121" s="3732"/>
      <c r="H121" s="3732"/>
      <c r="I121" s="3731"/>
      <c r="AA121" s="723"/>
    </row>
    <row r="122" spans="1:27" ht="18.75" customHeight="1">
      <c r="A122" s="3736" t="str">
        <f>IF(项目基本情况!B9="房地产市场价值","",MID(E107,3,LEN(E107)-2))</f>
        <v/>
      </c>
      <c r="B122" s="3736"/>
      <c r="C122" s="3736"/>
      <c r="D122" s="3725" t="e">
        <f ca="1">H107</f>
        <v>#REF!</v>
      </c>
      <c r="E122" s="3726"/>
      <c r="F122" s="3726"/>
      <c r="G122" s="3726"/>
      <c r="H122" s="3726"/>
      <c r="I122" s="3727"/>
      <c r="AA122" s="723"/>
    </row>
    <row r="123" spans="1:27" ht="18.75" customHeight="1">
      <c r="A123" s="3724" t="s">
        <v>1452</v>
      </c>
      <c r="B123" s="3724"/>
      <c r="C123" s="3724"/>
      <c r="D123" s="3730" t="e">
        <f ca="1">NUMBERSTRING(INT(D122*10000),2)&amp;"元整"</f>
        <v>#REF!</v>
      </c>
      <c r="E123" s="3732"/>
      <c r="F123" s="3732"/>
      <c r="G123" s="3732"/>
      <c r="H123" s="3732"/>
      <c r="I123" s="3731"/>
      <c r="AA123" s="723"/>
    </row>
    <row r="124" spans="1:27" ht="18.75" customHeight="1">
      <c r="A124" s="3736" t="str">
        <f>IF(项目基本情况!B9="房地产市场价值","",MID(E109,3,LEN(E109)-2))</f>
        <v/>
      </c>
      <c r="B124" s="3736"/>
      <c r="C124" s="3736"/>
      <c r="D124" s="3725" t="str">
        <f>H109</f>
        <v>——</v>
      </c>
      <c r="E124" s="3726"/>
      <c r="F124" s="3726"/>
      <c r="G124" s="3726"/>
      <c r="H124" s="3726"/>
      <c r="I124" s="3727"/>
      <c r="AA124" s="723"/>
    </row>
    <row r="125" spans="1:27" ht="18.75" customHeight="1">
      <c r="A125" s="3724" t="s">
        <v>1452</v>
      </c>
      <c r="B125" s="3724"/>
      <c r="C125" s="3724"/>
      <c r="D125" s="3730" t="e">
        <f>NUMBERSTRING(INT(D124*10000),2)&amp;"元整"</f>
        <v>#VALUE!</v>
      </c>
      <c r="E125" s="3732"/>
      <c r="F125" s="3732"/>
      <c r="G125" s="3732"/>
      <c r="H125" s="3732"/>
      <c r="I125" s="3731"/>
      <c r="AA125" s="723"/>
    </row>
    <row r="126" spans="1:27" ht="18.75" customHeight="1">
      <c r="A126" s="3736" t="str">
        <f>IF(项目基本情况!B9="房地产市场价值","",MID(E111,3,LEN(E111)-2))</f>
        <v/>
      </c>
      <c r="B126" s="3736"/>
      <c r="C126" s="3736"/>
      <c r="D126" s="3725" t="str">
        <f>H111</f>
        <v>——</v>
      </c>
      <c r="E126" s="3726"/>
      <c r="F126" s="3726"/>
      <c r="G126" s="3726"/>
      <c r="H126" s="3726"/>
      <c r="I126" s="3727"/>
      <c r="AA126" s="723"/>
    </row>
    <row r="127" spans="1:27" ht="18.75" customHeight="1">
      <c r="A127" s="3724" t="s">
        <v>1452</v>
      </c>
      <c r="B127" s="3724"/>
      <c r="C127" s="3724"/>
      <c r="D127" s="3730" t="e">
        <f>NUMBERSTRING(INT(D126*10000),2)&amp;"元整"</f>
        <v>#VALUE!</v>
      </c>
      <c r="E127" s="3732"/>
      <c r="F127" s="3732"/>
      <c r="G127" s="3732"/>
      <c r="H127" s="3732"/>
      <c r="I127" s="3731"/>
      <c r="AA127" s="723"/>
    </row>
    <row r="128" spans="1:27" ht="21.75" customHeight="1">
      <c r="A128" s="3733" t="s">
        <v>1453</v>
      </c>
      <c r="B128" s="3733"/>
      <c r="C128" s="3733"/>
      <c r="D128" s="3733"/>
      <c r="E128" s="3733"/>
      <c r="F128" s="3733"/>
      <c r="G128" s="3733"/>
      <c r="H128" s="3733"/>
      <c r="I128" s="3733"/>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3395</v>
      </c>
      <c r="C1" s="197"/>
      <c r="D1" s="197"/>
      <c r="E1" s="197"/>
      <c r="F1" s="197"/>
      <c r="G1" s="1122">
        <f>MATCH(B1,'数据-取费表'!A6:A16,0)+5</f>
        <v>6</v>
      </c>
    </row>
    <row r="2" spans="1:9" s="199" customFormat="1" ht="18" customHeight="1">
      <c r="A2" s="200" t="s">
        <v>1462</v>
      </c>
      <c r="B2" s="201">
        <f ca="1">IF(D2="——",C52,C52-E2)</f>
        <v>33296</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19977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12361.901400000001</v>
      </c>
      <c r="D5" s="210" t="s">
        <v>1469</v>
      </c>
      <c r="E5" s="211" t="s">
        <v>1470</v>
      </c>
      <c r="F5" s="211" t="s">
        <v>1471</v>
      </c>
      <c r="G5" s="212"/>
    </row>
    <row r="6" spans="1:9" s="213" customFormat="1" ht="13.5" customHeight="1">
      <c r="A6" s="774" t="s">
        <v>1472</v>
      </c>
      <c r="B6" s="214" t="s">
        <v>1473</v>
      </c>
      <c r="C6" s="215">
        <f>基准地价修正!C33*'数据-汇总表'!F19/10000</f>
        <v>11736.901400000001</v>
      </c>
      <c r="D6" s="216"/>
      <c r="E6" s="217"/>
      <c r="F6" s="217"/>
      <c r="G6" s="218"/>
    </row>
    <row r="7" spans="1:9" s="213" customFormat="1" ht="13.5" customHeight="1">
      <c r="A7" s="774" t="s">
        <v>1474</v>
      </c>
      <c r="B7" s="214" t="s">
        <v>1475</v>
      </c>
      <c r="C7" s="219">
        <f>ROUND(C6*F7,0)</f>
        <v>358</v>
      </c>
      <c r="D7" s="219"/>
      <c r="E7" s="217"/>
      <c r="F7" s="220">
        <f>IF(项目基本情况!B8="出让",0,'数据-取费表'!B48+'数据-取费表'!B49)</f>
        <v>3.0499999999999999E-2</v>
      </c>
      <c r="G7" s="218"/>
    </row>
    <row r="8" spans="1:9" s="222" customFormat="1">
      <c r="A8" s="774" t="s">
        <v>1476</v>
      </c>
      <c r="B8" s="214" t="s">
        <v>1477</v>
      </c>
      <c r="C8" s="3495">
        <f ca="1">C9+C10</f>
        <v>267</v>
      </c>
      <c r="D8" s="221"/>
      <c r="E8" s="219"/>
      <c r="F8" s="220"/>
      <c r="G8" s="1852" t="s">
        <v>6754</v>
      </c>
    </row>
    <row r="9" spans="1:9" s="213" customFormat="1" ht="13.5" customHeight="1">
      <c r="A9" s="775" t="s">
        <v>355</v>
      </c>
      <c r="B9" s="223" t="s">
        <v>1478</v>
      </c>
      <c r="C9" s="3496">
        <f ca="1">ROUND(D9*E9/10000,0)</f>
        <v>267</v>
      </c>
      <c r="D9" s="841">
        <f ca="1">IF(B1="",'数据-汇总表'!E5,IF(INDIRECT("'数据-取费表'!c"&amp;$G$1)="住宅",INDIRECT("'数据-取费表'!k"&amp;$G$1),0))</f>
        <v>16667</v>
      </c>
      <c r="E9" s="224">
        <f>'数据-取费表'!B27</f>
        <v>160</v>
      </c>
      <c r="F9" s="220"/>
      <c r="G9" s="1853" t="s">
        <v>6756</v>
      </c>
      <c r="H9" s="1133">
        <v>0</v>
      </c>
      <c r="I9" s="1854" t="s">
        <v>1479</v>
      </c>
    </row>
    <row r="10" spans="1:9" s="213" customFormat="1" ht="13.5" customHeight="1">
      <c r="A10" s="775" t="s">
        <v>356</v>
      </c>
      <c r="B10" s="223" t="s">
        <v>1480</v>
      </c>
      <c r="C10" s="3496">
        <f ca="1">ROUND(D10*E10/10000,0)</f>
        <v>0</v>
      </c>
      <c r="D10" s="841">
        <f ca="1">IF(B1="",'数据-汇总表'!E6,IF(INDIRECT("'数据-取费表'!c"&amp;$G$1)="住宅",INDIRECT("'数据-取费表'!s"&amp;$G$1),INDIRECT("'数据-取费表'!k"&amp;$G$1)+INDIRECT("'数据-取费表'!s"&amp;$G$1)))</f>
        <v>0</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16667</v>
      </c>
      <c r="E19" s="210">
        <f>'数据-取费表'!B31</f>
        <v>200</v>
      </c>
      <c r="F19" s="230"/>
      <c r="G19" s="1852" t="s">
        <v>6755</v>
      </c>
    </row>
    <row r="20" spans="1:7" s="213" customFormat="1" ht="13.5" customHeight="1">
      <c r="A20" s="254" t="s">
        <v>1493</v>
      </c>
      <c r="B20" s="209" t="s">
        <v>1494</v>
      </c>
      <c r="C20" s="231">
        <f ca="1">ROUND((C5+C19)*F20,0)</f>
        <v>309</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0">
        <f ca="1">ROUND(SUM(C23:C25),0)</f>
        <v>1217</v>
      </c>
      <c r="D22" s="234">
        <f ca="1">C26</f>
        <v>1.1999999999999999E-3</v>
      </c>
      <c r="E22" s="235" t="s">
        <v>1498</v>
      </c>
      <c r="F22" s="236">
        <f ca="1">'数据-取费表'!B40</f>
        <v>4.7500000000000001E-2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1202</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15</v>
      </c>
      <c r="D25" s="237"/>
      <c r="E25" s="240"/>
      <c r="F25" s="238"/>
      <c r="G25" s="241" t="s">
        <v>1510</v>
      </c>
    </row>
    <row r="26" spans="1:7" s="213" customFormat="1">
      <c r="A26" s="776"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3168</v>
      </c>
      <c r="D27" s="234">
        <f ca="1">C29</f>
        <v>6.3E-3</v>
      </c>
      <c r="E27" s="235" t="s">
        <v>1514</v>
      </c>
      <c r="F27" s="245">
        <f ca="1">IF(B1="",'数据-取费表'!Q16,INDIRECT("'数据-取费表'!q"&amp;$G$1))</f>
        <v>0.25</v>
      </c>
      <c r="G27" s="246" t="s">
        <v>1515</v>
      </c>
    </row>
    <row r="28" spans="1:7" s="213" customFormat="1" ht="13.5" customHeight="1">
      <c r="A28" s="776" t="s">
        <v>346</v>
      </c>
      <c r="B28" s="247" t="s">
        <v>1516</v>
      </c>
      <c r="C28" s="248">
        <f ca="1">ROUND((C5+C19+C20)*F27*'数据-取费表'!B21/'数据-取费表'!B20,0)</f>
        <v>3168</v>
      </c>
      <c r="D28" s="234"/>
      <c r="E28" s="235"/>
      <c r="F28" s="245"/>
      <c r="G28" s="246"/>
    </row>
    <row r="29" spans="1:7" s="213" customFormat="1" ht="13.5" customHeight="1">
      <c r="A29" s="776" t="s">
        <v>347</v>
      </c>
      <c r="B29" s="247" t="s">
        <v>1517</v>
      </c>
      <c r="C29" s="237">
        <f ca="1">ROUND(C21*F27*'数据-取费表'!B21/'数据-取费表'!B20,4)</f>
        <v>6.3E-3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18638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10292</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8334</v>
      </c>
      <c r="D34" s="216"/>
      <c r="E34" s="219"/>
      <c r="F34" s="256">
        <f ca="1">IF('数据-取费表'!B24=0,1,IF(B1="",'数据-取费表'!N16,INDIRECT("'数据-取费表'!n"&amp;$G$1)))</f>
        <v>1</v>
      </c>
      <c r="G34" s="218" t="s">
        <v>1526</v>
      </c>
    </row>
    <row r="35" spans="1:7" ht="13.5" customHeight="1">
      <c r="A35" s="776" t="s">
        <v>351</v>
      </c>
      <c r="B35" s="214" t="s">
        <v>1527</v>
      </c>
      <c r="C35" s="219">
        <f ca="1">ROUND(C34*F35,0)</f>
        <v>667</v>
      </c>
      <c r="D35" s="219"/>
      <c r="E35" s="219"/>
      <c r="F35" s="258">
        <f>'数据-取费表'!B33</f>
        <v>0.08</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833</v>
      </c>
      <c r="D36" s="219"/>
      <c r="E36" s="219"/>
      <c r="F36" s="258">
        <f>'数据-取费表'!B34</f>
        <v>0.1</v>
      </c>
      <c r="G36" s="259" t="s">
        <v>1530</v>
      </c>
    </row>
    <row r="37" spans="1:7" s="257" customFormat="1" ht="13.5" customHeight="1">
      <c r="A37" s="776" t="s">
        <v>353</v>
      </c>
      <c r="B37" s="214" t="s">
        <v>1531</v>
      </c>
      <c r="C37" s="248">
        <f ca="1">ROUND(E37*D37*F34/10000,0)</f>
        <v>333</v>
      </c>
      <c r="D37" s="216">
        <f ca="1">D19</f>
        <v>16667</v>
      </c>
      <c r="E37" s="248">
        <f>'数据-取费表'!B35</f>
        <v>200</v>
      </c>
      <c r="F37" s="258"/>
      <c r="G37" s="260" t="s">
        <v>1532</v>
      </c>
    </row>
    <row r="38" spans="1:7" ht="13.5" customHeight="1">
      <c r="A38" s="776" t="s">
        <v>354</v>
      </c>
      <c r="B38" s="214" t="s">
        <v>1533</v>
      </c>
      <c r="C38" s="219">
        <f ca="1">ROUND(C34*F38,0)</f>
        <v>125</v>
      </c>
      <c r="D38" s="219"/>
      <c r="E38" s="219"/>
      <c r="F38" s="258">
        <f>'数据-取费表'!B36</f>
        <v>1.4999999999999999E-2</v>
      </c>
      <c r="G38" s="218" t="s">
        <v>1528</v>
      </c>
    </row>
    <row r="39" spans="1:7" s="213" customFormat="1" ht="13.5" customHeight="1">
      <c r="A39" s="254" t="s">
        <v>1534</v>
      </c>
      <c r="B39" s="209" t="s">
        <v>1535</v>
      </c>
      <c r="C39" s="231">
        <f ca="1">ROUND(C33*F20,0)</f>
        <v>257</v>
      </c>
      <c r="D39" s="231"/>
      <c r="E39" s="231"/>
      <c r="F39" s="232">
        <f>F20</f>
        <v>2.5000000000000001E-2</v>
      </c>
      <c r="G39" s="233" t="s">
        <v>1536</v>
      </c>
    </row>
    <row r="40" spans="1:7" s="213" customFormat="1" ht="13.5" customHeight="1">
      <c r="A40" s="254" t="s">
        <v>1537</v>
      </c>
      <c r="B40" s="209" t="s">
        <v>1538</v>
      </c>
      <c r="C40" s="1323">
        <f>F21</f>
        <v>2.5000000000000001E-2</v>
      </c>
      <c r="D40" s="235" t="s">
        <v>1539</v>
      </c>
      <c r="E40" s="231"/>
      <c r="F40" s="232">
        <f>F21</f>
        <v>2.5000000000000001E-2</v>
      </c>
      <c r="G40" s="233" t="s">
        <v>1540</v>
      </c>
    </row>
    <row r="41" spans="1:7" s="213" customFormat="1" ht="13.5" customHeight="1">
      <c r="A41" s="254" t="s">
        <v>1541</v>
      </c>
      <c r="B41" s="209" t="s">
        <v>1542</v>
      </c>
      <c r="C41" s="231">
        <f ca="1">ROUND(SUM(C42:C43),0)</f>
        <v>501</v>
      </c>
      <c r="D41" s="234">
        <f ca="1">C44</f>
        <v>1.1999999999999999E-3</v>
      </c>
      <c r="E41" s="235" t="s">
        <v>1539</v>
      </c>
      <c r="F41" s="236">
        <f ca="1">F22</f>
        <v>4.7500000000000001E-2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489</v>
      </c>
      <c r="D42" s="237"/>
      <c r="E42" s="237"/>
      <c r="F42" s="238"/>
      <c r="G42" s="3802" t="s">
        <v>1544</v>
      </c>
    </row>
    <row r="43" spans="1:7" ht="13.5" customHeight="1">
      <c r="A43" s="776" t="s">
        <v>347</v>
      </c>
      <c r="B43" s="214" t="s">
        <v>1545</v>
      </c>
      <c r="C43" s="237">
        <f ca="1">ROUND(IF('数据-取费表'!B22&lt;=1,C39*F22*'数据-取费表'!B21/2,C39*(POWER((1+F22),'数据-取费表'!B21/2)-1)),0)</f>
        <v>12</v>
      </c>
      <c r="D43" s="237"/>
      <c r="E43" s="237"/>
      <c r="F43" s="238"/>
      <c r="G43" s="3803"/>
    </row>
    <row r="44" spans="1:7" ht="13.5" customHeight="1">
      <c r="A44" s="776" t="s">
        <v>348</v>
      </c>
      <c r="B44" s="214" t="s">
        <v>1546</v>
      </c>
      <c r="C44" s="237">
        <f ca="1">ROUND(IF('数据-取费表'!B22&lt;=1,C40*F22*'数据-取费表'!B21/2,C40*(POWER((1+F22),'数据-取费表'!B21/2)-1)),4)</f>
        <v>1.1999999999999999E-3</v>
      </c>
      <c r="D44" s="237"/>
      <c r="E44" s="237"/>
      <c r="F44" s="238"/>
      <c r="G44" s="3804"/>
    </row>
    <row r="45" spans="1:7" s="213" customFormat="1" ht="13.5" customHeight="1">
      <c r="A45" s="254" t="s">
        <v>1547</v>
      </c>
      <c r="B45" s="243" t="s">
        <v>1513</v>
      </c>
      <c r="C45" s="244">
        <f ca="1">C46</f>
        <v>2637</v>
      </c>
      <c r="D45" s="234">
        <f ca="1">C47</f>
        <v>6.3E-3</v>
      </c>
      <c r="E45" s="235" t="s">
        <v>1539</v>
      </c>
      <c r="F45" s="245">
        <f ca="1">F27</f>
        <v>0.25</v>
      </c>
      <c r="G45" s="246" t="s">
        <v>1548</v>
      </c>
    </row>
    <row r="46" spans="1:7" s="213" customFormat="1" ht="13.5" customHeight="1">
      <c r="A46" s="776" t="s">
        <v>346</v>
      </c>
      <c r="B46" s="247" t="s">
        <v>1549</v>
      </c>
      <c r="C46" s="248">
        <f ca="1">ROUND((C33+C39)*F27,0)</f>
        <v>2637</v>
      </c>
      <c r="D46" s="262"/>
      <c r="E46" s="235"/>
      <c r="F46" s="245"/>
      <c r="G46" s="246"/>
    </row>
    <row r="47" spans="1:7" s="213" customFormat="1" ht="13.5" customHeight="1">
      <c r="A47" s="776" t="s">
        <v>347</v>
      </c>
      <c r="B47" s="247" t="s">
        <v>1550</v>
      </c>
      <c r="C47" s="237">
        <f ca="1">ROUND(C40*F27,4)</f>
        <v>6.3E-3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14957</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14658</v>
      </c>
      <c r="D51" s="231"/>
      <c r="E51" s="231"/>
      <c r="F51" s="263"/>
      <c r="G51" s="233" t="s">
        <v>1560</v>
      </c>
    </row>
    <row r="52" spans="1:7" s="207" customFormat="1" ht="16.5" thickBot="1">
      <c r="A52" s="264" t="s">
        <v>1561</v>
      </c>
      <c r="B52" s="265"/>
      <c r="C52" s="266">
        <f ca="1">C31+C51</f>
        <v>33296</v>
      </c>
      <c r="D52" s="265"/>
      <c r="E52" s="265"/>
      <c r="F52" s="265"/>
      <c r="G52" s="267"/>
    </row>
    <row r="55" spans="1:7" ht="15">
      <c r="B55" s="269" t="s">
        <v>1562</v>
      </c>
      <c r="C55" s="270"/>
    </row>
    <row r="56" spans="1:7">
      <c r="B56" s="272" t="s">
        <v>802</v>
      </c>
      <c r="C56" s="274">
        <f ca="1">1-C57</f>
        <v>0.56000000000000005</v>
      </c>
    </row>
    <row r="57" spans="1:7">
      <c r="B57" s="272" t="s">
        <v>803</v>
      </c>
      <c r="C57" s="273">
        <f ca="1">ROUND(C51/C52,3)</f>
        <v>0.44</v>
      </c>
    </row>
  </sheetData>
  <sheetProtection algorithmName="SHA-512" hashValue="A7h8NliqiJMSJRHb2Zeictb6sd8CoCXZUC2cCs15E+hDNtKPx5PlFN3C3sRkr29nolxxRGJ/vzzJHzVYb3KYQg==" saltValue="aiK1BEYGiCQt4cAktOSXbg==" spinCount="100000"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90" zoomScaleNormal="80" zoomScaleSheetLayoutView="90" workbookViewId="0">
      <selection activeCell="C80" sqref="C8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178258</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42779</v>
      </c>
      <c r="C2" s="1995" t="s">
        <v>1935</v>
      </c>
      <c r="D2" s="1996" t="s">
        <v>1936</v>
      </c>
      <c r="E2" s="3417" t="s">
        <v>6380</v>
      </c>
      <c r="F2" s="1996" t="s">
        <v>1937</v>
      </c>
      <c r="G2" s="1997" t="str">
        <f>IF(E2="商业",项目基本情况!B37,IF(E2="办公",项目基本情况!C37,IF(E2="住宅",项目基本情况!D37,IF(E2="工业",项目基本情况!E37,项目基本情况!F37))))</f>
        <v>九级</v>
      </c>
      <c r="H2" s="1996" t="s">
        <v>1938</v>
      </c>
      <c r="I2" s="1997" t="str">
        <f>IF(E2="商业",项目基本情况!B38,IF(E2="办公",项目基本情况!C38,IF(E2="住宅",项目基本情况!D38,IF(E2="工业",项目基本情况!E38,项目基本情况!F38))))</f>
        <v>Ⅸ-房2</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11052</v>
      </c>
      <c r="U2" s="1209"/>
      <c r="V2" s="3357">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2400</v>
      </c>
      <c r="C3" s="1995" t="s">
        <v>1941</v>
      </c>
      <c r="D3" s="1996" t="s">
        <v>1942</v>
      </c>
      <c r="E3" s="3415" t="s">
        <v>6381</v>
      </c>
      <c r="F3" s="2000" t="s">
        <v>6752</v>
      </c>
      <c r="G3" s="748">
        <f>IF(F3="宗地容积率",'数据-汇总表'!I4,IF(F3="估价对象容积率",'数据-汇总表'!I6,'数据-汇总表'!I7))</f>
        <v>1.6</v>
      </c>
      <c r="H3" s="169"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8519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12"/>
      <c r="B4" s="3813"/>
      <c r="C4" s="3813"/>
      <c r="D4" s="3814"/>
      <c r="E4" s="3814"/>
      <c r="F4" s="3814"/>
      <c r="G4" s="3814"/>
      <c r="H4" s="3814"/>
      <c r="I4" s="3814"/>
      <c r="J4" s="3815"/>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6949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6654</v>
      </c>
      <c r="D5" s="1335">
        <f>ROUND(C6*C17+C20,0)</f>
        <v>5767</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5900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5720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5375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3242</v>
      </c>
      <c r="B7" s="2017" t="s">
        <v>1952</v>
      </c>
      <c r="C7" s="751">
        <f>IF(C8="不临65条商业街",1,ROUND(1+(1.6*E8+1.2*E9+0.8*E10+0.4*E11)*C9,4))</f>
        <v>1</v>
      </c>
      <c r="D7" s="2018" t="s">
        <v>1953</v>
      </c>
      <c r="E7" s="772">
        <v>6</v>
      </c>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4"/>
      <c r="T7" s="3357">
        <f t="shared" si="0"/>
        <v>0</v>
      </c>
      <c r="U7" s="1209"/>
      <c r="V7" s="3357">
        <f t="shared" si="1"/>
        <v>0</v>
      </c>
      <c r="W7" s="1354" t="s">
        <v>1955</v>
      </c>
      <c r="X7" s="1210" t="str">
        <f>G2</f>
        <v>九级</v>
      </c>
      <c r="Y7" s="1210" t="s">
        <v>1956</v>
      </c>
      <c r="Z7" s="1211">
        <f>G3</f>
        <v>1.6</v>
      </c>
      <c r="AA7" s="1212"/>
      <c r="AB7" s="1212"/>
      <c r="AC7" s="1213"/>
      <c r="AD7" s="1214"/>
      <c r="AE7" s="1214"/>
      <c r="AF7" s="1214"/>
      <c r="AG7" s="1214"/>
      <c r="AH7" s="1214"/>
      <c r="AI7" s="1214"/>
      <c r="AJ7" s="1215"/>
    </row>
    <row r="8" spans="1:36" ht="15">
      <c r="A8" s="3295"/>
      <c r="B8" s="169" t="s">
        <v>1957</v>
      </c>
      <c r="C8" s="2022"/>
      <c r="D8" s="752" t="s">
        <v>112</v>
      </c>
      <c r="E8" s="753">
        <f>ROUND(C11/E7,4)</f>
        <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9" t="s">
        <v>1960</v>
      </c>
      <c r="X8" s="381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69" t="s">
        <v>1973</v>
      </c>
      <c r="C9" s="754">
        <f>SUMIF(修正!C71:C138,C8,修正!E71:E138)</f>
        <v>0</v>
      </c>
      <c r="D9" s="170" t="s">
        <v>113</v>
      </c>
      <c r="E9" s="170">
        <f>ROUND(C11/E7,4)</f>
        <v>0</v>
      </c>
      <c r="F9" s="2023" t="s">
        <v>1974</v>
      </c>
      <c r="G9" s="2024"/>
      <c r="H9" s="2024"/>
      <c r="I9" s="2024"/>
      <c r="J9" s="2025"/>
      <c r="K9" s="1115"/>
      <c r="L9" s="1999" t="s">
        <v>1975</v>
      </c>
      <c r="M9" s="860">
        <f>SUMPRODUCT((区片价!B277:B326=I2)*(区片价!C3:G3=E2)*(区片价!C277:G326))</f>
        <v>5720</v>
      </c>
      <c r="N9" s="862">
        <f>SUMPRODUCT((因素修正幅度!B277:B326=I2)*(因素修正幅度!C3:G3=E2)*(因素修正幅度!C277:G326))</f>
        <v>0.15</v>
      </c>
      <c r="O9" s="1115"/>
      <c r="P9" s="1115"/>
      <c r="Q9" s="1115"/>
      <c r="R9" s="1208">
        <v>8</v>
      </c>
      <c r="S9" s="1209"/>
      <c r="T9" s="3357">
        <f t="shared" si="0"/>
        <v>0</v>
      </c>
      <c r="U9" s="1209"/>
      <c r="V9" s="3357">
        <f t="shared" si="1"/>
        <v>0</v>
      </c>
      <c r="W9" s="3811"/>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f>ROUND(C11/E7,4)</f>
        <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1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f>ROUND(C11/E7,4)</f>
        <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3247</v>
      </c>
      <c r="B13" s="2030" t="s">
        <v>1982</v>
      </c>
      <c r="C13" s="751">
        <f>ROUND(C16*D16*E16*F16*G16*H16*I16*J16,4)</f>
        <v>1.155</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3248</v>
      </c>
      <c r="G14" s="3308" t="s">
        <v>3248</v>
      </c>
      <c r="H14" s="3308" t="s">
        <v>3248</v>
      </c>
      <c r="I14" s="3308" t="s">
        <v>3248</v>
      </c>
      <c r="J14" s="3308" t="s">
        <v>3248</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t="s">
        <v>6382</v>
      </c>
      <c r="D15" s="2040" t="s">
        <v>6382</v>
      </c>
      <c r="E15" s="2041" t="s">
        <v>6383</v>
      </c>
      <c r="F15" s="3309" t="s">
        <v>3249</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v>1.1000000000000001</v>
      </c>
      <c r="D16" s="3314">
        <v>1.05</v>
      </c>
      <c r="E16" s="3314">
        <v>1</v>
      </c>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0.96709999999999996</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3254</v>
      </c>
      <c r="E19" s="3334"/>
      <c r="F19" s="3335" t="s">
        <v>3257</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16" t="s">
        <v>3259</v>
      </c>
      <c r="B20" s="166" t="s">
        <v>1994</v>
      </c>
      <c r="C20" s="3321">
        <f>ROUND(IF(F21="与级别开发程度一致",0,(G21-E21)/C21),0)</f>
        <v>47</v>
      </c>
      <c r="D20" s="3337" t="s">
        <v>1998</v>
      </c>
      <c r="E20" s="3338"/>
      <c r="F20" s="3822" t="s">
        <v>1995</v>
      </c>
      <c r="G20" s="3823"/>
      <c r="H20" s="3322" t="s">
        <v>6384</v>
      </c>
      <c r="I20" s="3322" t="s">
        <v>6385</v>
      </c>
      <c r="J20" s="3323" t="s">
        <v>6386</v>
      </c>
      <c r="K20" s="2043" t="s">
        <v>6387</v>
      </c>
      <c r="L20" s="2043" t="s">
        <v>6388</v>
      </c>
      <c r="M20" s="2043" t="s">
        <v>6389</v>
      </c>
      <c r="N20" s="2043" t="s">
        <v>6390</v>
      </c>
      <c r="O20" s="2044" t="s">
        <v>6391</v>
      </c>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17"/>
      <c r="B21" s="2160" t="s">
        <v>1997</v>
      </c>
      <c r="C21" s="2161">
        <f>IF(E3="M4科研用地",SUMPRODUCT((修正!A2:A7=E3)*(修正!B1:M1=G2)*(修正!B2:M7)),SUMPRODUCT((修正!A2:A7=E2)*(修正!B1:M1=G2)*(修正!B2:M7)))</f>
        <v>1.5</v>
      </c>
      <c r="D21" s="186" t="str">
        <f>IF(OR(G2="八级",G2="九级",G2="十级",G2="十一级",G2="十二级"),"五通一平","七通一平")</f>
        <v>五通一平</v>
      </c>
      <c r="E21" s="2151">
        <f>SUMPRODUCT((修正!B1:M1=G2)*(修正!B17:M17))</f>
        <v>185</v>
      </c>
      <c r="F21" s="2152" t="s">
        <v>6392</v>
      </c>
      <c r="G21" s="2153">
        <f>SUM(H21:O21)</f>
        <v>255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40</v>
      </c>
      <c r="N21" s="2161">
        <f>SUMPRODUCT((七通一平=N20)*(修正!B1:M1=G2)*(修正!B8:M16))</f>
        <v>30</v>
      </c>
      <c r="O21" s="2163">
        <f>SUMPRODUCT((七通一平=O20)*(修正!B1:M1=G2)*(修正!B8:M16))</f>
        <v>10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0" t="s">
        <v>2002</v>
      </c>
      <c r="E23" s="757">
        <v>44197</v>
      </c>
      <c r="F23" s="2050" t="s">
        <v>2003</v>
      </c>
      <c r="G23" s="758">
        <f>'数据-取费表'!B2</f>
        <v>45159</v>
      </c>
      <c r="H23" s="3339" t="s">
        <v>3260</v>
      </c>
      <c r="I23" s="3340" t="str">
        <f>IF(H23="季度增幅（自定义）",SUMIF(N25:N28,E2,O25:O28),"")</f>
        <v/>
      </c>
      <c r="J23" s="3441" t="s">
        <v>6393</v>
      </c>
      <c r="K23" s="1121"/>
      <c r="L23" s="2051" t="s">
        <v>2004</v>
      </c>
      <c r="M23" s="1324">
        <f>ROUND(SUMIF(地价!B2:G2,E2,地价!B16:G16),0)</f>
        <v>687</v>
      </c>
      <c r="N23" s="2052" t="s">
        <v>2005</v>
      </c>
      <c r="O23" s="759">
        <f>ROUNDDOWN(DATEDIF(E23,G23,"M")/3,0)</f>
        <v>10</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0.98839999999999995</v>
      </c>
      <c r="D24" s="2056" t="s">
        <v>2007</v>
      </c>
      <c r="E24" s="1331">
        <f>存贷款利率!E23/100</f>
        <v>4.3499999999999997E-2</v>
      </c>
      <c r="F24" s="2056" t="s">
        <v>1999</v>
      </c>
      <c r="G24" s="764">
        <f>SUMIF(M30:Q30,E2,M33:Q33)</f>
        <v>0.05</v>
      </c>
      <c r="H24" s="2056" t="s">
        <v>2008</v>
      </c>
      <c r="I24" s="765">
        <f>SUMIF('数据-取费表'!C6:C15,E2,'数据-取费表'!F6:F15)/COUNTIF('数据-取费表'!C6:C15,E2)</f>
        <v>63.97</v>
      </c>
      <c r="J24" s="766">
        <f>IF(E2="住宅",70,IF(E2="商业",40,50))</f>
        <v>70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3339</v>
      </c>
      <c r="C25" s="767">
        <f>IF(B25="容积率修正",IF(G3&lt;10,D26,J26),C27)</f>
        <v>0.98229999999999995</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3261</v>
      </c>
      <c r="D26" s="1348">
        <f>IF(E26=G26,F26,IF(G3&lt;10,ROUND(F26+(H26-F26)*(G3-E26)/(G26-E26),4),"——"))</f>
        <v>0.98229999999999995</v>
      </c>
      <c r="E26" s="748">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748">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1.0217000000000001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42779</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2981</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4">
        <f>ROUND(C5*C22*C23*C24*C25*C28,0)</f>
        <v>7042</v>
      </c>
      <c r="D33" s="2094">
        <f>'数据-汇总表'!F27</f>
        <v>43817</v>
      </c>
      <c r="E33" s="769">
        <f>ROUND(C33*D33/10000,0)</f>
        <v>30856</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f>ROUND(IF(E2="工业",C33*M42,IF(B25="楼层修正",SUM(V2:V16)*M41*10000/D34,C33*M41)),0)</f>
        <v>1761</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3269</v>
      </c>
      <c r="L36" s="3442">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20"/>
      <c r="B37" s="2109" t="s">
        <v>2036</v>
      </c>
      <c r="C37" s="174">
        <f>ROUND(D5*C22*C23*C24*C28*F37,0)</f>
        <v>3106</v>
      </c>
      <c r="D37" s="2094"/>
      <c r="E37" s="170">
        <f>ROUND(C37*D37/10000,0)</f>
        <v>0</v>
      </c>
      <c r="F37" s="170">
        <f>SUMIF(修正!A57:A68,G2,修正!B57:B68)</f>
        <v>0.5</v>
      </c>
      <c r="G37" s="170">
        <f>ROUND(IF(E2="工业",C37*$M$42,C37*$M$41),0)</f>
        <v>777</v>
      </c>
      <c r="H37" s="170">
        <f>D37</f>
        <v>0</v>
      </c>
      <c r="I37" s="170">
        <f>ROUND(G37*H37/10000,0)</f>
        <v>0</v>
      </c>
      <c r="J37" s="3008"/>
      <c r="K37" s="3355" t="s">
        <v>3270</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21"/>
      <c r="B38" s="2037" t="s">
        <v>2037</v>
      </c>
      <c r="C38" s="174">
        <f>ROUND(D5*C22*C23*C24*C28*F38,0)</f>
        <v>1243</v>
      </c>
      <c r="D38" s="2094"/>
      <c r="E38" s="170">
        <f t="shared" ref="E38:E42" si="4">ROUND(C38*D38/10000,0)</f>
        <v>0</v>
      </c>
      <c r="F38" s="170">
        <f>SUMIF(修正!A57:A68,G2,修正!C57:C68)</f>
        <v>0.2</v>
      </c>
      <c r="G38" s="170">
        <f>ROUND(IF(E2="工业",C38*$M$42,C38*$M$41),0)</f>
        <v>311</v>
      </c>
      <c r="H38" s="170">
        <f t="shared" ref="H38:H42" si="5">D38</f>
        <v>0</v>
      </c>
      <c r="I38" s="170">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21"/>
      <c r="B39" s="2037" t="s">
        <v>3263</v>
      </c>
      <c r="C39" s="174">
        <f>ROUND(D5*C22*C23*C24*C28*F39,0)</f>
        <v>1243</v>
      </c>
      <c r="D39" s="2094"/>
      <c r="E39" s="170">
        <f t="shared" si="4"/>
        <v>0</v>
      </c>
      <c r="F39" s="170">
        <f>SUMIF(修正!A57:A68,G2,修正!D57:D68)</f>
        <v>0.2</v>
      </c>
      <c r="G39" s="170">
        <f>ROUND(IF(E2="工业",C39*$M$42,C39*$M$41),0)</f>
        <v>311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0">
        <f>ROUND(D5*C22*C23*C24*C28*F40,0)</f>
        <v>1243</v>
      </c>
      <c r="D40" s="2094"/>
      <c r="E40" s="170">
        <f t="shared" si="4"/>
        <v>0</v>
      </c>
      <c r="F40" s="174">
        <f>SUMIF(修正!A57:A68,G2,修正!E57:E68)</f>
        <v>0.2</v>
      </c>
      <c r="G40" s="170">
        <f>ROUND(IF(E2="工业",C40*$M$42,C40*$M$41),0)</f>
        <v>311</v>
      </c>
      <c r="H40" s="170">
        <f t="shared" si="5"/>
        <v>0</v>
      </c>
      <c r="I40" s="170">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0">
        <f>ROUND(D5*C22*C23*C44*C28*F41,0)</f>
        <v>1216</v>
      </c>
      <c r="D41" s="2094">
        <f>'数据-汇总表'!G22+'数据-汇总表'!G23</f>
        <v>61672</v>
      </c>
      <c r="E41" s="170">
        <f t="shared" si="4"/>
        <v>7499</v>
      </c>
      <c r="F41" s="174">
        <f>SUMIF(修正!A57:A68,G2,修正!F57:F68)</f>
        <v>0.2</v>
      </c>
      <c r="G41" s="170">
        <f>ROUND(IF(E2="工业",C41*$M$42,C41*$M$41),0)</f>
        <v>304</v>
      </c>
      <c r="H41" s="170">
        <f t="shared" si="5"/>
        <v>61672</v>
      </c>
      <c r="I41" s="170">
        <f t="shared" si="6"/>
        <v>1875</v>
      </c>
      <c r="J41" s="2110"/>
      <c r="L41" s="3356" t="s">
        <v>3271</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608</v>
      </c>
      <c r="D42" s="2099">
        <f>'数据-汇总表'!G24</f>
        <v>72769</v>
      </c>
      <c r="E42" s="186">
        <f t="shared" si="4"/>
        <v>4424</v>
      </c>
      <c r="F42" s="763">
        <f>SUMIF(修正!A57:A68,G2,修正!G57:G68)</f>
        <v>0.1</v>
      </c>
      <c r="G42" s="186">
        <f>ROUND(IF(E2="工业",C42*$M$42,C42*$M$41),0)</f>
        <v>152</v>
      </c>
      <c r="H42" s="186">
        <f t="shared" si="5"/>
        <v>72769</v>
      </c>
      <c r="I42" s="186">
        <f t="shared" si="6"/>
        <v>1106</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0.96730000000000005</v>
      </c>
      <c r="D44" s="170" t="s">
        <v>1999</v>
      </c>
      <c r="E44" s="2149">
        <f>G24</f>
        <v>0.05</v>
      </c>
      <c r="F44" s="170" t="s">
        <v>2008</v>
      </c>
      <c r="G44" s="182">
        <f>项目基本情况!F15</f>
        <v>43.97</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hidden="1">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hidden="1">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1.0217000000000001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t="s">
        <v>6394</v>
      </c>
      <c r="D72" s="1061">
        <f t="shared" ref="D72:D80" si="17">SUMIF($J$71:$N$71,C72,J72:N72)</f>
        <v>0</v>
      </c>
      <c r="E72" s="740">
        <f>ROUND(SUM(D72:D80),4)</f>
        <v>2.1700000000000001E-2</v>
      </c>
      <c r="F72" s="1810">
        <f>IF(E2="住宅",SUMIF(L1:L12,G2,N1:N12),"——")</f>
        <v>0.15</v>
      </c>
      <c r="G72" s="1059">
        <f>H72</f>
        <v>1.4999999999999999E-2</v>
      </c>
      <c r="H72" s="1062">
        <f t="shared" ref="H72:H80" si="18">IFERROR(ROUNDDOWN($F$72*I72/2,4),"——")</f>
        <v>1.4999999999999999E-2</v>
      </c>
      <c r="I72" s="3363">
        <v>0.2</v>
      </c>
      <c r="J72" s="1060">
        <f t="shared" ref="J72:J80" si="19">K72+$G72</f>
        <v>0.03</v>
      </c>
      <c r="K72" s="1060">
        <f t="shared" ref="K72:K80" si="20">$L72+$G72</f>
        <v>1.4999999999999999E-2</v>
      </c>
      <c r="L72" s="1060">
        <v>0</v>
      </c>
      <c r="M72" s="1060">
        <f t="shared" ref="M72:N80" si="21">L72-$G72</f>
        <v>-1.4999999999999999E-2</v>
      </c>
      <c r="N72" s="1060">
        <f t="shared" si="21"/>
        <v>-0.03</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t="s">
        <v>6394</v>
      </c>
      <c r="D73" s="1061">
        <f t="shared" si="17"/>
        <v>0</v>
      </c>
      <c r="E73" s="743"/>
      <c r="F73" s="1810"/>
      <c r="G73" s="1059">
        <f t="shared" ref="G73:G80" si="22">H73</f>
        <v>1.95E-2</v>
      </c>
      <c r="H73" s="1062">
        <f t="shared" si="18"/>
        <v>1.95E-2</v>
      </c>
      <c r="I73" s="3363">
        <v>0.26</v>
      </c>
      <c r="J73" s="1060">
        <f t="shared" si="19"/>
        <v>3.9E-2</v>
      </c>
      <c r="K73" s="1060">
        <f t="shared" si="20"/>
        <v>1.95E-2</v>
      </c>
      <c r="L73" s="1060">
        <v>0</v>
      </c>
      <c r="M73" s="1060">
        <f t="shared" si="21"/>
        <v>-1.95E-2</v>
      </c>
      <c r="N73" s="1060">
        <f t="shared" si="21"/>
        <v>-3.9E-2</v>
      </c>
      <c r="AA73" s="1116"/>
      <c r="AB73" s="1116"/>
      <c r="AC73" s="1116"/>
      <c r="AD73" s="1116"/>
      <c r="AE73" s="1116"/>
      <c r="AF73" s="1116"/>
      <c r="AG73" s="1116"/>
      <c r="AH73" s="1116"/>
      <c r="AI73" s="1116"/>
      <c r="AJ73" s="1116"/>
      <c r="AK73" s="1116"/>
    </row>
    <row r="74" spans="1:37" s="1993" customFormat="1" ht="36">
      <c r="A74" s="3365" t="s">
        <v>3273</v>
      </c>
      <c r="B74" s="2130">
        <f>估价对象房地状况!C19</f>
        <v>0</v>
      </c>
      <c r="C74" s="2040" t="s">
        <v>6394</v>
      </c>
      <c r="D74" s="1061">
        <f t="shared" si="17"/>
        <v>0</v>
      </c>
      <c r="E74" s="743"/>
      <c r="F74" s="1810"/>
      <c r="G74" s="1059">
        <f t="shared" si="22"/>
        <v>7.4999999999999997E-3</v>
      </c>
      <c r="H74" s="1062">
        <f t="shared" si="18"/>
        <v>7.4999999999999997E-3</v>
      </c>
      <c r="I74" s="3363">
        <v>0.1</v>
      </c>
      <c r="J74" s="1060">
        <f t="shared" si="19"/>
        <v>1.4999999999999999E-2</v>
      </c>
      <c r="K74" s="1060">
        <f t="shared" si="20"/>
        <v>7.4999999999999997E-3</v>
      </c>
      <c r="L74" s="1060">
        <v>0</v>
      </c>
      <c r="M74" s="1060">
        <f t="shared" si="21"/>
        <v>-7.4999999999999997E-3</v>
      </c>
      <c r="N74" s="1060">
        <f t="shared" si="21"/>
        <v>-1.4999999999999999E-2</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t="s">
        <v>6394</v>
      </c>
      <c r="D75" s="1061">
        <f t="shared" si="17"/>
        <v>0</v>
      </c>
      <c r="E75" s="743"/>
      <c r="F75" s="1810"/>
      <c r="G75" s="1059">
        <f t="shared" si="22"/>
        <v>3.7000000000000002E-3</v>
      </c>
      <c r="H75" s="1062">
        <f t="shared" si="18"/>
        <v>3.7000000000000002E-3</v>
      </c>
      <c r="I75" s="3363">
        <v>0.05</v>
      </c>
      <c r="J75" s="1060">
        <f t="shared" si="19"/>
        <v>7.4000000000000003E-3</v>
      </c>
      <c r="K75" s="1060">
        <f t="shared" si="20"/>
        <v>3.7000000000000002E-3</v>
      </c>
      <c r="L75" s="1060">
        <v>0</v>
      </c>
      <c r="M75" s="1060">
        <f t="shared" si="21"/>
        <v>-3.7000000000000002E-3</v>
      </c>
      <c r="N75" s="1060">
        <f t="shared" si="21"/>
        <v>-7.4000000000000003E-3</v>
      </c>
      <c r="O75" s="1115"/>
      <c r="P75" s="1115"/>
      <c r="Q75" s="1993"/>
      <c r="Z75" s="1994"/>
      <c r="AA75" s="2049"/>
      <c r="AG75" s="1117"/>
      <c r="AK75" s="2049"/>
    </row>
    <row r="76" spans="1:37" ht="25.5">
      <c r="A76" s="2126" t="s">
        <v>2059</v>
      </c>
      <c r="B76" s="1322" t="str">
        <f>估价对象房地状况!C21</f>
        <v>估价对象所在区域公共配套设施齐备情况</v>
      </c>
      <c r="C76" s="2040" t="s">
        <v>6396</v>
      </c>
      <c r="D76" s="1061">
        <f t="shared" si="17"/>
        <v>-6.0000000000000001E-3</v>
      </c>
      <c r="E76" s="743"/>
      <c r="F76" s="1810"/>
      <c r="G76" s="1059">
        <f t="shared" si="22"/>
        <v>6.0000000000000001E-3</v>
      </c>
      <c r="H76" s="1062">
        <f t="shared" si="18"/>
        <v>6.0000000000000001E-3</v>
      </c>
      <c r="I76" s="3363">
        <v>0.08</v>
      </c>
      <c r="J76" s="1060">
        <f t="shared" si="19"/>
        <v>1.2E-2</v>
      </c>
      <c r="K76" s="1060">
        <f t="shared" si="20"/>
        <v>6.0000000000000001E-3</v>
      </c>
      <c r="L76" s="1060">
        <v>0</v>
      </c>
      <c r="M76" s="1060">
        <f t="shared" si="21"/>
        <v>-6.0000000000000001E-3</v>
      </c>
      <c r="N76" s="1060">
        <f t="shared" si="21"/>
        <v>-1.2E-2</v>
      </c>
      <c r="O76" s="1115"/>
      <c r="P76" s="1115"/>
      <c r="Z76" s="1994"/>
      <c r="AA76" s="2049"/>
      <c r="AG76" s="1117"/>
      <c r="AK76" s="2049"/>
    </row>
    <row r="77" spans="1:37" ht="25.5">
      <c r="A77" s="2126" t="s">
        <v>2060</v>
      </c>
      <c r="B77" s="1322" t="str">
        <f>估价对象房地状况!C22</f>
        <v>估价对象所在区域基础设施水平</v>
      </c>
      <c r="C77" s="2040" t="s">
        <v>6397</v>
      </c>
      <c r="D77" s="1061">
        <f t="shared" si="17"/>
        <v>1.34E-2</v>
      </c>
      <c r="E77" s="743"/>
      <c r="F77" s="1810"/>
      <c r="G77" s="1059">
        <f t="shared" si="22"/>
        <v>6.7000000000000002E-3</v>
      </c>
      <c r="H77" s="1062">
        <f t="shared" si="18"/>
        <v>6.7000000000000002E-3</v>
      </c>
      <c r="I77" s="3363">
        <v>0.09</v>
      </c>
      <c r="J77" s="1060">
        <f t="shared" si="19"/>
        <v>1.34E-2</v>
      </c>
      <c r="K77" s="1060">
        <f t="shared" si="20"/>
        <v>6.7000000000000002E-3</v>
      </c>
      <c r="L77" s="1060">
        <v>0</v>
      </c>
      <c r="M77" s="1060">
        <f t="shared" si="21"/>
        <v>-6.7000000000000002E-3</v>
      </c>
      <c r="N77" s="1060">
        <f t="shared" si="21"/>
        <v>-1.34E-2</v>
      </c>
      <c r="O77" s="1115"/>
      <c r="P77" s="1115"/>
      <c r="Z77" s="1994"/>
      <c r="AA77" s="2049"/>
      <c r="AG77" s="1117"/>
      <c r="AK77" s="2049"/>
    </row>
    <row r="78" spans="1:37" ht="24">
      <c r="A78" s="2126" t="s">
        <v>2057</v>
      </c>
      <c r="B78" s="2132" t="s">
        <v>2058</v>
      </c>
      <c r="C78" s="2040" t="s">
        <v>6394</v>
      </c>
      <c r="D78" s="1061">
        <f t="shared" si="17"/>
        <v>0</v>
      </c>
      <c r="E78" s="743"/>
      <c r="F78" s="1810"/>
      <c r="G78" s="1059">
        <f t="shared" si="22"/>
        <v>3.7000000000000002E-3</v>
      </c>
      <c r="H78" s="1062">
        <f t="shared" si="18"/>
        <v>3.7000000000000002E-3</v>
      </c>
      <c r="I78" s="3363">
        <v>0.05</v>
      </c>
      <c r="J78" s="1060">
        <f t="shared" si="19"/>
        <v>7.4000000000000003E-3</v>
      </c>
      <c r="K78" s="1060">
        <f t="shared" si="20"/>
        <v>3.7000000000000002E-3</v>
      </c>
      <c r="L78" s="1060">
        <v>0</v>
      </c>
      <c r="M78" s="1060">
        <f t="shared" si="21"/>
        <v>-3.7000000000000002E-3</v>
      </c>
      <c r="N78" s="1060">
        <f t="shared" si="21"/>
        <v>-7.4000000000000003E-3</v>
      </c>
      <c r="O78" s="1993"/>
      <c r="P78" s="1993"/>
      <c r="Z78" s="1994"/>
      <c r="AA78" s="2049"/>
      <c r="AG78" s="1117"/>
      <c r="AK78" s="2049"/>
    </row>
    <row r="79" spans="1:37" ht="25.5">
      <c r="A79" s="2126" t="s">
        <v>2061</v>
      </c>
      <c r="B79" s="2129" t="str">
        <f>估价对象房地状况!C20</f>
        <v>区域自然环境：；人文环境；综合评价环境状况一般</v>
      </c>
      <c r="C79" s="2040" t="s">
        <v>6397</v>
      </c>
      <c r="D79" s="1061">
        <f t="shared" si="17"/>
        <v>1.7999999999999999E-2</v>
      </c>
      <c r="E79" s="743"/>
      <c r="F79" s="1810"/>
      <c r="G79" s="1059">
        <f t="shared" si="22"/>
        <v>8.9999999999999993E-3</v>
      </c>
      <c r="H79" s="1062">
        <f t="shared" si="18"/>
        <v>8.9999999999999993E-3</v>
      </c>
      <c r="I79" s="3363">
        <v>0.12</v>
      </c>
      <c r="J79" s="1060">
        <f t="shared" si="19"/>
        <v>1.7999999999999999E-2</v>
      </c>
      <c r="K79" s="1060">
        <f t="shared" si="20"/>
        <v>8.9999999999999993E-3</v>
      </c>
      <c r="L79" s="1060">
        <v>0</v>
      </c>
      <c r="M79" s="1060">
        <f t="shared" si="21"/>
        <v>-8.9999999999999993E-3</v>
      </c>
      <c r="N79" s="1060">
        <f t="shared" si="21"/>
        <v>-1.7999999999999999E-2</v>
      </c>
      <c r="Z79" s="1994"/>
      <c r="AA79" s="2049"/>
      <c r="AG79" s="1117"/>
      <c r="AK79" s="2049"/>
    </row>
    <row r="80" spans="1:37" ht="24.75" thickBot="1">
      <c r="A80" s="2134" t="s">
        <v>2068</v>
      </c>
      <c r="B80" s="2138"/>
      <c r="C80" s="2040" t="s">
        <v>6396</v>
      </c>
      <c r="D80" s="1061">
        <f t="shared" si="17"/>
        <v>-3.7000000000000002E-3</v>
      </c>
      <c r="E80" s="744"/>
      <c r="F80" s="1810"/>
      <c r="G80" s="1059">
        <f t="shared" si="22"/>
        <v>3.7000000000000002E-3</v>
      </c>
      <c r="H80" s="1062">
        <f t="shared" si="18"/>
        <v>3.7000000000000002E-3</v>
      </c>
      <c r="I80" s="3364">
        <v>0.05</v>
      </c>
      <c r="J80" s="1060">
        <f t="shared" si="19"/>
        <v>7.4000000000000003E-3</v>
      </c>
      <c r="K80" s="1060">
        <f t="shared" si="20"/>
        <v>3.7000000000000002E-3</v>
      </c>
      <c r="L80" s="1060">
        <v>0</v>
      </c>
      <c r="M80" s="1060">
        <f t="shared" si="21"/>
        <v>-3.7000000000000002E-3</v>
      </c>
      <c r="N80" s="1060">
        <f t="shared" si="21"/>
        <v>-7.4000000000000003E-3</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3274</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6"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3277</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6" t="str">
        <f>IFERROR(ROUNDDOWN($F$93*I94/2,4),"——")</f>
        <v>——</v>
      </c>
      <c r="I94" s="3363">
        <v>0.26</v>
      </c>
      <c r="J94" s="3341">
        <f t="shared" si="28"/>
        <v>0</v>
      </c>
      <c r="K94" s="3341">
        <f t="shared" si="29"/>
        <v>0</v>
      </c>
      <c r="L94" s="3341">
        <v>0</v>
      </c>
      <c r="M94" s="3341">
        <f t="shared" si="30"/>
        <v>0</v>
      </c>
      <c r="N94" s="3341">
        <f t="shared" si="30"/>
        <v>0</v>
      </c>
    </row>
    <row r="95" spans="1:37" ht="36">
      <c r="A95" s="3365" t="s">
        <v>3273</v>
      </c>
      <c r="B95" s="3366">
        <f>估价对象房地状况!C19</f>
        <v>0</v>
      </c>
      <c r="C95" s="2040"/>
      <c r="D95" s="3362">
        <f t="shared" si="31"/>
        <v>0</v>
      </c>
      <c r="E95" s="3379"/>
      <c r="F95" s="1810"/>
      <c r="G95" s="3369"/>
      <c r="H95" s="3416"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3278</v>
      </c>
      <c r="B96" s="3381" t="s">
        <v>3289</v>
      </c>
      <c r="C96" s="2040"/>
      <c r="D96" s="3362">
        <f t="shared" si="31"/>
        <v>0</v>
      </c>
      <c r="E96" s="3379"/>
      <c r="F96" s="1810"/>
      <c r="G96" s="3369"/>
      <c r="H96" s="3416" t="str">
        <f t="shared" si="32"/>
        <v>——</v>
      </c>
      <c r="I96" s="3363">
        <v>0.05</v>
      </c>
      <c r="J96" s="3341">
        <f t="shared" si="28"/>
        <v>0</v>
      </c>
      <c r="K96" s="3341">
        <f t="shared" si="29"/>
        <v>0</v>
      </c>
      <c r="L96" s="3341">
        <v>0</v>
      </c>
      <c r="M96" s="3341">
        <f t="shared" si="30"/>
        <v>0</v>
      </c>
      <c r="N96" s="3341">
        <f t="shared" si="30"/>
        <v>0</v>
      </c>
    </row>
    <row r="97" spans="1:14" ht="24">
      <c r="A97" s="3375" t="s">
        <v>3279</v>
      </c>
      <c r="B97" s="3366">
        <f>估价对象房地状况!C24</f>
        <v>0</v>
      </c>
      <c r="C97" s="2040"/>
      <c r="D97" s="3362">
        <f t="shared" si="31"/>
        <v>0</v>
      </c>
      <c r="E97" s="3379"/>
      <c r="F97" s="1810"/>
      <c r="G97" s="3369"/>
      <c r="H97" s="3416" t="str">
        <f t="shared" si="32"/>
        <v>——</v>
      </c>
      <c r="I97" s="3363">
        <v>0.05</v>
      </c>
      <c r="J97" s="3341">
        <f t="shared" si="28"/>
        <v>0</v>
      </c>
      <c r="K97" s="3341">
        <f t="shared" si="29"/>
        <v>0</v>
      </c>
      <c r="L97" s="3341">
        <v>0</v>
      </c>
      <c r="M97" s="3341">
        <f t="shared" si="30"/>
        <v>0</v>
      </c>
      <c r="N97" s="3341">
        <f t="shared" si="30"/>
        <v>0</v>
      </c>
    </row>
    <row r="98" spans="1:14" ht="24">
      <c r="A98" s="3375" t="s">
        <v>3280</v>
      </c>
      <c r="B98" s="3382" t="s">
        <v>3290</v>
      </c>
      <c r="C98" s="2040"/>
      <c r="D98" s="3362">
        <f t="shared" si="31"/>
        <v>0</v>
      </c>
      <c r="E98" s="3379"/>
      <c r="F98" s="1810"/>
      <c r="G98" s="3369"/>
      <c r="H98" s="3416" t="str">
        <f t="shared" si="32"/>
        <v>——</v>
      </c>
      <c r="I98" s="3363">
        <v>0.06</v>
      </c>
      <c r="J98" s="3341">
        <f t="shared" si="28"/>
        <v>0</v>
      </c>
      <c r="K98" s="3341">
        <f t="shared" si="29"/>
        <v>0</v>
      </c>
      <c r="L98" s="3341">
        <v>0</v>
      </c>
      <c r="M98" s="3341">
        <f t="shared" si="30"/>
        <v>0</v>
      </c>
      <c r="N98" s="3341">
        <f t="shared" si="30"/>
        <v>0</v>
      </c>
    </row>
    <row r="99" spans="1:14" ht="25.5">
      <c r="A99" s="3375" t="s">
        <v>3281</v>
      </c>
      <c r="B99" s="3366" t="str">
        <f>估价对象房地状况!C21</f>
        <v>估价对象所在区域公共配套设施齐备情况</v>
      </c>
      <c r="C99" s="2040"/>
      <c r="D99" s="3362">
        <f t="shared" si="31"/>
        <v>0</v>
      </c>
      <c r="E99" s="3379"/>
      <c r="F99" s="1810"/>
      <c r="G99" s="3369"/>
      <c r="H99" s="3416" t="str">
        <f t="shared" si="32"/>
        <v>——</v>
      </c>
      <c r="I99" s="3363">
        <v>0.06</v>
      </c>
      <c r="J99" s="3341">
        <f t="shared" si="28"/>
        <v>0</v>
      </c>
      <c r="K99" s="3341">
        <f t="shared" si="29"/>
        <v>0</v>
      </c>
      <c r="L99" s="3341">
        <v>0</v>
      </c>
      <c r="M99" s="3341">
        <f t="shared" si="30"/>
        <v>0</v>
      </c>
      <c r="N99" s="3341">
        <f t="shared" si="30"/>
        <v>0</v>
      </c>
    </row>
    <row r="100" spans="1:14" ht="25.5">
      <c r="A100" s="3375" t="s">
        <v>3282</v>
      </c>
      <c r="B100" s="3366" t="str">
        <f>估价对象房地状况!C22</f>
        <v>估价对象所在区域基础设施水平</v>
      </c>
      <c r="C100" s="2040"/>
      <c r="D100" s="3362">
        <f t="shared" si="31"/>
        <v>0</v>
      </c>
      <c r="E100" s="3379"/>
      <c r="F100" s="1810"/>
      <c r="G100" s="3369"/>
      <c r="H100" s="3416" t="str">
        <f t="shared" si="32"/>
        <v>——</v>
      </c>
      <c r="I100" s="3363">
        <v>0.09</v>
      </c>
      <c r="J100" s="3341">
        <f t="shared" si="28"/>
        <v>0</v>
      </c>
      <c r="K100" s="3341">
        <f t="shared" si="29"/>
        <v>0</v>
      </c>
      <c r="L100" s="3341">
        <v>0</v>
      </c>
      <c r="M100" s="3341">
        <f t="shared" si="30"/>
        <v>0</v>
      </c>
      <c r="N100" s="3341">
        <f t="shared" si="30"/>
        <v>0</v>
      </c>
    </row>
    <row r="101" spans="1:14" ht="26.25" thickBot="1">
      <c r="A101" s="3376" t="s">
        <v>3283</v>
      </c>
      <c r="B101" s="3383" t="str">
        <f>估价对象房地状况!C20</f>
        <v>区域自然环境：；人文环境；综合评价环境状况一般</v>
      </c>
      <c r="C101" s="2040"/>
      <c r="D101" s="3362">
        <f t="shared" si="31"/>
        <v>0</v>
      </c>
      <c r="E101" s="3380"/>
      <c r="F101" s="1810"/>
      <c r="G101" s="3369"/>
      <c r="H101" s="3416" t="str">
        <f t="shared" si="32"/>
        <v>——</v>
      </c>
      <c r="I101" s="3364">
        <v>7.0000000000000007E-2</v>
      </c>
      <c r="J101" s="3341">
        <f t="shared" si="28"/>
        <v>0</v>
      </c>
      <c r="K101" s="3341">
        <f t="shared" si="29"/>
        <v>0</v>
      </c>
      <c r="L101" s="3341">
        <v>0</v>
      </c>
      <c r="M101" s="3341">
        <f t="shared" si="30"/>
        <v>0</v>
      </c>
      <c r="N101" s="3341">
        <f t="shared" si="30"/>
        <v>0</v>
      </c>
    </row>
    <row r="103" spans="1:14">
      <c r="A103" s="3818" t="s">
        <v>3298</v>
      </c>
      <c r="B103" s="3818"/>
      <c r="C103" s="3818"/>
      <c r="D103" s="3818"/>
      <c r="E103" s="3818"/>
      <c r="F103" s="3818"/>
      <c r="G103" s="3818"/>
      <c r="H103" s="3818"/>
      <c r="I103" s="3818"/>
      <c r="J103" s="3818"/>
      <c r="K103" s="3386"/>
      <c r="L103" s="3386"/>
      <c r="M103" s="3386"/>
      <c r="N103" s="3386"/>
    </row>
    <row r="104" spans="1:14">
      <c r="A104" s="3819" t="s">
        <v>3299</v>
      </c>
      <c r="B104" s="3819" t="s">
        <v>3300</v>
      </c>
      <c r="C104" s="3387" t="s">
        <v>3301</v>
      </c>
      <c r="D104" s="3388"/>
      <c r="E104" s="3388"/>
      <c r="F104" s="3388"/>
      <c r="G104" s="3388"/>
      <c r="H104" s="3388"/>
      <c r="I104" s="3388"/>
      <c r="J104" s="3389"/>
      <c r="K104" s="3390"/>
      <c r="L104" s="3390"/>
      <c r="M104" s="3390"/>
      <c r="N104" s="3390"/>
    </row>
    <row r="105" spans="1:14">
      <c r="A105" s="3819"/>
      <c r="B105" s="3819"/>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805"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6"/>
      <c r="B111" s="3391" t="s">
        <v>3272</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807"/>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808" t="s">
        <v>3315</v>
      </c>
      <c r="B113" s="3808"/>
      <c r="C113" s="3808"/>
      <c r="D113" s="3808"/>
      <c r="E113" s="3808"/>
      <c r="F113" s="3808"/>
      <c r="G113" s="3808"/>
      <c r="H113" s="3808"/>
      <c r="I113" s="3808"/>
      <c r="J113" s="380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1.6</v>
      </c>
      <c r="C116" s="3396" t="s">
        <v>3317</v>
      </c>
      <c r="D116" s="3397">
        <f>SUMPRODUCT((A118:A122=F116)*(B117:M117=H116)*B118:M122)</f>
        <v>0.76690000000000003</v>
      </c>
      <c r="E116" s="1996" t="s">
        <v>3318</v>
      </c>
      <c r="F116" s="3398" t="str">
        <f>E2</f>
        <v>住宅</v>
      </c>
      <c r="G116" s="1996" t="s">
        <v>3319</v>
      </c>
      <c r="H116" s="3398" t="str">
        <f>G2</f>
        <v>九级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0.97919999999999996</v>
      </c>
      <c r="C118" s="3384">
        <f>B118</f>
        <v>0.97919999999999996</v>
      </c>
      <c r="D118" s="3384">
        <f>ROUND(0.949-0.014*B116,4)</f>
        <v>0.92659999999999998</v>
      </c>
      <c r="E118" s="3384">
        <f>D118</f>
        <v>0.92659999999999998</v>
      </c>
      <c r="F118" s="3384">
        <f>E118</f>
        <v>0.92659999999999998</v>
      </c>
      <c r="G118" s="3384">
        <f>F118</f>
        <v>0.92659999999999998</v>
      </c>
      <c r="H118" s="3384">
        <f>G118</f>
        <v>0.92659999999999998</v>
      </c>
      <c r="I118" s="3384">
        <f>ROUND(0.8486-0.018*B116,4)</f>
        <v>0.81979999999999997</v>
      </c>
      <c r="J118" s="3384">
        <f t="shared" ref="J118:M122" si="36">I118</f>
        <v>0.81979999999999997</v>
      </c>
      <c r="K118" s="3384">
        <f t="shared" si="36"/>
        <v>0.81979999999999997</v>
      </c>
      <c r="L118" s="3384">
        <f t="shared" si="36"/>
        <v>0.81979999999999997</v>
      </c>
      <c r="M118" s="3407">
        <f t="shared" si="36"/>
        <v>0.81979999999999997</v>
      </c>
      <c r="N118" s="3394"/>
    </row>
    <row r="119" spans="1:14">
      <c r="A119" s="3406" t="s">
        <v>3333</v>
      </c>
      <c r="B119" s="3384">
        <f>ROUND(0.993-0.0112*B116,4)</f>
        <v>0.97509999999999997</v>
      </c>
      <c r="C119" s="3384">
        <f>B119</f>
        <v>0.97509999999999997</v>
      </c>
      <c r="D119" s="3384">
        <f>ROUND(0.9415-0.0142*B116,4)</f>
        <v>0.91879999999999995</v>
      </c>
      <c r="E119" s="3384">
        <f t="shared" ref="E119:H120" si="37">D119</f>
        <v>0.91879999999999995</v>
      </c>
      <c r="F119" s="3384">
        <f t="shared" si="37"/>
        <v>0.91879999999999995</v>
      </c>
      <c r="G119" s="3384">
        <f t="shared" si="37"/>
        <v>0.91879999999999995</v>
      </c>
      <c r="H119" s="3384">
        <f t="shared" si="37"/>
        <v>0.91879999999999995</v>
      </c>
      <c r="I119" s="3384">
        <f>ROUND(0.838-0.0182*B116,4)</f>
        <v>0.80889999999999995</v>
      </c>
      <c r="J119" s="3384">
        <f t="shared" si="36"/>
        <v>0.80889999999999995</v>
      </c>
      <c r="K119" s="3384">
        <f t="shared" si="36"/>
        <v>0.80889999999999995</v>
      </c>
      <c r="L119" s="3384">
        <f t="shared" si="36"/>
        <v>0.80889999999999995</v>
      </c>
      <c r="M119" s="3407">
        <f t="shared" si="36"/>
        <v>0.80889999999999995</v>
      </c>
      <c r="N119" s="3394"/>
    </row>
    <row r="120" spans="1:14">
      <c r="A120" s="3406" t="s">
        <v>3334</v>
      </c>
      <c r="B120" s="3384">
        <f>ROUND(0.9448-0.0115*B116,4)</f>
        <v>0.9264</v>
      </c>
      <c r="C120" s="3384">
        <f>B120</f>
        <v>0.9264</v>
      </c>
      <c r="D120" s="3384">
        <f>ROUND(0.937-0.0145*B116,4)</f>
        <v>0.91379999999999995</v>
      </c>
      <c r="E120" s="3384">
        <f t="shared" si="37"/>
        <v>0.91379999999999995</v>
      </c>
      <c r="F120" s="3384">
        <f t="shared" si="37"/>
        <v>0.91379999999999995</v>
      </c>
      <c r="G120" s="3384">
        <f t="shared" si="37"/>
        <v>0.91379999999999995</v>
      </c>
      <c r="H120" s="3384">
        <f t="shared" si="37"/>
        <v>0.91379999999999995</v>
      </c>
      <c r="I120" s="3384">
        <f>ROUND(0.7965-0.0185*B116,4)</f>
        <v>0.76690000000000003</v>
      </c>
      <c r="J120" s="3384">
        <f t="shared" si="36"/>
        <v>0.76690000000000003</v>
      </c>
      <c r="K120" s="3384">
        <f t="shared" si="36"/>
        <v>0.76690000000000003</v>
      </c>
      <c r="L120" s="3384">
        <f t="shared" si="36"/>
        <v>0.76690000000000003</v>
      </c>
      <c r="M120" s="3407">
        <f t="shared" si="36"/>
        <v>0.76690000000000003</v>
      </c>
      <c r="N120" s="3394"/>
    </row>
    <row r="121" spans="1:14" ht="13.5" thickBot="1">
      <c r="A121" s="3408" t="s">
        <v>3335</v>
      </c>
      <c r="B121" s="3409">
        <f>ROUND(0.7836-0.012*B116,4)</f>
        <v>0.76439999999999997</v>
      </c>
      <c r="C121" s="3409">
        <f>B121</f>
        <v>0.76439999999999997</v>
      </c>
      <c r="D121" s="3409">
        <f>ROUND(0.753-0.015*B116,4)</f>
        <v>0.72899999999999998</v>
      </c>
      <c r="E121" s="3409">
        <f>D121</f>
        <v>0.72899999999999998</v>
      </c>
      <c r="F121" s="3409">
        <f>E121</f>
        <v>0.72899999999999998</v>
      </c>
      <c r="G121" s="3409">
        <f>ROUND(0.6612-0.018*B116,4)</f>
        <v>0.63239999999999996</v>
      </c>
      <c r="H121" s="3409">
        <f>G121</f>
        <v>0.63239999999999996</v>
      </c>
      <c r="I121" s="3409">
        <f>ROUND(0.5905-0.019*B116,4)</f>
        <v>0.56010000000000004</v>
      </c>
      <c r="J121" s="3409">
        <f t="shared" si="36"/>
        <v>0.56010000000000004</v>
      </c>
      <c r="K121" s="3409">
        <f t="shared" si="36"/>
        <v>0.56010000000000004</v>
      </c>
      <c r="L121" s="3409">
        <f t="shared" si="36"/>
        <v>0.56010000000000004</v>
      </c>
      <c r="M121" s="3410">
        <f t="shared" si="36"/>
        <v>0.56010000000000004</v>
      </c>
      <c r="N121" s="3394"/>
    </row>
    <row r="122" spans="1:14">
      <c r="A122" s="3411" t="s">
        <v>2615</v>
      </c>
      <c r="B122" s="3384">
        <f>ROUND(0.9404-0.0106*B116,4)</f>
        <v>0.9234</v>
      </c>
      <c r="C122" s="3384">
        <f>B122</f>
        <v>0.9234</v>
      </c>
      <c r="D122" s="3384">
        <f>ROUND(0.8955-0.0135*B116,4)</f>
        <v>0.87390000000000001</v>
      </c>
      <c r="E122" s="3384">
        <f t="shared" ref="E122:H122" si="38">D122</f>
        <v>0.87390000000000001</v>
      </c>
      <c r="F122" s="3384">
        <f t="shared" si="38"/>
        <v>0.87390000000000001</v>
      </c>
      <c r="G122" s="3384">
        <f t="shared" si="38"/>
        <v>0.87390000000000001</v>
      </c>
      <c r="H122" s="3384">
        <f t="shared" si="38"/>
        <v>0.87390000000000001</v>
      </c>
      <c r="I122" s="3384">
        <f>ROUND(0.7632-0.0166*B116,4)</f>
        <v>0.73660000000000003</v>
      </c>
      <c r="J122" s="3384">
        <f t="shared" si="36"/>
        <v>0.73660000000000003</v>
      </c>
      <c r="K122" s="3384">
        <f t="shared" si="36"/>
        <v>0.73660000000000003</v>
      </c>
      <c r="L122" s="3384">
        <f t="shared" si="36"/>
        <v>0.73660000000000003</v>
      </c>
      <c r="M122" s="3407">
        <f t="shared" si="36"/>
        <v>0.73660000000000003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15" sqref="I15"/>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824" t="s">
        <v>2286</v>
      </c>
      <c r="B1" s="3825"/>
      <c r="C1" s="3825"/>
      <c r="D1" s="3825"/>
      <c r="E1" s="3825"/>
      <c r="F1" s="3825"/>
      <c r="G1" s="382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2" t="s">
        <v>2254</v>
      </c>
      <c r="C4" s="2464" t="s">
        <v>2255</v>
      </c>
      <c r="D4" s="2461"/>
      <c r="E4" s="2465"/>
      <c r="F4" s="1369" t="s">
        <v>2256</v>
      </c>
      <c r="G4" s="2466" t="s">
        <v>2257</v>
      </c>
      <c r="H4" s="795"/>
      <c r="I4" s="795"/>
      <c r="J4" s="795"/>
      <c r="K4" s="795"/>
      <c r="L4" s="795"/>
      <c r="M4" s="795"/>
      <c r="N4" s="795"/>
      <c r="O4" s="795"/>
      <c r="P4" s="795"/>
      <c r="Q4" s="795"/>
      <c r="R4" s="795"/>
    </row>
    <row r="5" spans="1:29" ht="36.75">
      <c r="A5" s="2438"/>
      <c r="B5" s="322" t="s">
        <v>2258</v>
      </c>
      <c r="C5" s="2464" t="s">
        <v>2259</v>
      </c>
      <c r="D5" s="2461"/>
      <c r="E5" s="2465"/>
      <c r="F5" s="322" t="s">
        <v>2260</v>
      </c>
      <c r="G5" s="2466" t="s">
        <v>2261</v>
      </c>
      <c r="H5" s="795"/>
      <c r="I5" s="795"/>
      <c r="J5" s="795"/>
      <c r="K5" s="795"/>
      <c r="L5" s="795"/>
      <c r="M5" s="795"/>
      <c r="N5" s="795"/>
      <c r="O5" s="795"/>
      <c r="P5" s="795"/>
      <c r="Q5" s="795"/>
      <c r="R5" s="795"/>
    </row>
    <row r="6" spans="1:29" ht="36">
      <c r="A6" s="2438"/>
      <c r="B6" s="322" t="s">
        <v>2262</v>
      </c>
      <c r="C6" s="2466" t="s">
        <v>2257</v>
      </c>
      <c r="D6" s="2461"/>
      <c r="E6" s="2465"/>
      <c r="F6" s="322" t="s">
        <v>2263</v>
      </c>
      <c r="G6" s="2466" t="s">
        <v>2264</v>
      </c>
      <c r="H6" s="795"/>
      <c r="I6" s="795"/>
      <c r="J6" s="795"/>
      <c r="K6" s="795"/>
      <c r="L6" s="795"/>
      <c r="M6" s="795"/>
      <c r="N6" s="795"/>
      <c r="O6" s="795"/>
      <c r="P6" s="795"/>
      <c r="Q6" s="795"/>
      <c r="R6" s="795"/>
    </row>
    <row r="7" spans="1:29" ht="24.75" thickBot="1">
      <c r="A7" s="2438"/>
      <c r="B7" s="322" t="s">
        <v>2260</v>
      </c>
      <c r="C7" s="2466" t="s">
        <v>2261</v>
      </c>
      <c r="D7" s="2467"/>
      <c r="E7" s="2468"/>
      <c r="F7" s="2469" t="s">
        <v>2265</v>
      </c>
      <c r="G7" s="2470" t="s">
        <v>2266</v>
      </c>
      <c r="H7" s="795"/>
      <c r="I7" s="795"/>
      <c r="J7" s="795"/>
      <c r="K7" s="795"/>
      <c r="L7" s="795"/>
      <c r="M7" s="795"/>
      <c r="N7" s="795"/>
      <c r="O7" s="795"/>
      <c r="P7" s="795"/>
      <c r="Q7" s="795"/>
      <c r="R7" s="795"/>
    </row>
    <row r="8" spans="1:29">
      <c r="A8" s="2438"/>
      <c r="B8" s="322" t="s">
        <v>2263</v>
      </c>
      <c r="C8" s="2466" t="s">
        <v>2264</v>
      </c>
      <c r="D8" s="2467"/>
      <c r="E8" s="2467"/>
      <c r="F8" s="2471"/>
      <c r="G8" s="2471"/>
      <c r="H8" s="795"/>
      <c r="I8" s="795"/>
      <c r="J8" s="795"/>
      <c r="K8" s="795"/>
      <c r="L8" s="795"/>
      <c r="M8" s="795"/>
      <c r="N8" s="795"/>
      <c r="O8" s="795"/>
      <c r="P8" s="795"/>
      <c r="Q8" s="795"/>
      <c r="R8" s="795"/>
    </row>
    <row r="9" spans="1:29" ht="24">
      <c r="A9" s="2438"/>
      <c r="B9" s="322"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2"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2" t="s">
        <v>2263</v>
      </c>
      <c r="G20" s="2499" t="str">
        <f>G6</f>
        <v>估价对象所在区域基础设施水平</v>
      </c>
    </row>
    <row r="21" spans="1:18" ht="25.5">
      <c r="A21" s="2442"/>
      <c r="B21" s="322" t="s">
        <v>2260</v>
      </c>
      <c r="C21" s="2499" t="str">
        <f>C7</f>
        <v>估价对象所在区域公共配套设施齐备情况</v>
      </c>
      <c r="D21" s="2461"/>
      <c r="E21" s="2443"/>
      <c r="F21" s="2498" t="s">
        <v>2278</v>
      </c>
      <c r="G21" s="2501"/>
    </row>
    <row r="22" spans="1:18" ht="13.5" customHeight="1">
      <c r="A22" s="2442"/>
      <c r="B22" s="322"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7"/>
      <c r="C1" s="1188"/>
      <c r="D1" s="1186"/>
      <c r="E1" s="2802"/>
      <c r="F1" s="2802"/>
      <c r="G1" s="2667"/>
      <c r="H1" s="2802"/>
      <c r="I1" s="2802"/>
      <c r="J1" s="2802"/>
      <c r="K1" s="2803">
        <f>MATCH(C1,'数据-取费表'!A6:A16,0)+5</f>
        <v>12</v>
      </c>
    </row>
    <row r="2" spans="1:33" ht="18" customHeight="1">
      <c r="A2" s="200" t="s">
        <v>1462</v>
      </c>
      <c r="B2" s="203">
        <f ca="1">C32</f>
        <v>-3515</v>
      </c>
      <c r="C2" s="275" t="s">
        <v>1595</v>
      </c>
      <c r="D2" s="275"/>
      <c r="E2" s="2802"/>
      <c r="F2" s="2802"/>
      <c r="G2" s="2802"/>
      <c r="H2" s="2802"/>
      <c r="I2" s="2802"/>
      <c r="J2" s="2802"/>
      <c r="K2" s="2802"/>
    </row>
    <row r="3" spans="1:33" ht="18" customHeight="1" thickBot="1">
      <c r="A3" s="202" t="s">
        <v>1464</v>
      </c>
      <c r="B3" s="203">
        <f ca="1">ROUND(B2*10000/IF(C1="",'数据-汇总表'!E3,INDIRECT("'数据-取费表'!K"&amp;$K$1)),0)</f>
        <v>-197</v>
      </c>
      <c r="C3" s="275" t="s">
        <v>1596</v>
      </c>
      <c r="D3" s="275"/>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3"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0.08</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178258</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178258</v>
      </c>
      <c r="E17" s="21">
        <f>'数据-取费表'!B32</f>
        <v>0</v>
      </c>
      <c r="F17" s="802"/>
      <c r="G17" s="130"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3123</v>
      </c>
      <c r="D18" s="842"/>
      <c r="E18" s="21"/>
      <c r="F18" s="800"/>
      <c r="G18" s="1858"/>
      <c r="H18" s="1183"/>
      <c r="I18" s="1859" t="s">
        <v>1625</v>
      </c>
      <c r="J18" s="803"/>
      <c r="K18" s="804"/>
    </row>
    <row r="19" spans="1:33" s="799" customFormat="1" ht="13.5" customHeight="1">
      <c r="A19" s="796" t="s">
        <v>360</v>
      </c>
      <c r="B19" s="797" t="s">
        <v>1626</v>
      </c>
      <c r="C19" s="21">
        <f ca="1">ROUND(D19*E19/10000,0)</f>
        <v>701</v>
      </c>
      <c r="D19" s="842">
        <f ca="1">IF(C1="",'数据-汇总表'!E5,IF(INDIRECT("'数据-取费表'!c"&amp;$K$1)="住宅",INDIRECT("'数据-取费表'!k"&amp;$K$1),0))</f>
        <v>43817</v>
      </c>
      <c r="E19" s="21">
        <f>'数据-取费表'!B27</f>
        <v>160</v>
      </c>
      <c r="F19" s="800"/>
      <c r="G19" s="12"/>
      <c r="H19" s="1185"/>
      <c r="I19" s="805"/>
      <c r="J19" s="805"/>
      <c r="K19" s="806"/>
    </row>
    <row r="20" spans="1:33" s="799" customFormat="1" ht="13.5" customHeight="1">
      <c r="A20" s="796" t="s">
        <v>361</v>
      </c>
      <c r="B20" s="797" t="s">
        <v>1627</v>
      </c>
      <c r="C20" s="21">
        <f ca="1">ROUND(D20*E20/10000,0)</f>
        <v>2689</v>
      </c>
      <c r="D20" s="842">
        <f ca="1">IF(C1="",'数据-汇总表'!E6,IF(INDIRECT("'数据-取费表'!c"&amp;$K$1)="住宅",INDIRECT("'数据-取费表'!s"&amp;$K$1),INDIRECT("'数据-取费表'!k"&amp;$K$1)+INDIRECT("'数据-取费表'!s"&amp;$K$1)))</f>
        <v>134441</v>
      </c>
      <c r="E20" s="21">
        <f>'数据-取费表'!B28</f>
        <v>200</v>
      </c>
      <c r="F20" s="800"/>
      <c r="G20" s="12"/>
      <c r="H20" s="805"/>
      <c r="I20" s="805"/>
      <c r="J20" s="805"/>
      <c r="K20" s="806"/>
    </row>
    <row r="21" spans="1:33" s="799" customFormat="1" ht="13.5" customHeight="1">
      <c r="A21" s="786" t="s">
        <v>357</v>
      </c>
      <c r="B21" s="809" t="s">
        <v>1628</v>
      </c>
      <c r="C21" s="810">
        <f ca="1">C16+C17+C18</f>
        <v>3123</v>
      </c>
      <c r="D21" s="811"/>
      <c r="E21" s="280"/>
      <c r="F21" s="280"/>
      <c r="G21" s="130" t="s">
        <v>1629</v>
      </c>
      <c r="H21" s="803"/>
      <c r="I21" s="803"/>
      <c r="J21" s="803"/>
      <c r="K21" s="804"/>
    </row>
    <row r="22" spans="1:33" s="799" customFormat="1" ht="13.5" customHeight="1">
      <c r="A22" s="786" t="s">
        <v>1601</v>
      </c>
      <c r="B22" s="809" t="s">
        <v>1630</v>
      </c>
      <c r="C22" s="810">
        <f ca="1">ROUND(C21*F22,0)</f>
        <v>78</v>
      </c>
      <c r="D22" s="280"/>
      <c r="E22" s="280"/>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2.5000000000000001E-2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9">
        <f ca="1">C26</f>
        <v>0</v>
      </c>
      <c r="E25" s="281" t="s">
        <v>12</v>
      </c>
      <c r="F25" s="282">
        <f ca="1">'数据-取费表'!B40</f>
        <v>4.7500000000000001E-2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1641</v>
      </c>
      <c r="B28" s="1861" t="s">
        <v>1642</v>
      </c>
      <c r="C28" s="286">
        <f ca="1">C30</f>
        <v>416</v>
      </c>
      <c r="D28" s="279">
        <f ca="1">C29</f>
        <v>0</v>
      </c>
      <c r="E28" s="281" t="s">
        <v>12</v>
      </c>
      <c r="F28" s="287">
        <f ca="1">IF(C1="",'数据-取费表'!Q16,INDIRECT("'数据-取费表'!q"&amp;$K$1))</f>
        <v>0.13</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0" t="s">
        <v>1644</v>
      </c>
      <c r="H29" s="803"/>
      <c r="I29" s="803"/>
      <c r="J29" s="803"/>
      <c r="K29" s="804"/>
    </row>
    <row r="30" spans="1:33" s="290" customFormat="1" ht="13.5" customHeight="1">
      <c r="A30" s="796" t="s">
        <v>359</v>
      </c>
      <c r="B30" s="818" t="s">
        <v>1645</v>
      </c>
      <c r="C30" s="291">
        <f ca="1">ROUND((C21+C22+C23)*F28,0)</f>
        <v>416</v>
      </c>
      <c r="D30" s="283"/>
      <c r="E30" s="284"/>
      <c r="F30" s="289"/>
      <c r="G30" s="130"/>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-3515</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7" tint="0.39997558519241921"/>
    <pageSetUpPr fitToPage="1"/>
  </sheetPr>
  <dimension ref="A1:AC148"/>
  <sheetViews>
    <sheetView view="pageBreakPreview" zoomScale="90" zoomScaleNormal="60" zoomScaleSheetLayoutView="90" workbookViewId="0">
      <selection activeCell="C49" sqref="C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1661</v>
      </c>
      <c r="C1" s="1234" t="s">
        <v>1662</v>
      </c>
      <c r="D1" s="1221" t="s">
        <v>3395</v>
      </c>
      <c r="E1" s="3421"/>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32804.199999999997</v>
      </c>
      <c r="C3" s="353" t="s">
        <v>1665</v>
      </c>
      <c r="D3" s="352">
        <f>IF(D1="",'数据-汇总表'!E3,SUMIF('数据-汇总表'!$C19:$C33,D1,'数据-汇总表'!$E19:$E33))</f>
        <v>16667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1666</v>
      </c>
      <c r="B4" s="355"/>
      <c r="C4" s="3652" t="s">
        <v>1667</v>
      </c>
      <c r="D4" s="3653"/>
      <c r="E4" s="3654" t="s">
        <v>1668</v>
      </c>
      <c r="F4" s="3655"/>
      <c r="G4" s="3652" t="s">
        <v>1669</v>
      </c>
      <c r="H4" s="3653"/>
      <c r="I4" s="3652" t="s">
        <v>1670</v>
      </c>
      <c r="J4" s="3653"/>
      <c r="K4" s="1885" t="s">
        <v>1671</v>
      </c>
      <c r="L4" s="2711"/>
      <c r="M4" s="2712"/>
      <c r="N4" s="2712"/>
      <c r="O4" s="2712"/>
      <c r="P4" s="3656" t="s">
        <v>1672</v>
      </c>
      <c r="Q4" s="3657"/>
      <c r="R4" s="3662" t="s">
        <v>1668</v>
      </c>
      <c r="S4" s="3663"/>
      <c r="T4" s="3662" t="s">
        <v>1669</v>
      </c>
      <c r="U4" s="3663"/>
      <c r="V4" s="3676" t="s">
        <v>1670</v>
      </c>
      <c r="W4" s="3676"/>
      <c r="X4" s="1351"/>
      <c r="Y4" s="3662" t="s">
        <v>1672</v>
      </c>
      <c r="Z4" s="3663"/>
      <c r="AA4" s="3649" t="s">
        <v>1668</v>
      </c>
      <c r="AB4" s="3649" t="s">
        <v>1669</v>
      </c>
      <c r="AC4" s="3649" t="s">
        <v>1670</v>
      </c>
    </row>
    <row r="5" spans="1:29" ht="15">
      <c r="A5" s="357"/>
      <c r="B5" s="358"/>
      <c r="C5" s="3826" t="s">
        <v>8681</v>
      </c>
      <c r="D5" s="3667"/>
      <c r="E5" s="3668" t="str">
        <f>金地大湖风华中指!A1</f>
        <v>金地大湖风华</v>
      </c>
      <c r="F5" s="3669"/>
      <c r="G5" s="3666" t="str">
        <f>天恒·京西悦府!A1</f>
        <v>天恒·京西悦府</v>
      </c>
      <c r="H5" s="3667"/>
      <c r="I5" s="3826" t="str">
        <f>中国铁建·山语澜廷中指1!$A$1</f>
        <v>中国铁建·山语澜廷中指</v>
      </c>
      <c r="J5" s="3667"/>
      <c r="K5" s="1886"/>
      <c r="L5" s="2711"/>
      <c r="M5" s="2712"/>
      <c r="N5" s="2712"/>
      <c r="O5" s="2712"/>
      <c r="P5" s="3658"/>
      <c r="Q5" s="3659"/>
      <c r="R5" s="3664"/>
      <c r="S5" s="3665"/>
      <c r="T5" s="3664"/>
      <c r="U5" s="3665"/>
      <c r="V5" s="3676"/>
      <c r="W5" s="3676"/>
      <c r="X5" s="1351"/>
      <c r="Y5" s="3664"/>
      <c r="Z5" s="3665"/>
      <c r="AA5" s="3650"/>
      <c r="AB5" s="3650"/>
      <c r="AC5" s="3650"/>
    </row>
    <row r="6" spans="1:29" ht="15.75" thickBot="1">
      <c r="A6" s="359"/>
      <c r="B6" s="360"/>
      <c r="C6" s="3670" t="s">
        <v>1677</v>
      </c>
      <c r="D6" s="3671"/>
      <c r="E6" s="3672" t="s">
        <v>1677</v>
      </c>
      <c r="F6" s="3673"/>
      <c r="G6" s="3670" t="s">
        <v>1677</v>
      </c>
      <c r="H6" s="3671"/>
      <c r="I6" s="3670" t="s">
        <v>1677</v>
      </c>
      <c r="J6" s="3671"/>
      <c r="K6" s="1886" t="s">
        <v>1678</v>
      </c>
      <c r="L6" s="2711"/>
      <c r="M6" s="2712"/>
      <c r="N6" s="2712"/>
      <c r="O6" s="2712"/>
      <c r="P6" s="3660"/>
      <c r="Q6" s="3661"/>
      <c r="R6" s="3664"/>
      <c r="S6" s="3665"/>
      <c r="T6" s="3674"/>
      <c r="U6" s="3675"/>
      <c r="V6" s="3676"/>
      <c r="W6" s="3676"/>
      <c r="X6" s="1351"/>
      <c r="Y6" s="3674"/>
      <c r="Z6" s="3675"/>
      <c r="AA6" s="3651"/>
      <c r="AB6" s="3651"/>
      <c r="AC6" s="3651"/>
    </row>
    <row r="7" spans="1:29" s="107" customFormat="1" ht="15.75" thickBot="1">
      <c r="A7" s="361" t="s">
        <v>1679</v>
      </c>
      <c r="B7" s="362"/>
      <c r="C7" s="363">
        <f>'数据-取费表'!B2</f>
        <v>45159</v>
      </c>
      <c r="D7" s="364">
        <v>100</v>
      </c>
      <c r="E7" s="365">
        <f>C7</f>
        <v>45159</v>
      </c>
      <c r="F7" s="366">
        <f>SUMIF(58:58,YEAR(E7)&amp;"-"&amp;MONTH(E7),59:59)</f>
        <v>100</v>
      </c>
      <c r="G7" s="365">
        <f>C7</f>
        <v>45159</v>
      </c>
      <c r="H7" s="364">
        <f>SUMIF(58:58,YEAR(G7)&amp;"-"&amp;MONTH(G7),59:59)</f>
        <v>100</v>
      </c>
      <c r="I7" s="365">
        <v>44774</v>
      </c>
      <c r="J7" s="364">
        <f>SUMIF(58:58,YEAR(I7)&amp;"-"&amp;MONTH(I7),59:59)</f>
        <v>99</v>
      </c>
      <c r="K7" s="1887"/>
      <c r="L7" s="2713"/>
      <c r="M7" s="2714"/>
      <c r="N7" s="2714"/>
      <c r="O7" s="2714"/>
      <c r="P7" s="3677" t="s">
        <v>1680</v>
      </c>
      <c r="Q7" s="3678"/>
      <c r="R7" s="699" t="s">
        <v>20</v>
      </c>
      <c r="S7" s="700">
        <f t="shared" ref="S7:S15" si="0">F7</f>
        <v>100</v>
      </c>
      <c r="T7" s="699" t="s">
        <v>20</v>
      </c>
      <c r="U7" s="700">
        <f t="shared" ref="U7:U15" si="1">H7</f>
        <v>100</v>
      </c>
      <c r="V7" s="699" t="s">
        <v>20</v>
      </c>
      <c r="W7" s="700">
        <f t="shared" ref="W7:W15" si="2">J7</f>
        <v>99</v>
      </c>
      <c r="X7" s="701"/>
      <c r="Y7" s="3677" t="s">
        <v>1680</v>
      </c>
      <c r="Z7" s="3679"/>
      <c r="AA7" s="702">
        <f>D7/F7</f>
        <v>1</v>
      </c>
      <c r="AB7" s="702">
        <f>D7/H7</f>
        <v>1</v>
      </c>
      <c r="AC7" s="702">
        <f>D7/J7</f>
        <v>1.0101010101010102</v>
      </c>
    </row>
    <row r="8" spans="1:29" s="107" customFormat="1" ht="15.75" thickBot="1">
      <c r="A8" s="361" t="s">
        <v>1681</v>
      </c>
      <c r="B8" s="362"/>
      <c r="C8" s="367" t="s">
        <v>8682</v>
      </c>
      <c r="D8" s="364">
        <v>100</v>
      </c>
      <c r="E8" s="1888" t="s">
        <v>8682</v>
      </c>
      <c r="F8" s="366">
        <f>SUMIF(61:61,E8,62:62)-SUMIF(61:61,C8,62:62)+100</f>
        <v>100</v>
      </c>
      <c r="G8" s="367" t="s">
        <v>8682</v>
      </c>
      <c r="H8" s="364">
        <f>SUMIF(61:61,G8,62:62)-SUMIF(61:61,C8,62:62)+100</f>
        <v>100</v>
      </c>
      <c r="I8" s="1888" t="s">
        <v>8682</v>
      </c>
      <c r="J8" s="364">
        <f>SUMIF(61:61,I8,62:62)-SUMIF(61:61,C8,62:62)+100</f>
        <v>100</v>
      </c>
      <c r="K8" s="1887"/>
      <c r="L8" s="2713"/>
      <c r="M8" s="2714"/>
      <c r="N8" s="2714"/>
      <c r="O8" s="2714"/>
      <c r="P8" s="3677" t="s">
        <v>1683</v>
      </c>
      <c r="Q8" s="3679"/>
      <c r="R8" s="699" t="s">
        <v>20</v>
      </c>
      <c r="S8" s="700">
        <f t="shared" si="0"/>
        <v>100</v>
      </c>
      <c r="T8" s="699" t="s">
        <v>20</v>
      </c>
      <c r="U8" s="700">
        <f t="shared" si="1"/>
        <v>100</v>
      </c>
      <c r="V8" s="699" t="s">
        <v>20</v>
      </c>
      <c r="W8" s="700">
        <f t="shared" si="2"/>
        <v>100</v>
      </c>
      <c r="X8" s="701"/>
      <c r="Y8" s="3677" t="s">
        <v>1683</v>
      </c>
      <c r="Z8" s="3679"/>
      <c r="AA8" s="702">
        <f t="shared" ref="AA8:AA19" si="3">D8/F8</f>
        <v>1</v>
      </c>
      <c r="AB8" s="702">
        <f t="shared" ref="AB8:AB19" si="4">D8/H8</f>
        <v>1</v>
      </c>
      <c r="AC8" s="702">
        <f t="shared" ref="AC8:AC19" si="5">D8/J8</f>
        <v>1</v>
      </c>
    </row>
    <row r="9" spans="1:29" s="107" customFormat="1">
      <c r="A9" s="368" t="s">
        <v>1684</v>
      </c>
      <c r="B9" s="63" t="s">
        <v>1685</v>
      </c>
      <c r="C9" s="3505" t="s">
        <v>8683</v>
      </c>
      <c r="D9" s="125">
        <v>100</v>
      </c>
      <c r="E9" s="370" t="s">
        <v>6380</v>
      </c>
      <c r="F9" s="371">
        <f>SUMIF(63:63,E9,64:64)-SUMIF(63:63,C9,64:64)+100</f>
        <v>100</v>
      </c>
      <c r="G9" s="370" t="s">
        <v>6380</v>
      </c>
      <c r="H9" s="125">
        <f>SUMIF(63:63,G9,64:64)-SUMIF(63:63,C9,64:64)+100</f>
        <v>100</v>
      </c>
      <c r="I9" s="370" t="s">
        <v>6380</v>
      </c>
      <c r="J9" s="125">
        <f>SUMIF(63:63,I9,64:64)-SUMIF(63:63,C9,64:64)+100</f>
        <v>100</v>
      </c>
      <c r="K9" s="1887"/>
      <c r="L9" s="2713"/>
      <c r="M9" s="2714"/>
      <c r="N9" s="2714"/>
      <c r="O9" s="2714"/>
      <c r="P9" s="3680"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702">
        <f t="shared" si="5"/>
        <v>1</v>
      </c>
    </row>
    <row r="10" spans="1:29" s="377" customFormat="1" ht="27" hidden="1">
      <c r="A10" s="373"/>
      <c r="B10" s="374" t="s">
        <v>1688</v>
      </c>
      <c r="D10" s="126">
        <v>100</v>
      </c>
      <c r="E10" s="3430"/>
      <c r="F10" s="375">
        <f>SUMIF(65:65,E10,66:66)-SUMIF(65:65,C11,66:66)+100</f>
        <v>100</v>
      </c>
      <c r="G10" s="3429"/>
      <c r="H10" s="126">
        <f>SUMIF(65:65,G10,66:66)-SUMIF(65:65,C11,66:66)+100</f>
        <v>100</v>
      </c>
      <c r="I10" s="3429"/>
      <c r="J10" s="126">
        <f>SUMIF(65:65,I10,66:66)-SUMIF(65:65,C11,66:66)+100</f>
        <v>100</v>
      </c>
      <c r="K10" s="1887"/>
      <c r="L10" s="2715"/>
      <c r="M10" s="2716"/>
      <c r="N10" s="2716"/>
      <c r="O10" s="2716"/>
      <c r="P10" s="3680"/>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702">
        <f t="shared" si="5"/>
        <v>1</v>
      </c>
    </row>
    <row r="11" spans="1:29" ht="15.75" thickBot="1">
      <c r="A11" s="378"/>
      <c r="B11" s="374" t="s">
        <v>1689</v>
      </c>
      <c r="C11" s="380">
        <v>1.6</v>
      </c>
      <c r="D11" s="126">
        <v>100</v>
      </c>
      <c r="E11" s="380">
        <v>1.6</v>
      </c>
      <c r="F11" s="375">
        <f>D11</f>
        <v>100</v>
      </c>
      <c r="G11" s="379">
        <v>1.8</v>
      </c>
      <c r="H11" s="126">
        <f>D11</f>
        <v>100</v>
      </c>
      <c r="I11" s="379">
        <v>1.05</v>
      </c>
      <c r="J11" s="126">
        <v>102</v>
      </c>
      <c r="K11" s="376">
        <v>1</v>
      </c>
      <c r="L11" s="2717"/>
      <c r="M11" s="2712"/>
      <c r="N11" s="2712"/>
      <c r="O11" s="2712"/>
      <c r="P11" s="3680"/>
      <c r="Q11" s="1339" t="str">
        <f t="shared" si="6"/>
        <v>容积率</v>
      </c>
      <c r="R11" s="699" t="s">
        <v>18</v>
      </c>
      <c r="S11" s="700">
        <f t="shared" si="0"/>
        <v>100</v>
      </c>
      <c r="T11" s="699" t="s">
        <v>18</v>
      </c>
      <c r="U11" s="700">
        <f t="shared" si="1"/>
        <v>100</v>
      </c>
      <c r="V11" s="699" t="s">
        <v>18</v>
      </c>
      <c r="W11" s="700">
        <f t="shared" si="2"/>
        <v>102</v>
      </c>
      <c r="X11" s="701"/>
      <c r="Y11" s="3681"/>
      <c r="Z11" s="52" t="str">
        <f t="shared" si="7"/>
        <v>容积率</v>
      </c>
      <c r="AA11" s="702">
        <f t="shared" si="3"/>
        <v>1</v>
      </c>
      <c r="AB11" s="702">
        <f t="shared" si="4"/>
        <v>1</v>
      </c>
      <c r="AC11" s="702">
        <f t="shared" si="5"/>
        <v>0.98039215686274506</v>
      </c>
    </row>
    <row r="12" spans="1:29" s="107" customFormat="1" ht="15" hidden="1">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680"/>
      <c r="Q12" s="1339">
        <f t="shared" si="6"/>
        <v>111</v>
      </c>
      <c r="R12" s="699" t="s">
        <v>18</v>
      </c>
      <c r="S12" s="700">
        <f t="shared" si="0"/>
        <v>100</v>
      </c>
      <c r="T12" s="699" t="s">
        <v>18</v>
      </c>
      <c r="U12" s="700">
        <f t="shared" si="1"/>
        <v>100</v>
      </c>
      <c r="V12" s="699" t="s">
        <v>18</v>
      </c>
      <c r="W12" s="700">
        <f t="shared" si="2"/>
        <v>100</v>
      </c>
      <c r="X12" s="701"/>
      <c r="Y12" s="3681"/>
      <c r="Z12" s="52">
        <f t="shared" si="7"/>
        <v>111</v>
      </c>
      <c r="AA12" s="702">
        <f>D12/F12</f>
        <v>1</v>
      </c>
      <c r="AB12" s="702">
        <f>D12/H12</f>
        <v>1</v>
      </c>
      <c r="AC12" s="702">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680"/>
      <c r="Q13" s="1339">
        <f t="shared" si="6"/>
        <v>111</v>
      </c>
      <c r="R13" s="699" t="s">
        <v>18</v>
      </c>
      <c r="S13" s="700">
        <f t="shared" si="0"/>
        <v>100</v>
      </c>
      <c r="T13" s="699" t="s">
        <v>18</v>
      </c>
      <c r="U13" s="700">
        <f t="shared" si="1"/>
        <v>100</v>
      </c>
      <c r="V13" s="699" t="s">
        <v>18</v>
      </c>
      <c r="W13" s="700">
        <f t="shared" si="2"/>
        <v>100</v>
      </c>
      <c r="X13" s="701"/>
      <c r="Y13" s="3681"/>
      <c r="Z13" s="52">
        <f t="shared" si="7"/>
        <v>111</v>
      </c>
      <c r="AA13" s="702">
        <f t="shared" si="3"/>
        <v>1</v>
      </c>
      <c r="AB13" s="702">
        <f t="shared" si="4"/>
        <v>1</v>
      </c>
      <c r="AC13" s="702">
        <f t="shared" si="5"/>
        <v>1</v>
      </c>
    </row>
    <row r="14" spans="1:29" ht="15.75" hidden="1"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680"/>
      <c r="Q14" s="1339">
        <f t="shared" si="6"/>
        <v>111</v>
      </c>
      <c r="R14" s="699" t="s">
        <v>18</v>
      </c>
      <c r="S14" s="700">
        <f t="shared" si="0"/>
        <v>100</v>
      </c>
      <c r="T14" s="699" t="s">
        <v>18</v>
      </c>
      <c r="U14" s="700">
        <f t="shared" si="1"/>
        <v>100</v>
      </c>
      <c r="V14" s="699" t="s">
        <v>18</v>
      </c>
      <c r="W14" s="700">
        <f t="shared" si="2"/>
        <v>100</v>
      </c>
      <c r="X14" s="701"/>
      <c r="Y14" s="3681"/>
      <c r="Z14" s="52">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100</v>
      </c>
      <c r="K15" s="395">
        <v>3</v>
      </c>
      <c r="L15" s="2718"/>
      <c r="M15" s="2712"/>
      <c r="N15" s="2712"/>
      <c r="O15" s="2712"/>
      <c r="P15" s="3682" t="s">
        <v>1691</v>
      </c>
      <c r="Q15" s="1348" t="str">
        <f t="shared" si="6"/>
        <v>居住社区成熟度</v>
      </c>
      <c r="R15" s="703" t="s">
        <v>18</v>
      </c>
      <c r="S15" s="704">
        <f t="shared" si="0"/>
        <v>100</v>
      </c>
      <c r="T15" s="703" t="s">
        <v>18</v>
      </c>
      <c r="U15" s="704">
        <f t="shared" si="1"/>
        <v>103</v>
      </c>
      <c r="V15" s="703" t="s">
        <v>18</v>
      </c>
      <c r="W15" s="704">
        <f t="shared" si="2"/>
        <v>100</v>
      </c>
      <c r="X15" s="1351"/>
      <c r="Y15" s="3684" t="s">
        <v>1691</v>
      </c>
      <c r="Z15" s="1352" t="str">
        <f t="shared" si="7"/>
        <v>居住社区成熟度</v>
      </c>
      <c r="AA15" s="1349">
        <f t="shared" si="3"/>
        <v>1</v>
      </c>
      <c r="AB15" s="1349">
        <f t="shared" si="4"/>
        <v>0.970873786407767</v>
      </c>
      <c r="AC15" s="1349">
        <f t="shared" si="5"/>
        <v>1</v>
      </c>
    </row>
    <row r="16" spans="1:29" ht="15">
      <c r="A16" s="378"/>
      <c r="B16" s="396"/>
      <c r="C16" s="397" t="str">
        <f>基准地价修正!C72</f>
        <v>一般</v>
      </c>
      <c r="D16" s="398"/>
      <c r="E16" s="397" t="s">
        <v>6394</v>
      </c>
      <c r="F16" s="398"/>
      <c r="G16" s="397" t="s">
        <v>6395</v>
      </c>
      <c r="H16" s="400"/>
      <c r="I16" s="397" t="s">
        <v>6394</v>
      </c>
      <c r="J16" s="398"/>
      <c r="K16" s="1895"/>
      <c r="L16" s="2718"/>
      <c r="M16" s="2712"/>
      <c r="N16" s="2712"/>
      <c r="O16" s="2712"/>
      <c r="P16" s="3683"/>
      <c r="Q16" s="1348"/>
      <c r="R16" s="703"/>
      <c r="S16" s="704"/>
      <c r="T16" s="703"/>
      <c r="U16" s="704"/>
      <c r="V16" s="703"/>
      <c r="W16" s="704"/>
      <c r="X16" s="1351"/>
      <c r="Y16" s="3685"/>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105</v>
      </c>
      <c r="I17" s="402"/>
      <c r="J17" s="405">
        <f>SUMIF(78:78,I18,79:79)-SUMIF(78:78,C18,79:79)+100</f>
        <v>100</v>
      </c>
      <c r="K17" s="395">
        <v>5</v>
      </c>
      <c r="L17" s="2718"/>
      <c r="M17" s="2712"/>
      <c r="N17" s="2712"/>
      <c r="O17" s="2712"/>
      <c r="P17" s="3683"/>
      <c r="Q17" s="1348" t="str">
        <f>B17</f>
        <v>交通便捷度</v>
      </c>
      <c r="R17" s="703" t="s">
        <v>18</v>
      </c>
      <c r="S17" s="704">
        <f>F17</f>
        <v>100</v>
      </c>
      <c r="T17" s="703" t="s">
        <v>18</v>
      </c>
      <c r="U17" s="704">
        <f>H17</f>
        <v>105</v>
      </c>
      <c r="V17" s="703" t="s">
        <v>18</v>
      </c>
      <c r="W17" s="704">
        <f>J17</f>
        <v>100</v>
      </c>
      <c r="X17" s="1351"/>
      <c r="Y17" s="3685"/>
      <c r="Z17" s="1352" t="str">
        <f>Q17</f>
        <v>交通便捷度</v>
      </c>
      <c r="AA17" s="1349">
        <f t="shared" si="3"/>
        <v>1</v>
      </c>
      <c r="AB17" s="1349">
        <f t="shared" si="4"/>
        <v>0.95238095238095233</v>
      </c>
      <c r="AC17" s="1349">
        <f t="shared" si="5"/>
        <v>1</v>
      </c>
    </row>
    <row r="18" spans="1:29" ht="15">
      <c r="A18" s="378"/>
      <c r="B18" s="406"/>
      <c r="C18" s="1897" t="str">
        <f>基准地价修正!C73</f>
        <v>一般</v>
      </c>
      <c r="D18" s="400"/>
      <c r="E18" s="1898" t="s">
        <v>6394</v>
      </c>
      <c r="F18" s="400"/>
      <c r="G18" s="1899" t="s">
        <v>6395</v>
      </c>
      <c r="H18" s="398"/>
      <c r="I18" s="1899" t="s">
        <v>6394</v>
      </c>
      <c r="J18" s="398"/>
      <c r="K18" s="1895"/>
      <c r="L18" s="2718"/>
      <c r="M18" s="2712"/>
      <c r="N18" s="2712"/>
      <c r="O18" s="2712"/>
      <c r="P18" s="3683"/>
      <c r="Q18" s="1348"/>
      <c r="R18" s="703"/>
      <c r="S18" s="704"/>
      <c r="T18" s="703"/>
      <c r="U18" s="704"/>
      <c r="V18" s="703"/>
      <c r="W18" s="704"/>
      <c r="X18" s="1351"/>
      <c r="Y18" s="3685"/>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105</v>
      </c>
      <c r="I19" s="407"/>
      <c r="J19" s="400">
        <f>SUMIF(80:80,I20,81:81)-SUMIF(80:80,C20,81:81)+100</f>
        <v>100</v>
      </c>
      <c r="K19" s="395">
        <v>5</v>
      </c>
      <c r="L19" s="2718"/>
      <c r="M19" s="2712"/>
      <c r="N19" s="2712"/>
      <c r="O19" s="2712"/>
      <c r="P19" s="3683"/>
      <c r="Q19" s="1348" t="str">
        <f>B19</f>
        <v>公共配套设施</v>
      </c>
      <c r="R19" s="703" t="s">
        <v>18</v>
      </c>
      <c r="S19" s="704">
        <f>F19</f>
        <v>100</v>
      </c>
      <c r="T19" s="703" t="s">
        <v>18</v>
      </c>
      <c r="U19" s="704">
        <f>H19</f>
        <v>105</v>
      </c>
      <c r="V19" s="703" t="s">
        <v>18</v>
      </c>
      <c r="W19" s="704">
        <f>J19</f>
        <v>100</v>
      </c>
      <c r="X19" s="1351"/>
      <c r="Y19" s="3685"/>
      <c r="Z19" s="1352" t="str">
        <f>Q19</f>
        <v>公共配套设施</v>
      </c>
      <c r="AA19" s="1349">
        <f t="shared" si="3"/>
        <v>1</v>
      </c>
      <c r="AB19" s="1349">
        <f t="shared" si="4"/>
        <v>0.95238095238095233</v>
      </c>
      <c r="AC19" s="1349">
        <f t="shared" si="5"/>
        <v>1</v>
      </c>
    </row>
    <row r="20" spans="1:29" ht="15">
      <c r="A20" s="378"/>
      <c r="B20" s="406"/>
      <c r="C20" s="397" t="str">
        <f>基准地价修正!C76</f>
        <v>较差</v>
      </c>
      <c r="D20" s="398"/>
      <c r="E20" s="1893" t="s">
        <v>6396</v>
      </c>
      <c r="F20" s="398"/>
      <c r="G20" s="1894" t="s">
        <v>6394</v>
      </c>
      <c r="H20" s="398"/>
      <c r="I20" s="1894" t="s">
        <v>6396</v>
      </c>
      <c r="J20" s="398"/>
      <c r="K20" s="1895"/>
      <c r="L20" s="2718"/>
      <c r="M20" s="2712"/>
      <c r="N20" s="2712"/>
      <c r="O20" s="2712"/>
      <c r="P20" s="3683"/>
      <c r="Q20" s="1348"/>
      <c r="R20" s="703"/>
      <c r="S20" s="704"/>
      <c r="T20" s="703"/>
      <c r="U20" s="704"/>
      <c r="V20" s="703"/>
      <c r="W20" s="704"/>
      <c r="X20" s="1351"/>
      <c r="Y20" s="3685"/>
      <c r="Z20" s="1352"/>
      <c r="AA20" s="1349">
        <v>1</v>
      </c>
      <c r="AB20" s="1349">
        <v>1</v>
      </c>
      <c r="AC20" s="1349">
        <v>1</v>
      </c>
    </row>
    <row r="21" spans="1:29" ht="28.5">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2</v>
      </c>
      <c r="L21" s="2718"/>
      <c r="M21" s="2712"/>
      <c r="N21" s="2712"/>
      <c r="O21" s="2712"/>
      <c r="P21" s="3683"/>
      <c r="Q21" s="1348" t="str">
        <f>B21</f>
        <v>基础设施水平</v>
      </c>
      <c r="R21" s="703" t="s">
        <v>14</v>
      </c>
      <c r="S21" s="704">
        <f>F21</f>
        <v>100</v>
      </c>
      <c r="T21" s="703" t="s">
        <v>14</v>
      </c>
      <c r="U21" s="704">
        <f>H21</f>
        <v>100</v>
      </c>
      <c r="V21" s="703" t="s">
        <v>14</v>
      </c>
      <c r="W21" s="704">
        <f>J21</f>
        <v>100</v>
      </c>
      <c r="X21" s="1351"/>
      <c r="Y21" s="3685"/>
      <c r="Z21" s="1352" t="str">
        <f>Q21</f>
        <v>基础设施水平</v>
      </c>
      <c r="AA21" s="1349">
        <f t="shared" ref="AA21" si="8">D21/F21</f>
        <v>1</v>
      </c>
      <c r="AB21" s="1349">
        <f t="shared" ref="AB21" si="9">D21/H21</f>
        <v>1</v>
      </c>
      <c r="AC21" s="1349">
        <f t="shared" ref="AC21" si="10">D21/J21</f>
        <v>1</v>
      </c>
    </row>
    <row r="22" spans="1:29" ht="15">
      <c r="A22" s="378"/>
      <c r="B22" s="1127"/>
      <c r="C22" s="1897" t="s">
        <v>8684</v>
      </c>
      <c r="D22" s="398"/>
      <c r="E22" s="397" t="s">
        <v>8684</v>
      </c>
      <c r="F22" s="398"/>
      <c r="G22" s="1900" t="s">
        <v>8684</v>
      </c>
      <c r="H22" s="398"/>
      <c r="I22" s="397" t="s">
        <v>8684</v>
      </c>
      <c r="J22" s="398"/>
      <c r="K22" s="1901"/>
      <c r="L22" s="2718"/>
      <c r="M22" s="2712"/>
      <c r="N22" s="2712"/>
      <c r="O22" s="2712"/>
      <c r="P22" s="3683"/>
      <c r="Q22" s="1348"/>
      <c r="R22" s="703"/>
      <c r="S22" s="704"/>
      <c r="T22" s="703"/>
      <c r="U22" s="704"/>
      <c r="V22" s="703"/>
      <c r="W22" s="704"/>
      <c r="X22" s="1351"/>
      <c r="Y22" s="3685"/>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96</v>
      </c>
      <c r="I23" s="402"/>
      <c r="J23" s="400">
        <f>SUMIF(84:84,I24,85:85)-SUMIF(84:84,C24,85:85)+100</f>
        <v>100</v>
      </c>
      <c r="K23" s="395">
        <v>2</v>
      </c>
      <c r="L23" s="2718"/>
      <c r="M23" s="2712"/>
      <c r="N23" s="2712"/>
      <c r="O23" s="2712"/>
      <c r="P23" s="3683"/>
      <c r="Q23" s="1348" t="str">
        <f>B23</f>
        <v>自然及人文环境</v>
      </c>
      <c r="R23" s="703" t="s">
        <v>18</v>
      </c>
      <c r="S23" s="704">
        <f>F23</f>
        <v>100</v>
      </c>
      <c r="T23" s="703" t="s">
        <v>18</v>
      </c>
      <c r="U23" s="704">
        <f>H23</f>
        <v>96</v>
      </c>
      <c r="V23" s="703" t="s">
        <v>18</v>
      </c>
      <c r="W23" s="704">
        <f>J23</f>
        <v>100</v>
      </c>
      <c r="X23" s="1351"/>
      <c r="Y23" s="3685"/>
      <c r="Z23" s="1352" t="str">
        <f>Q23</f>
        <v>自然及人文环境</v>
      </c>
      <c r="AA23" s="1349">
        <f>D23/F23</f>
        <v>1</v>
      </c>
      <c r="AB23" s="1349">
        <f>D23/H23</f>
        <v>1.0416666666666667</v>
      </c>
      <c r="AC23" s="1349">
        <f>D23/J23</f>
        <v>1</v>
      </c>
    </row>
    <row r="24" spans="1:29" ht="15.75" thickBot="1">
      <c r="A24" s="378"/>
      <c r="B24" s="406"/>
      <c r="C24" s="397" t="str">
        <f>基准地价修正!C79</f>
        <v>好</v>
      </c>
      <c r="D24" s="398"/>
      <c r="E24" s="1893" t="s">
        <v>6397</v>
      </c>
      <c r="F24" s="398"/>
      <c r="G24" s="1893" t="s">
        <v>6394</v>
      </c>
      <c r="H24" s="398"/>
      <c r="I24" s="1893" t="s">
        <v>6397</v>
      </c>
      <c r="J24" s="398"/>
      <c r="K24" s="1895"/>
      <c r="L24" s="2718"/>
      <c r="M24" s="2712"/>
      <c r="N24" s="2712"/>
      <c r="O24" s="2712"/>
      <c r="P24" s="3683"/>
      <c r="Q24" s="1348"/>
      <c r="R24" s="703"/>
      <c r="S24" s="704"/>
      <c r="T24" s="703"/>
      <c r="U24" s="704"/>
      <c r="V24" s="703"/>
      <c r="W24" s="704"/>
      <c r="X24" s="1351"/>
      <c r="Y24" s="3685"/>
      <c r="Z24" s="1352"/>
      <c r="AA24" s="1349">
        <v>1</v>
      </c>
      <c r="AB24" s="1349">
        <v>1</v>
      </c>
      <c r="AC24" s="1349">
        <v>1</v>
      </c>
    </row>
    <row r="25" spans="1:29" ht="15" hidden="1">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683"/>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85"/>
      <c r="Z25" s="1352" t="str">
        <f>Q25</f>
        <v>楼层-1</v>
      </c>
      <c r="AA25" s="1349">
        <f t="shared" ref="AA25:AA46" si="15">D25/F25</f>
        <v>1</v>
      </c>
      <c r="AB25" s="1349">
        <f t="shared" ref="AB25:AB46" si="16">D25/H25</f>
        <v>1</v>
      </c>
      <c r="AC25" s="1349">
        <f t="shared" ref="AC25:AC46" si="17">D25/J25</f>
        <v>1</v>
      </c>
    </row>
    <row r="26" spans="1:29" ht="15" hidden="1">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683"/>
      <c r="Q26" s="1348" t="str">
        <f t="shared" si="11"/>
        <v>朝向</v>
      </c>
      <c r="R26" s="703" t="s">
        <v>18</v>
      </c>
      <c r="S26" s="704">
        <f t="shared" si="12"/>
        <v>100</v>
      </c>
      <c r="T26" s="703" t="s">
        <v>18</v>
      </c>
      <c r="U26" s="704">
        <f t="shared" si="13"/>
        <v>100</v>
      </c>
      <c r="V26" s="703" t="s">
        <v>18</v>
      </c>
      <c r="W26" s="704">
        <f t="shared" si="14"/>
        <v>100</v>
      </c>
      <c r="X26" s="1351"/>
      <c r="Y26" s="3685"/>
      <c r="Z26" s="1352" t="str">
        <f>Q26</f>
        <v>朝向</v>
      </c>
      <c r="AA26" s="1349">
        <f t="shared" si="15"/>
        <v>1</v>
      </c>
      <c r="AB26" s="1349">
        <f t="shared" si="16"/>
        <v>1</v>
      </c>
      <c r="AC26" s="1349">
        <f t="shared" si="17"/>
        <v>1</v>
      </c>
    </row>
    <row r="27" spans="1:29" s="107" customFormat="1" ht="15" hidden="1">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683"/>
      <c r="Q27" s="1339">
        <f t="shared" si="11"/>
        <v>111</v>
      </c>
      <c r="R27" s="699" t="s">
        <v>18</v>
      </c>
      <c r="S27" s="700">
        <f t="shared" si="12"/>
        <v>100</v>
      </c>
      <c r="T27" s="699" t="s">
        <v>18</v>
      </c>
      <c r="U27" s="700">
        <f t="shared" si="13"/>
        <v>100</v>
      </c>
      <c r="V27" s="699" t="s">
        <v>18</v>
      </c>
      <c r="W27" s="700">
        <f t="shared" si="14"/>
        <v>100</v>
      </c>
      <c r="X27" s="701"/>
      <c r="Y27" s="3685"/>
      <c r="Z27" s="52">
        <f>Q27</f>
        <v>111</v>
      </c>
      <c r="AA27" s="1349">
        <f t="shared" si="15"/>
        <v>1</v>
      </c>
      <c r="AB27" s="1349">
        <f t="shared" si="16"/>
        <v>1</v>
      </c>
      <c r="AC27" s="1349">
        <f t="shared" si="17"/>
        <v>1</v>
      </c>
    </row>
    <row r="28" spans="1:29" ht="15" hidden="1">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683"/>
      <c r="Q28" s="1348">
        <f t="shared" si="11"/>
        <v>111</v>
      </c>
      <c r="R28" s="703" t="s">
        <v>18</v>
      </c>
      <c r="S28" s="704">
        <f t="shared" si="12"/>
        <v>100</v>
      </c>
      <c r="T28" s="703" t="s">
        <v>18</v>
      </c>
      <c r="U28" s="704">
        <f t="shared" si="13"/>
        <v>100</v>
      </c>
      <c r="V28" s="703" t="s">
        <v>18</v>
      </c>
      <c r="W28" s="704">
        <f t="shared" si="14"/>
        <v>100</v>
      </c>
      <c r="X28" s="1351"/>
      <c r="Y28" s="3685"/>
      <c r="Z28" s="1352">
        <f t="shared" ref="Z28:Z46" si="18">Q28</f>
        <v>111</v>
      </c>
      <c r="AA28" s="1349">
        <f t="shared" si="15"/>
        <v>1</v>
      </c>
      <c r="AB28" s="1349">
        <f t="shared" si="16"/>
        <v>1</v>
      </c>
      <c r="AC28" s="1349">
        <f t="shared" si="17"/>
        <v>1</v>
      </c>
    </row>
    <row r="29" spans="1:29" ht="15" hidden="1">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683"/>
      <c r="Q29" s="1348">
        <f t="shared" si="11"/>
        <v>111</v>
      </c>
      <c r="R29" s="703" t="s">
        <v>18</v>
      </c>
      <c r="S29" s="704">
        <f t="shared" si="12"/>
        <v>100</v>
      </c>
      <c r="T29" s="703" t="s">
        <v>18</v>
      </c>
      <c r="U29" s="704">
        <f t="shared" si="13"/>
        <v>100</v>
      </c>
      <c r="V29" s="703" t="s">
        <v>18</v>
      </c>
      <c r="W29" s="704">
        <f t="shared" si="14"/>
        <v>100</v>
      </c>
      <c r="X29" s="1351"/>
      <c r="Y29" s="3685"/>
      <c r="Z29" s="1352">
        <f t="shared" si="18"/>
        <v>111</v>
      </c>
      <c r="AA29" s="1349">
        <f t="shared" si="15"/>
        <v>1</v>
      </c>
      <c r="AB29" s="1349">
        <f t="shared" si="16"/>
        <v>1</v>
      </c>
      <c r="AC29" s="1349">
        <f t="shared" si="17"/>
        <v>1</v>
      </c>
    </row>
    <row r="30" spans="1:29" ht="15" hidden="1">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683"/>
      <c r="Q30" s="1348">
        <f t="shared" si="11"/>
        <v>111</v>
      </c>
      <c r="R30" s="703" t="s">
        <v>18</v>
      </c>
      <c r="S30" s="704">
        <f t="shared" si="12"/>
        <v>100</v>
      </c>
      <c r="T30" s="703" t="s">
        <v>18</v>
      </c>
      <c r="U30" s="704">
        <f t="shared" si="13"/>
        <v>100</v>
      </c>
      <c r="V30" s="703" t="s">
        <v>18</v>
      </c>
      <c r="W30" s="704">
        <f t="shared" si="14"/>
        <v>100</v>
      </c>
      <c r="X30" s="1351"/>
      <c r="Y30" s="3685"/>
      <c r="Z30" s="1352">
        <f t="shared" si="18"/>
        <v>111</v>
      </c>
      <c r="AA30" s="1349">
        <f t="shared" si="15"/>
        <v>1</v>
      </c>
      <c r="AB30" s="1349">
        <f t="shared" si="16"/>
        <v>1</v>
      </c>
      <c r="AC30" s="1349">
        <f t="shared" si="17"/>
        <v>1</v>
      </c>
    </row>
    <row r="31" spans="1:29" ht="15.75" hidden="1"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683"/>
      <c r="Q31" s="1348">
        <f t="shared" si="11"/>
        <v>111</v>
      </c>
      <c r="R31" s="703" t="s">
        <v>18</v>
      </c>
      <c r="S31" s="704">
        <f t="shared" si="12"/>
        <v>100</v>
      </c>
      <c r="T31" s="703" t="s">
        <v>18</v>
      </c>
      <c r="U31" s="704">
        <f t="shared" si="13"/>
        <v>100</v>
      </c>
      <c r="V31" s="703" t="s">
        <v>18</v>
      </c>
      <c r="W31" s="704">
        <f t="shared" si="14"/>
        <v>100</v>
      </c>
      <c r="X31" s="1351"/>
      <c r="Y31" s="3685"/>
      <c r="Z31" s="1352">
        <f t="shared" si="18"/>
        <v>111</v>
      </c>
      <c r="AA31" s="1349">
        <f t="shared" si="15"/>
        <v>1</v>
      </c>
      <c r="AB31" s="1349">
        <f t="shared" si="16"/>
        <v>1</v>
      </c>
      <c r="AC31" s="1349">
        <f t="shared" si="17"/>
        <v>1</v>
      </c>
    </row>
    <row r="32" spans="1:29" ht="15">
      <c r="A32" s="390" t="s">
        <v>1694</v>
      </c>
      <c r="B32" s="63" t="s">
        <v>1695</v>
      </c>
      <c r="C32" s="1906" t="s">
        <v>3395</v>
      </c>
      <c r="D32" s="417">
        <v>100</v>
      </c>
      <c r="E32" s="1907" t="s">
        <v>3395</v>
      </c>
      <c r="F32" s="411">
        <f>SUMIF(100:100,E32,101:101)-SUMIF(100:100,C32,101:101)+100</f>
        <v>100</v>
      </c>
      <c r="G32" s="1906" t="s">
        <v>3395</v>
      </c>
      <c r="H32" s="417">
        <f>SUMIF(100:100,G32,101:101)-SUMIF(100:100,C32,101:101)+100</f>
        <v>100</v>
      </c>
      <c r="I32" s="1907" t="s">
        <v>3395</v>
      </c>
      <c r="J32" s="385">
        <f>SUMIF(100:100,I32,101:101)-SUMIF(100:100,C32,101:101)+100</f>
        <v>100</v>
      </c>
      <c r="K32" s="376"/>
      <c r="L32" s="2718"/>
      <c r="M32" s="2712"/>
      <c r="N32" s="2712"/>
      <c r="O32" s="2712"/>
      <c r="P32" s="3686" t="s">
        <v>1696</v>
      </c>
      <c r="Q32" s="1348" t="str">
        <f t="shared" si="11"/>
        <v>建筑类型</v>
      </c>
      <c r="R32" s="703" t="s">
        <v>18</v>
      </c>
      <c r="S32" s="704">
        <f t="shared" si="12"/>
        <v>100</v>
      </c>
      <c r="T32" s="703" t="s">
        <v>18</v>
      </c>
      <c r="U32" s="704">
        <f t="shared" si="13"/>
        <v>100</v>
      </c>
      <c r="V32" s="703" t="s">
        <v>18</v>
      </c>
      <c r="W32" s="704">
        <f t="shared" si="14"/>
        <v>100</v>
      </c>
      <c r="X32" s="1351"/>
      <c r="Y32" s="3689" t="s">
        <v>1696</v>
      </c>
      <c r="Z32" s="1352" t="str">
        <f t="shared" si="18"/>
        <v>建筑类型</v>
      </c>
      <c r="AA32" s="1349">
        <f t="shared" si="15"/>
        <v>1</v>
      </c>
      <c r="AB32" s="1349">
        <f t="shared" si="16"/>
        <v>1</v>
      </c>
      <c r="AC32" s="1349">
        <f t="shared" si="17"/>
        <v>1</v>
      </c>
    </row>
    <row r="33" spans="1:29" s="421" customFormat="1" ht="15">
      <c r="A33" s="418"/>
      <c r="B33" s="374" t="s">
        <v>1697</v>
      </c>
      <c r="C33" s="419">
        <v>73265.61</v>
      </c>
      <c r="D33" s="126">
        <v>100</v>
      </c>
      <c r="E33" s="380">
        <v>76560.039999999994</v>
      </c>
      <c r="F33" s="375">
        <f>LOOKUP(E33,103:103,104:104)-LOOKUP(C33,103:103,104:104)+100</f>
        <v>100</v>
      </c>
      <c r="G33" s="379">
        <v>192100</v>
      </c>
      <c r="H33" s="126">
        <f>LOOKUP(G33,103:103,104:104)-LOOKUP(C33,103:103,104:104)+100</f>
        <v>102</v>
      </c>
      <c r="I33" s="380">
        <v>38738</v>
      </c>
      <c r="J33" s="126">
        <f>LOOKUP(I33,103:103,104:104)-LOOKUP(C33,103:103,104:104)+100</f>
        <v>98</v>
      </c>
      <c r="K33" s="1890"/>
      <c r="L33" s="2717"/>
      <c r="M33" s="2719"/>
      <c r="N33" s="2719"/>
      <c r="O33" s="2719"/>
      <c r="P33" s="3687"/>
      <c r="Q33" s="705" t="str">
        <f t="shared" si="11"/>
        <v>项目建筑规模</v>
      </c>
      <c r="R33" s="706" t="s">
        <v>18</v>
      </c>
      <c r="S33" s="707">
        <f t="shared" si="12"/>
        <v>100</v>
      </c>
      <c r="T33" s="706" t="s">
        <v>18</v>
      </c>
      <c r="U33" s="707">
        <f t="shared" si="13"/>
        <v>102</v>
      </c>
      <c r="V33" s="706" t="s">
        <v>18</v>
      </c>
      <c r="W33" s="707">
        <f t="shared" si="14"/>
        <v>98</v>
      </c>
      <c r="X33" s="708"/>
      <c r="Y33" s="3689"/>
      <c r="Z33" s="709" t="str">
        <f t="shared" si="18"/>
        <v>项目建筑规模</v>
      </c>
      <c r="AA33" s="1349">
        <f t="shared" si="15"/>
        <v>1</v>
      </c>
      <c r="AB33" s="1349">
        <f t="shared" si="16"/>
        <v>0.98039215686274506</v>
      </c>
      <c r="AC33" s="1349">
        <f t="shared" si="17"/>
        <v>1.0204081632653061</v>
      </c>
    </row>
    <row r="34" spans="1:29" ht="15">
      <c r="A34" s="422"/>
      <c r="B34" s="374" t="s">
        <v>1698</v>
      </c>
      <c r="C34" s="1908" t="s">
        <v>8714</v>
      </c>
      <c r="D34" s="385">
        <v>100</v>
      </c>
      <c r="E34" s="1908" t="s">
        <v>8714</v>
      </c>
      <c r="F34" s="411">
        <f>SUMIF(105:105,E34,106:106)-SUMIF(105:105,C34,106:106)+100</f>
        <v>100</v>
      </c>
      <c r="G34" s="1908" t="s">
        <v>8714</v>
      </c>
      <c r="H34" s="385">
        <f>SUMIF(105:105,G34,106:106)-SUMIF(105:105,C34,106:106)+100</f>
        <v>100</v>
      </c>
      <c r="I34" s="1908" t="s">
        <v>8714</v>
      </c>
      <c r="J34" s="385">
        <f>SUMIF(105:105,I34,106:106)-SUMIF(105:105,C34,106:106)+100</f>
        <v>100</v>
      </c>
      <c r="K34" s="376"/>
      <c r="L34" s="2718"/>
      <c r="M34" s="2712"/>
      <c r="N34" s="2712"/>
      <c r="O34" s="2712"/>
      <c r="P34" s="3687"/>
      <c r="Q34" s="1348" t="str">
        <f t="shared" si="11"/>
        <v>建筑结构</v>
      </c>
      <c r="R34" s="703" t="s">
        <v>18</v>
      </c>
      <c r="S34" s="704">
        <f t="shared" si="12"/>
        <v>100</v>
      </c>
      <c r="T34" s="703" t="s">
        <v>18</v>
      </c>
      <c r="U34" s="704">
        <f t="shared" si="13"/>
        <v>100</v>
      </c>
      <c r="V34" s="703" t="s">
        <v>18</v>
      </c>
      <c r="W34" s="704">
        <f t="shared" si="14"/>
        <v>100</v>
      </c>
      <c r="X34" s="1351"/>
      <c r="Y34" s="3689"/>
      <c r="Z34" s="1352" t="str">
        <f t="shared" si="18"/>
        <v>建筑结构</v>
      </c>
      <c r="AA34" s="1349">
        <f t="shared" si="15"/>
        <v>1</v>
      </c>
      <c r="AB34" s="1349">
        <f t="shared" si="16"/>
        <v>1</v>
      </c>
      <c r="AC34" s="1349">
        <f t="shared" si="17"/>
        <v>1</v>
      </c>
    </row>
    <row r="35" spans="1:29" ht="15">
      <c r="A35" s="422"/>
      <c r="B35" s="374" t="s">
        <v>1699</v>
      </c>
      <c r="C35" s="1902" t="s">
        <v>6395</v>
      </c>
      <c r="D35" s="385">
        <v>100</v>
      </c>
      <c r="E35" s="1902" t="s">
        <v>6395</v>
      </c>
      <c r="F35" s="411">
        <f>SUMIF(107:107,E35,108:108)-SUMIF(107:107,C35,108:108)+100</f>
        <v>100</v>
      </c>
      <c r="G35" s="1902" t="s">
        <v>6395</v>
      </c>
      <c r="H35" s="385">
        <f>SUMIF(107:107,G35,108:108)-SUMIF(107:107,C35,108:108)+100</f>
        <v>100</v>
      </c>
      <c r="I35" s="1902" t="s">
        <v>6395</v>
      </c>
      <c r="J35" s="385">
        <f>SUMIF(107:107,I35,108:108)-SUMIF(107:107,C35,108:108)+100</f>
        <v>100</v>
      </c>
      <c r="K35" s="376"/>
      <c r="L35" s="2718"/>
      <c r="M35" s="2712"/>
      <c r="N35" s="2712"/>
      <c r="O35" s="2712"/>
      <c r="P35" s="3687"/>
      <c r="Q35" s="1348" t="str">
        <f t="shared" si="11"/>
        <v>建筑品质</v>
      </c>
      <c r="R35" s="703" t="s">
        <v>18</v>
      </c>
      <c r="S35" s="704">
        <f t="shared" si="12"/>
        <v>100</v>
      </c>
      <c r="T35" s="703" t="s">
        <v>18</v>
      </c>
      <c r="U35" s="704">
        <f t="shared" si="13"/>
        <v>100</v>
      </c>
      <c r="V35" s="703" t="s">
        <v>18</v>
      </c>
      <c r="W35" s="704">
        <f t="shared" si="14"/>
        <v>100</v>
      </c>
      <c r="X35" s="1351"/>
      <c r="Y35" s="3689"/>
      <c r="Z35" s="1352" t="str">
        <f t="shared" si="18"/>
        <v>建筑品质</v>
      </c>
      <c r="AA35" s="1349">
        <f t="shared" si="15"/>
        <v>1</v>
      </c>
      <c r="AB35" s="1349">
        <f t="shared" si="16"/>
        <v>1</v>
      </c>
      <c r="AC35" s="1349">
        <f t="shared" si="17"/>
        <v>1</v>
      </c>
    </row>
    <row r="36" spans="1:29" ht="15">
      <c r="A36" s="422"/>
      <c r="B36" s="374" t="s">
        <v>1700</v>
      </c>
      <c r="C36" s="1902" t="s">
        <v>8678</v>
      </c>
      <c r="D36" s="385">
        <v>100</v>
      </c>
      <c r="E36" s="1902" t="s">
        <v>8678</v>
      </c>
      <c r="F36" s="411">
        <f>SUMIF(109:109,E36,110:110)-SUMIF(109:109,C36,110:110)+100</f>
        <v>100</v>
      </c>
      <c r="G36" s="1902" t="s">
        <v>8678</v>
      </c>
      <c r="H36" s="385">
        <f>SUMIF(109:109,G36,110:110)-SUMIF(109:109,C36,110:110)+100</f>
        <v>100</v>
      </c>
      <c r="I36" s="1902" t="s">
        <v>8678</v>
      </c>
      <c r="J36" s="385">
        <f>SUMIF(109:109,I36,110:110)-SUMIF(109:109,C36,110:110)+100</f>
        <v>100</v>
      </c>
      <c r="K36" s="376"/>
      <c r="L36" s="2718"/>
      <c r="M36" s="2712"/>
      <c r="N36" s="2712"/>
      <c r="O36" s="2712"/>
      <c r="P36" s="3687"/>
      <c r="Q36" s="1348" t="str">
        <f t="shared" si="11"/>
        <v>公共部分装修</v>
      </c>
      <c r="R36" s="703" t="s">
        <v>18</v>
      </c>
      <c r="S36" s="704">
        <f t="shared" si="12"/>
        <v>100</v>
      </c>
      <c r="T36" s="703" t="s">
        <v>18</v>
      </c>
      <c r="U36" s="704">
        <f t="shared" si="13"/>
        <v>100</v>
      </c>
      <c r="V36" s="703" t="s">
        <v>18</v>
      </c>
      <c r="W36" s="704">
        <f t="shared" si="14"/>
        <v>100</v>
      </c>
      <c r="X36" s="1351"/>
      <c r="Y36" s="3689"/>
      <c r="Z36" s="1352" t="str">
        <f t="shared" si="18"/>
        <v>公共部分装修</v>
      </c>
      <c r="AA36" s="1349">
        <f t="shared" si="15"/>
        <v>1</v>
      </c>
      <c r="AB36" s="1349">
        <f t="shared" si="16"/>
        <v>1</v>
      </c>
      <c r="AC36" s="1349">
        <f t="shared" si="17"/>
        <v>1</v>
      </c>
    </row>
    <row r="37" spans="1:29" s="107" customFormat="1" ht="15">
      <c r="A37" s="423"/>
      <c r="B37" s="374" t="s">
        <v>1701</v>
      </c>
      <c r="C37" s="424">
        <f>'数据-取费表'!N6</f>
        <v>0.98</v>
      </c>
      <c r="D37" s="126">
        <v>100</v>
      </c>
      <c r="E37" s="424">
        <f>C37</f>
        <v>0.98</v>
      </c>
      <c r="F37" s="375">
        <f>LOOKUP(E37,112:112,113:113)-LOOKUP(C37,112:112,113:113)+100</f>
        <v>100</v>
      </c>
      <c r="G37" s="426">
        <f>C37</f>
        <v>0.98</v>
      </c>
      <c r="H37" s="126">
        <f>LOOKUP(G37,112:112,113:113)-LOOKUP(C37,112:112,113:113)+100</f>
        <v>100</v>
      </c>
      <c r="I37" s="425">
        <f>C37</f>
        <v>0.98</v>
      </c>
      <c r="J37" s="126">
        <f>LOOKUP(I37,112:112,113:113)-LOOKUP(C37,112:112,113:113)+100</f>
        <v>100</v>
      </c>
      <c r="K37" s="376"/>
      <c r="L37" s="2713"/>
      <c r="M37" s="2714"/>
      <c r="N37" s="2714"/>
      <c r="O37" s="2714"/>
      <c r="P37" s="3687"/>
      <c r="Q37" s="1339" t="str">
        <f t="shared" si="11"/>
        <v>成新度</v>
      </c>
      <c r="R37" s="699" t="s">
        <v>18</v>
      </c>
      <c r="S37" s="700">
        <f t="shared" si="12"/>
        <v>100</v>
      </c>
      <c r="T37" s="699" t="s">
        <v>18</v>
      </c>
      <c r="U37" s="700">
        <f t="shared" si="13"/>
        <v>100</v>
      </c>
      <c r="V37" s="699" t="s">
        <v>18</v>
      </c>
      <c r="W37" s="700">
        <f t="shared" si="14"/>
        <v>100</v>
      </c>
      <c r="X37" s="701"/>
      <c r="Y37" s="3689"/>
      <c r="Z37" s="52" t="str">
        <f t="shared" si="18"/>
        <v>成新度</v>
      </c>
      <c r="AA37" s="702">
        <f t="shared" si="15"/>
        <v>1</v>
      </c>
      <c r="AB37" s="702">
        <f t="shared" si="16"/>
        <v>1</v>
      </c>
      <c r="AC37" s="702">
        <f t="shared" si="17"/>
        <v>1</v>
      </c>
    </row>
    <row r="38" spans="1:29" ht="15">
      <c r="A38" s="422"/>
      <c r="B38" s="374" t="s">
        <v>1702</v>
      </c>
      <c r="C38" s="1902" t="s">
        <v>8733</v>
      </c>
      <c r="D38" s="385">
        <v>100</v>
      </c>
      <c r="E38" s="1902" t="s">
        <v>8733</v>
      </c>
      <c r="F38" s="411">
        <f>SUMIF(114:114,E38,115:115)-SUMIF(114:114,C38,115:115)+100</f>
        <v>100</v>
      </c>
      <c r="G38" s="1902" t="s">
        <v>8733</v>
      </c>
      <c r="H38" s="385">
        <f>SUMIF(114:114,G38,115:115)-SUMIF(114:114,C38,115:115)+100</f>
        <v>100</v>
      </c>
      <c r="I38" s="1902" t="s">
        <v>8733</v>
      </c>
      <c r="J38" s="385">
        <f>SUMIF(114:114,I38,115:115)-SUMIF(114:114,C38,115:115)+100</f>
        <v>100</v>
      </c>
      <c r="K38" s="376"/>
      <c r="L38" s="2718"/>
      <c r="M38" s="2712"/>
      <c r="N38" s="2712"/>
      <c r="O38" s="2712"/>
      <c r="P38" s="3687" t="s">
        <v>1696</v>
      </c>
      <c r="Q38" s="1348" t="str">
        <f t="shared" si="11"/>
        <v>物业管理</v>
      </c>
      <c r="R38" s="703" t="s">
        <v>18</v>
      </c>
      <c r="S38" s="704">
        <f t="shared" si="12"/>
        <v>100</v>
      </c>
      <c r="T38" s="703" t="s">
        <v>18</v>
      </c>
      <c r="U38" s="704">
        <f t="shared" si="13"/>
        <v>100</v>
      </c>
      <c r="V38" s="703" t="s">
        <v>18</v>
      </c>
      <c r="W38" s="704">
        <f t="shared" si="14"/>
        <v>100</v>
      </c>
      <c r="X38" s="1351"/>
      <c r="Y38" s="3689" t="s">
        <v>1696</v>
      </c>
      <c r="Z38" s="1352" t="str">
        <f t="shared" si="18"/>
        <v>物业管理</v>
      </c>
      <c r="AA38" s="1349">
        <f t="shared" si="15"/>
        <v>1</v>
      </c>
      <c r="AB38" s="1349">
        <f t="shared" si="16"/>
        <v>1</v>
      </c>
      <c r="AC38" s="1349">
        <f t="shared" si="17"/>
        <v>1</v>
      </c>
    </row>
    <row r="39" spans="1:29" ht="15">
      <c r="A39" s="422"/>
      <c r="B39" s="374" t="s">
        <v>1703</v>
      </c>
      <c r="C39" s="1902" t="s">
        <v>8684</v>
      </c>
      <c r="D39" s="385">
        <v>100</v>
      </c>
      <c r="E39" s="1902" t="s">
        <v>8684</v>
      </c>
      <c r="F39" s="411">
        <f>SUMIF(116:116,E39,117:117)-SUMIF(116:116,C39,117:117)+100</f>
        <v>100</v>
      </c>
      <c r="G39" s="1902" t="s">
        <v>8684</v>
      </c>
      <c r="H39" s="385">
        <f>SUMIF(116:116,G39,117:117)-SUMIF(116:116,C39,117:117)+100</f>
        <v>100</v>
      </c>
      <c r="I39" s="1902" t="s">
        <v>8684</v>
      </c>
      <c r="J39" s="385">
        <f>SUMIF(116:116,I39,117:117)-SUMIF(116:116,C39,117:117)+100</f>
        <v>100</v>
      </c>
      <c r="K39" s="376"/>
      <c r="L39" s="2718"/>
      <c r="M39" s="2712"/>
      <c r="N39" s="2712"/>
      <c r="O39" s="2712"/>
      <c r="P39" s="3687"/>
      <c r="Q39" s="1348" t="str">
        <f t="shared" si="11"/>
        <v>市政基础设施</v>
      </c>
      <c r="R39" s="703" t="s">
        <v>18</v>
      </c>
      <c r="S39" s="704">
        <f t="shared" si="12"/>
        <v>100</v>
      </c>
      <c r="T39" s="703" t="s">
        <v>18</v>
      </c>
      <c r="U39" s="704">
        <f t="shared" si="13"/>
        <v>100</v>
      </c>
      <c r="V39" s="703" t="s">
        <v>18</v>
      </c>
      <c r="W39" s="704">
        <f t="shared" si="14"/>
        <v>100</v>
      </c>
      <c r="X39" s="1351"/>
      <c r="Y39" s="3689"/>
      <c r="Z39" s="1352" t="str">
        <f t="shared" si="18"/>
        <v>市政基础设施</v>
      </c>
      <c r="AA39" s="1349">
        <f t="shared" si="15"/>
        <v>1</v>
      </c>
      <c r="AB39" s="1349">
        <f t="shared" si="16"/>
        <v>1</v>
      </c>
      <c r="AC39" s="1349">
        <f t="shared" si="17"/>
        <v>1</v>
      </c>
    </row>
    <row r="40" spans="1:29" ht="15">
      <c r="A40" s="422"/>
      <c r="B40" s="374" t="s">
        <v>1704</v>
      </c>
      <c r="C40" s="1902" t="s">
        <v>8765</v>
      </c>
      <c r="D40" s="385">
        <v>100</v>
      </c>
      <c r="E40" s="1902" t="s">
        <v>8765</v>
      </c>
      <c r="F40" s="411">
        <f>SUMIF(118:118,E40,119:119)-SUMIF(118:118,C40,119:119)+100</f>
        <v>100</v>
      </c>
      <c r="G40" s="1902" t="s">
        <v>8765</v>
      </c>
      <c r="H40" s="385">
        <f>SUMIF(118:118,G40,119:119)-SUMIF(118:118,C40,119:119)+100</f>
        <v>100</v>
      </c>
      <c r="I40" s="1902" t="s">
        <v>8765</v>
      </c>
      <c r="J40" s="385">
        <f>SUMIF(118:118,I40,119:119)-SUMIF(118:118,C40,119:119)+100</f>
        <v>100</v>
      </c>
      <c r="K40" s="376"/>
      <c r="L40" s="2718"/>
      <c r="M40" s="2712"/>
      <c r="N40" s="2712"/>
      <c r="O40" s="2712"/>
      <c r="P40" s="3687"/>
      <c r="Q40" s="1348" t="str">
        <f t="shared" si="11"/>
        <v>房型</v>
      </c>
      <c r="R40" s="703" t="s">
        <v>18</v>
      </c>
      <c r="S40" s="704">
        <f t="shared" si="12"/>
        <v>100</v>
      </c>
      <c r="T40" s="703" t="s">
        <v>18</v>
      </c>
      <c r="U40" s="704">
        <f t="shared" si="13"/>
        <v>100</v>
      </c>
      <c r="V40" s="703" t="s">
        <v>18</v>
      </c>
      <c r="W40" s="704">
        <f t="shared" si="14"/>
        <v>100</v>
      </c>
      <c r="X40" s="1351"/>
      <c r="Y40" s="3689"/>
      <c r="Z40" s="1352" t="str">
        <f t="shared" si="18"/>
        <v>房型</v>
      </c>
      <c r="AA40" s="1349">
        <f t="shared" si="15"/>
        <v>1</v>
      </c>
      <c r="AB40" s="1349">
        <f t="shared" si="16"/>
        <v>1</v>
      </c>
      <c r="AC40" s="1349">
        <f t="shared" si="17"/>
        <v>1</v>
      </c>
    </row>
    <row r="41" spans="1:29" s="421" customFormat="1" ht="28.5" hidden="1">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687"/>
      <c r="Q41" s="705" t="str">
        <f t="shared" si="11"/>
        <v>单套/主力户型建筑面积</v>
      </c>
      <c r="R41" s="706" t="s">
        <v>18</v>
      </c>
      <c r="S41" s="707">
        <f t="shared" si="12"/>
        <v>100</v>
      </c>
      <c r="T41" s="706" t="s">
        <v>18</v>
      </c>
      <c r="U41" s="707">
        <f t="shared" si="13"/>
        <v>100</v>
      </c>
      <c r="V41" s="706" t="s">
        <v>18</v>
      </c>
      <c r="W41" s="707">
        <f t="shared" si="14"/>
        <v>100</v>
      </c>
      <c r="X41" s="708"/>
      <c r="Y41" s="3689"/>
      <c r="Z41" s="709" t="str">
        <f t="shared" si="18"/>
        <v>单套/主力户型建筑面积</v>
      </c>
      <c r="AA41" s="1349">
        <f t="shared" si="15"/>
        <v>1</v>
      </c>
      <c r="AB41" s="1349">
        <f t="shared" si="16"/>
        <v>1</v>
      </c>
      <c r="AC41" s="1349">
        <f t="shared" si="17"/>
        <v>1</v>
      </c>
    </row>
    <row r="42" spans="1:29" ht="15">
      <c r="A42" s="422"/>
      <c r="B42" s="374" t="s">
        <v>1706</v>
      </c>
      <c r="C42" s="1902" t="s">
        <v>8678</v>
      </c>
      <c r="D42" s="385">
        <v>100</v>
      </c>
      <c r="E42" s="1903" t="s">
        <v>8678</v>
      </c>
      <c r="F42" s="411">
        <f>SUMIF(122:122,E42,123:123)-SUMIF(122:122,C42,123:123)+100</f>
        <v>100</v>
      </c>
      <c r="G42" s="1902" t="s">
        <v>8680</v>
      </c>
      <c r="H42" s="385">
        <f>SUMIF(122:122,G42,123:123)-SUMIF(122:122,C42,123:123)+100</f>
        <v>96</v>
      </c>
      <c r="I42" s="1903" t="s">
        <v>8680</v>
      </c>
      <c r="J42" s="385">
        <f>SUMIF(122:122,I42,123:123)-SUMIF(122:122,C42,123:123)+100</f>
        <v>96</v>
      </c>
      <c r="K42" s="376">
        <v>2</v>
      </c>
      <c r="L42" s="2718"/>
      <c r="M42" s="2712"/>
      <c r="N42" s="2712"/>
      <c r="O42" s="2712"/>
      <c r="P42" s="3687"/>
      <c r="Q42" s="1348" t="str">
        <f t="shared" si="11"/>
        <v>内部装修</v>
      </c>
      <c r="R42" s="703" t="s">
        <v>18</v>
      </c>
      <c r="S42" s="704">
        <f t="shared" si="12"/>
        <v>100</v>
      </c>
      <c r="T42" s="703" t="s">
        <v>18</v>
      </c>
      <c r="U42" s="704">
        <f t="shared" si="13"/>
        <v>96</v>
      </c>
      <c r="V42" s="703" t="s">
        <v>18</v>
      </c>
      <c r="W42" s="704">
        <f t="shared" si="14"/>
        <v>96</v>
      </c>
      <c r="X42" s="1351"/>
      <c r="Y42" s="3689"/>
      <c r="Z42" s="1352" t="str">
        <f t="shared" si="18"/>
        <v>内部装修</v>
      </c>
      <c r="AA42" s="1349">
        <f t="shared" si="15"/>
        <v>1</v>
      </c>
      <c r="AB42" s="1349">
        <f t="shared" si="16"/>
        <v>1.0416666666666667</v>
      </c>
      <c r="AC42" s="1349">
        <f t="shared" si="17"/>
        <v>1.0416666666666667</v>
      </c>
    </row>
    <row r="43" spans="1:29" ht="15.75" thickBot="1">
      <c r="A43" s="422"/>
      <c r="B43" s="374" t="s">
        <v>1707</v>
      </c>
      <c r="C43" s="1902" t="s">
        <v>6395</v>
      </c>
      <c r="D43" s="385">
        <v>100</v>
      </c>
      <c r="E43" s="1902" t="s">
        <v>6395</v>
      </c>
      <c r="F43" s="411">
        <f>SUMIF(124:124,E43,125:125)-SUMIF(124:124,C43,125:125)+100</f>
        <v>100</v>
      </c>
      <c r="G43" s="1902" t="s">
        <v>6395</v>
      </c>
      <c r="H43" s="385">
        <f>SUMIF(124:124,G43,125:125)-SUMIF(124:124,C43,125:125)+100</f>
        <v>100</v>
      </c>
      <c r="I43" s="1902" t="s">
        <v>6395</v>
      </c>
      <c r="J43" s="385">
        <f>SUMIF(124:124,I43,125:125)-SUMIF(124:124,C43,125:125)+100</f>
        <v>100</v>
      </c>
      <c r="K43" s="376"/>
      <c r="L43" s="2718"/>
      <c r="M43" s="2712"/>
      <c r="N43" s="2712"/>
      <c r="O43" s="2712"/>
      <c r="P43" s="3687"/>
      <c r="Q43" s="1348" t="str">
        <f t="shared" si="11"/>
        <v>内部装修维护情况</v>
      </c>
      <c r="R43" s="703" t="s">
        <v>18</v>
      </c>
      <c r="S43" s="704">
        <f t="shared" si="12"/>
        <v>100</v>
      </c>
      <c r="T43" s="703" t="s">
        <v>18</v>
      </c>
      <c r="U43" s="704">
        <f t="shared" si="13"/>
        <v>100</v>
      </c>
      <c r="V43" s="703" t="s">
        <v>18</v>
      </c>
      <c r="W43" s="704">
        <f t="shared" si="14"/>
        <v>100</v>
      </c>
      <c r="X43" s="1351"/>
      <c r="Y43" s="3689"/>
      <c r="Z43" s="1352" t="str">
        <f t="shared" si="18"/>
        <v>内部装修维护情况</v>
      </c>
      <c r="AA43" s="1349">
        <f t="shared" si="15"/>
        <v>1</v>
      </c>
      <c r="AB43" s="1349">
        <f t="shared" si="16"/>
        <v>1</v>
      </c>
      <c r="AC43" s="1349">
        <f t="shared" si="17"/>
        <v>1</v>
      </c>
    </row>
    <row r="44" spans="1:29" s="107" customFormat="1" ht="15" hidden="1">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687"/>
      <c r="Q44" s="1339">
        <f t="shared" si="11"/>
        <v>111</v>
      </c>
      <c r="R44" s="699" t="s">
        <v>18</v>
      </c>
      <c r="S44" s="700">
        <f t="shared" si="12"/>
        <v>100</v>
      </c>
      <c r="T44" s="699" t="s">
        <v>18</v>
      </c>
      <c r="U44" s="700">
        <f t="shared" si="13"/>
        <v>100</v>
      </c>
      <c r="V44" s="699" t="s">
        <v>18</v>
      </c>
      <c r="W44" s="700">
        <f t="shared" si="14"/>
        <v>100</v>
      </c>
      <c r="X44" s="701"/>
      <c r="Y44" s="3689"/>
      <c r="Z44" s="52">
        <f t="shared" si="18"/>
        <v>111</v>
      </c>
      <c r="AA44" s="702">
        <f t="shared" si="15"/>
        <v>1</v>
      </c>
      <c r="AB44" s="702">
        <f t="shared" si="16"/>
        <v>1</v>
      </c>
      <c r="AC44" s="702">
        <f t="shared" si="17"/>
        <v>1</v>
      </c>
    </row>
    <row r="45" spans="1:29" ht="15" hidden="1">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687"/>
      <c r="Q45" s="1348">
        <f t="shared" si="11"/>
        <v>111</v>
      </c>
      <c r="R45" s="703" t="s">
        <v>18</v>
      </c>
      <c r="S45" s="704">
        <f t="shared" si="12"/>
        <v>100</v>
      </c>
      <c r="T45" s="703" t="s">
        <v>18</v>
      </c>
      <c r="U45" s="704">
        <f t="shared" si="13"/>
        <v>100</v>
      </c>
      <c r="V45" s="703" t="s">
        <v>18</v>
      </c>
      <c r="W45" s="704">
        <f t="shared" si="14"/>
        <v>100</v>
      </c>
      <c r="X45" s="1351"/>
      <c r="Y45" s="3689"/>
      <c r="Z45" s="1352">
        <f t="shared" si="18"/>
        <v>111</v>
      </c>
      <c r="AA45" s="1349">
        <f t="shared" si="15"/>
        <v>1</v>
      </c>
      <c r="AB45" s="1349">
        <f t="shared" si="16"/>
        <v>1</v>
      </c>
      <c r="AC45" s="1349">
        <f t="shared" si="17"/>
        <v>1</v>
      </c>
    </row>
    <row r="46" spans="1:29" ht="15.75" hidden="1"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688"/>
      <c r="Q46" s="1348">
        <f t="shared" si="11"/>
        <v>111</v>
      </c>
      <c r="R46" s="703" t="s">
        <v>17</v>
      </c>
      <c r="S46" s="704">
        <f t="shared" si="12"/>
        <v>100</v>
      </c>
      <c r="T46" s="703" t="s">
        <v>17</v>
      </c>
      <c r="U46" s="704">
        <f t="shared" si="13"/>
        <v>100</v>
      </c>
      <c r="V46" s="703" t="s">
        <v>17</v>
      </c>
      <c r="W46" s="704">
        <f t="shared" si="14"/>
        <v>100</v>
      </c>
      <c r="X46" s="1351"/>
      <c r="Y46" s="3690"/>
      <c r="Z46" s="1352">
        <f t="shared" si="18"/>
        <v>111</v>
      </c>
      <c r="AA46" s="1349">
        <f t="shared" si="15"/>
        <v>1</v>
      </c>
      <c r="AB46" s="1349">
        <f t="shared" si="16"/>
        <v>1</v>
      </c>
      <c r="AC46" s="1349">
        <f t="shared" si="17"/>
        <v>1</v>
      </c>
    </row>
    <row r="47" spans="1:29" ht="15">
      <c r="A47" s="429" t="s">
        <v>1708</v>
      </c>
      <c r="B47" s="430"/>
      <c r="C47" s="1150" t="s">
        <v>16</v>
      </c>
      <c r="D47" s="1151"/>
      <c r="E47" s="3534">
        <f>金地大湖风华中指!L17</f>
        <v>33018.833333333336</v>
      </c>
      <c r="F47" s="1153"/>
      <c r="G47" s="3535">
        <f>天恒·京西悦府!N3</f>
        <v>32293.75</v>
      </c>
      <c r="H47" s="1155"/>
      <c r="I47" s="1152">
        <f>中国铁建·山语澜廷中指1!$L$51</f>
        <v>33385</v>
      </c>
      <c r="J47" s="1155"/>
      <c r="K47" s="1910"/>
      <c r="L47" s="2720"/>
      <c r="M47" s="2721"/>
      <c r="N47" s="2712"/>
      <c r="O47" s="2721"/>
      <c r="P47" s="3691" t="str">
        <f>A47</f>
        <v>成交单价（元/平方米）</v>
      </c>
      <c r="Q47" s="3691"/>
      <c r="R47" s="3692">
        <f>E47</f>
        <v>33018.833333333336</v>
      </c>
      <c r="S47" s="3692"/>
      <c r="T47" s="3692">
        <f>G47</f>
        <v>32293.75</v>
      </c>
      <c r="U47" s="3692"/>
      <c r="V47" s="3692">
        <f>I47</f>
        <v>33385</v>
      </c>
      <c r="W47" s="3692"/>
      <c r="X47" s="688"/>
      <c r="Y47" s="710"/>
      <c r="Z47" s="688"/>
      <c r="AA47" s="688"/>
      <c r="AB47" s="688"/>
      <c r="AC47" s="688"/>
    </row>
    <row r="48" spans="1:29" ht="15.75" thickBot="1">
      <c r="A48" s="436" t="s">
        <v>1709</v>
      </c>
      <c r="B48" s="437"/>
      <c r="C48" s="3558">
        <f>R49</f>
        <v>32804.199999999997</v>
      </c>
      <c r="D48" s="2313" t="s">
        <v>2138</v>
      </c>
      <c r="E48" s="3559">
        <f>R48</f>
        <v>33018.800000000003</v>
      </c>
      <c r="F48" s="2314"/>
      <c r="G48" s="3558">
        <f>T48</f>
        <v>30252.400000000001</v>
      </c>
      <c r="H48" s="2314"/>
      <c r="I48" s="3559">
        <f>V48</f>
        <v>35141.4</v>
      </c>
      <c r="J48" s="2314"/>
      <c r="K48" s="2315">
        <f>F48+H48+J48</f>
        <v>0</v>
      </c>
      <c r="L48" s="2720"/>
      <c r="M48" s="2721"/>
      <c r="N48" s="2721"/>
      <c r="O48" s="2721"/>
      <c r="P48" s="3691" t="str">
        <f>A48</f>
        <v>比较价值（元/平方米）</v>
      </c>
      <c r="Q48" s="3691"/>
      <c r="R48" s="3692">
        <f>IF(F1="售价",ROUND(PRODUCT(R47,AA7:AA46),0),ROUND(PRODUCT(R47,AA7:AA46),1))</f>
        <v>33018.800000000003</v>
      </c>
      <c r="S48" s="3692"/>
      <c r="T48" s="3692">
        <f>IF(F1="售价",ROUND(PRODUCT(T47,AB7:AB46),0),ROUND(PRODUCT(T47,AB7:AB46),1))</f>
        <v>30252.400000000001</v>
      </c>
      <c r="U48" s="3692"/>
      <c r="V48" s="3692">
        <f>IF(F1="售价",ROUND(PRODUCT(V47,AC7:AC46),0),ROUND(PRODUCT(V47,AC7:AC46),1))</f>
        <v>35141.4</v>
      </c>
      <c r="W48" s="3692"/>
      <c r="X48" s="688"/>
      <c r="Y48" s="688"/>
      <c r="Z48" s="688"/>
      <c r="AA48" s="688"/>
      <c r="AB48" s="688"/>
      <c r="AC48" s="688"/>
    </row>
    <row r="49" spans="1:29" ht="15.75" thickBot="1">
      <c r="A49" s="440" t="s">
        <v>1710</v>
      </c>
      <c r="B49" s="441"/>
      <c r="C49" s="3560">
        <f>R49</f>
        <v>32804.199999999997</v>
      </c>
      <c r="D49" s="1159"/>
      <c r="E49" s="1159"/>
      <c r="F49" s="1159"/>
      <c r="G49" s="1159"/>
      <c r="H49" s="1159"/>
      <c r="I49" s="1159"/>
      <c r="J49" s="1159"/>
      <c r="K49" s="1911"/>
      <c r="L49" s="2720"/>
      <c r="M49" s="2721"/>
      <c r="N49" s="2721"/>
      <c r="O49" s="2721"/>
      <c r="P49" s="3693" t="str">
        <f>A49</f>
        <v>估价对象XX用房的比较价值（楼面单价，元/平方米）</v>
      </c>
      <c r="Q49" s="3694"/>
      <c r="R49" s="3695">
        <f>IF(F1="售价",ROUND(IF(D48="简单平均",AVERAGE(R48:V48),R48*F48+T48*H48+V48*J48),0),ROUND(IF(D48="简单平均",AVERAGE(R48:V48),R48*F48+T48*H48+V48*J48),1))</f>
        <v>32804.199999999997</v>
      </c>
      <c r="S49" s="3695"/>
      <c r="T49" s="3695"/>
      <c r="U49" s="3695"/>
      <c r="V49" s="3695"/>
      <c r="W49" s="369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f>IF(E47&lt;E48,E48/E47-1,E47/E48-1)</f>
        <v>1.0095258862197198E-6</v>
      </c>
      <c r="F52" s="448" t="str">
        <f>IF(OR(E52&gt;=0.3,E52&lt;=-0.3),"超过30%","")</f>
        <v/>
      </c>
      <c r="G52" s="447">
        <f>IF(G47&lt;G48,G48/G47-1,G47/G48-1)</f>
        <v>6.7477291057899569E-2</v>
      </c>
      <c r="H52" s="448" t="str">
        <f>IF(OR(G52&gt;=0.3,G52&lt;=-0.3),"超过30%","")</f>
        <v/>
      </c>
      <c r="I52" s="447">
        <f>IF(I47&lt;I48,I48/I47-1,I47/I48-1)</f>
        <v>5.261045379661522E-2</v>
      </c>
      <c r="J52" s="448" t="str">
        <f>IF(OR(I52&gt;=0.3,I52&lt;=-0.3),"超过30%","")</f>
        <v/>
      </c>
      <c r="K52" s="2726"/>
      <c r="L52" s="2722"/>
      <c r="M52" s="2721"/>
      <c r="N52" s="2721"/>
      <c r="O52" s="2721"/>
    </row>
    <row r="53" spans="1:29" ht="13.5" customHeight="1">
      <c r="A53" s="2721"/>
      <c r="B53" s="2721"/>
      <c r="C53" s="445" t="s">
        <v>1712</v>
      </c>
      <c r="D53" s="449"/>
      <c r="E53" s="447">
        <f>IF(E48&lt;G48,G48/E48-1,E48/G48-1)</f>
        <v>9.1443984609485662E-2</v>
      </c>
      <c r="F53" s="448" t="str">
        <f>IF(OR(E53&gt;=0.2,E53&lt;=-0.2),"超过20%","")</f>
        <v/>
      </c>
      <c r="G53" s="447">
        <f>IF(G48&lt;I48,I48/G48-1,G48/I48-1)</f>
        <v>0.16160701299731595</v>
      </c>
      <c r="H53" s="448" t="str">
        <f>IF(OR(G53&gt;=0.2,G53&lt;=-0.2),"超过20%","")</f>
        <v/>
      </c>
      <c r="I53" s="447">
        <f>IF(I48&lt;E48,E48/I48-1,I48/E48-1)</f>
        <v>6.4284589385440905E-2</v>
      </c>
      <c r="J53" s="448" t="str">
        <f>IF(OR(I53&gt;=0.2,I53&lt;=-0.2),"超过20%","")</f>
        <v/>
      </c>
      <c r="K53" s="2726"/>
      <c r="L53" s="2722"/>
      <c r="M53" s="2721"/>
      <c r="N53" s="2721"/>
      <c r="O53" s="2721"/>
    </row>
    <row r="54" spans="1:29" s="450" customFormat="1" ht="13.5" customHeight="1">
      <c r="A54" s="2724"/>
      <c r="B54" s="2724"/>
      <c r="C54" s="445" t="s">
        <v>1713</v>
      </c>
      <c r="D54" s="449"/>
      <c r="E54" s="447">
        <f>IF(E47&lt;G47,G47/E47-1,E47/G47-1)</f>
        <v>2.2452744984194695E-2</v>
      </c>
      <c r="F54" s="448" t="str">
        <f>IF(OR(E54&gt;=0.3,E54&lt;=-0.3),"超过30%","")</f>
        <v/>
      </c>
      <c r="G54" s="447">
        <f>IF(G47&lt;I47,I47/G47-1,G47/I47-1)</f>
        <v>3.3791368298819346E-2</v>
      </c>
      <c r="H54" s="448" t="str">
        <f>IF(OR(G54&gt;=0.3,G54&lt;=-0.3),"超过30%","")</f>
        <v/>
      </c>
      <c r="I54" s="447">
        <f>IF(I47&lt;E47,E47/I47-1,I47/E47-1)</f>
        <v>1.1089630665327199E-2</v>
      </c>
      <c r="J54" s="448" t="str">
        <f>IF(OR(I54&gt;=0.3,I54&lt;=-0.3),"超过30%","")</f>
        <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7"/>
      <c r="L57" s="938"/>
      <c r="M57" s="936"/>
      <c r="N57" s="936"/>
      <c r="O57" s="936"/>
      <c r="P57" s="1914"/>
      <c r="Q57" s="452"/>
    </row>
    <row r="58" spans="1:29" s="456" customFormat="1" ht="15">
      <c r="A58" s="453" t="s">
        <v>1715</v>
      </c>
      <c r="B58" s="454"/>
      <c r="C58" s="1182" t="str">
        <f>YEAR(C7)&amp;"-"&amp;MONTH(C7)</f>
        <v>2023-8</v>
      </c>
      <c r="D58" s="1181">
        <f>EDATE(C58,-1)</f>
        <v>45108</v>
      </c>
      <c r="E58" s="1181">
        <f>EDATE(D58,-1)</f>
        <v>45078</v>
      </c>
      <c r="F58" s="1181">
        <f t="shared" ref="F58:O58" si="19">EDATE(E58,-1)</f>
        <v>45047</v>
      </c>
      <c r="G58" s="1181">
        <f t="shared" si="19"/>
        <v>45017</v>
      </c>
      <c r="H58" s="1181">
        <f t="shared" si="19"/>
        <v>44986</v>
      </c>
      <c r="I58" s="1181">
        <f t="shared" si="19"/>
        <v>44958</v>
      </c>
      <c r="J58" s="1181">
        <f t="shared" si="19"/>
        <v>44927</v>
      </c>
      <c r="K58" s="1181">
        <f t="shared" si="19"/>
        <v>44896</v>
      </c>
      <c r="L58" s="1181">
        <f t="shared" si="19"/>
        <v>44866</v>
      </c>
      <c r="M58" s="1181">
        <f t="shared" si="19"/>
        <v>44835</v>
      </c>
      <c r="N58" s="1181">
        <f t="shared" si="19"/>
        <v>44805</v>
      </c>
      <c r="O58" s="1181">
        <f t="shared" si="19"/>
        <v>44774</v>
      </c>
      <c r="P58" s="1177"/>
    </row>
    <row r="59" spans="1:29" s="107" customFormat="1" ht="15">
      <c r="A59" s="457"/>
      <c r="B59" s="1915"/>
      <c r="C59" s="1179">
        <v>100</v>
      </c>
      <c r="D59" s="459">
        <v>100</v>
      </c>
      <c r="E59" s="460">
        <v>100</v>
      </c>
      <c r="F59" s="460">
        <v>100</v>
      </c>
      <c r="G59" s="460">
        <v>100</v>
      </c>
      <c r="H59" s="460">
        <v>100</v>
      </c>
      <c r="I59" s="460">
        <v>100</v>
      </c>
      <c r="J59" s="460">
        <v>100</v>
      </c>
      <c r="K59" s="460">
        <v>99</v>
      </c>
      <c r="L59" s="460">
        <v>99</v>
      </c>
      <c r="M59" s="461">
        <v>99</v>
      </c>
      <c r="N59" s="460">
        <v>99</v>
      </c>
      <c r="O59" s="461">
        <v>99</v>
      </c>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28"/>
      <c r="O61" s="928"/>
      <c r="P61" s="1917"/>
      <c r="Q61" s="452"/>
    </row>
    <row r="62" spans="1:29" s="107"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1719</v>
      </c>
      <c r="B63" s="476" t="s">
        <v>1685</v>
      </c>
      <c r="C63" s="477" t="str">
        <f>C9</f>
        <v>住宅</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1688</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1689</v>
      </c>
      <c r="C67" s="495" t="str">
        <f>C68&amp;"（含）"&amp;"-"&amp;D68</f>
        <v>0（含）-0.5</v>
      </c>
      <c r="D67" s="495" t="str">
        <f t="shared" ref="D67:L67" si="20">D68&amp;"（含）"&amp;"-"&amp;E68</f>
        <v>0.5（含）-1</v>
      </c>
      <c r="E67" s="495" t="str">
        <f t="shared" si="20"/>
        <v>1（含）-1.5</v>
      </c>
      <c r="F67" s="495" t="str">
        <f t="shared" si="20"/>
        <v>1.5（含）-2</v>
      </c>
      <c r="G67" s="495" t="str">
        <f t="shared" si="20"/>
        <v>2（含）-2.5</v>
      </c>
      <c r="H67" s="495" t="str">
        <f t="shared" si="20"/>
        <v>2.5（含）-3</v>
      </c>
      <c r="I67" s="495" t="str">
        <f t="shared" si="20"/>
        <v>3（含）-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3498">
        <v>0</v>
      </c>
      <c r="D68" s="3498">
        <f>C68+0.5</f>
        <v>0.5</v>
      </c>
      <c r="E68" s="3498">
        <f t="shared" ref="E68:I68" si="21">D68+0.5</f>
        <v>1</v>
      </c>
      <c r="F68" s="3498">
        <f t="shared" si="21"/>
        <v>1.5</v>
      </c>
      <c r="G68" s="3498">
        <f t="shared" si="21"/>
        <v>2</v>
      </c>
      <c r="H68" s="3498">
        <f t="shared" si="21"/>
        <v>2.5</v>
      </c>
      <c r="I68" s="3498">
        <f t="shared" si="21"/>
        <v>3</v>
      </c>
      <c r="J68" s="3498"/>
      <c r="K68" s="498"/>
      <c r="L68" s="499"/>
      <c r="M68" s="500"/>
      <c r="N68" s="929"/>
      <c r="O68" s="929"/>
      <c r="P68" s="1918"/>
      <c r="Q68" s="452"/>
    </row>
    <row r="69" spans="1:17" ht="15.75" thickBot="1">
      <c r="A69" s="482"/>
      <c r="B69" s="483"/>
      <c r="C69" s="492">
        <v>100</v>
      </c>
      <c r="D69" s="492">
        <f t="shared" ref="D69:M69" si="22">C69-$K11</f>
        <v>99</v>
      </c>
      <c r="E69" s="492">
        <f t="shared" si="22"/>
        <v>98</v>
      </c>
      <c r="F69" s="492">
        <f t="shared" si="22"/>
        <v>97</v>
      </c>
      <c r="G69" s="492">
        <f t="shared" si="22"/>
        <v>96</v>
      </c>
      <c r="H69" s="492">
        <f t="shared" si="22"/>
        <v>95</v>
      </c>
      <c r="I69" s="492">
        <f t="shared" si="22"/>
        <v>94</v>
      </c>
      <c r="J69" s="492">
        <f t="shared" si="22"/>
        <v>93</v>
      </c>
      <c r="K69" s="492">
        <f t="shared" si="22"/>
        <v>92</v>
      </c>
      <c r="L69" s="492">
        <f t="shared" si="22"/>
        <v>91</v>
      </c>
      <c r="M69" s="493">
        <f t="shared" si="22"/>
        <v>90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5.75" thickBot="1">
      <c r="A77" s="482"/>
      <c r="B77" s="491"/>
      <c r="C77" s="492">
        <v>100</v>
      </c>
      <c r="D77" s="492">
        <f>C77-$K15</f>
        <v>97</v>
      </c>
      <c r="E77" s="492">
        <f>D77-$K15</f>
        <v>94</v>
      </c>
      <c r="F77" s="492">
        <f>E77-$K15</f>
        <v>91</v>
      </c>
      <c r="G77" s="492">
        <f>F77-$K15</f>
        <v>88</v>
      </c>
      <c r="H77" s="492"/>
      <c r="I77" s="492"/>
      <c r="J77" s="492"/>
      <c r="K77" s="492"/>
      <c r="L77" s="492"/>
      <c r="M77" s="493"/>
      <c r="N77" s="930"/>
      <c r="O77" s="930"/>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5.75" thickBot="1">
      <c r="A79" s="482"/>
      <c r="B79" s="491"/>
      <c r="C79" s="492">
        <v>100</v>
      </c>
      <c r="D79" s="492">
        <f>C79-$K17</f>
        <v>95</v>
      </c>
      <c r="E79" s="492">
        <f>D79-$K17</f>
        <v>90</v>
      </c>
      <c r="F79" s="492">
        <f>E79-$K17</f>
        <v>85</v>
      </c>
      <c r="G79" s="492">
        <f>F79-$K17</f>
        <v>80</v>
      </c>
      <c r="H79" s="492"/>
      <c r="I79" s="492"/>
      <c r="J79" s="492"/>
      <c r="K79" s="492"/>
      <c r="L79" s="492"/>
      <c r="M79" s="493"/>
      <c r="N79" s="930"/>
      <c r="O79" s="930"/>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5.75" thickBot="1">
      <c r="A81" s="482"/>
      <c r="B81" s="491"/>
      <c r="C81" s="492">
        <v>100</v>
      </c>
      <c r="D81" s="492">
        <f>C81-$K19</f>
        <v>95</v>
      </c>
      <c r="E81" s="492">
        <f>D81-$K19</f>
        <v>90</v>
      </c>
      <c r="F81" s="492">
        <f>E81-$K19</f>
        <v>85</v>
      </c>
      <c r="G81" s="492">
        <f>F81-$K19</f>
        <v>80</v>
      </c>
      <c r="H81" s="492"/>
      <c r="I81" s="492"/>
      <c r="J81" s="492"/>
      <c r="K81" s="492"/>
      <c r="L81" s="492"/>
      <c r="M81" s="493"/>
      <c r="N81" s="930"/>
      <c r="O81" s="930"/>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5.75" thickBot="1">
      <c r="A83" s="482"/>
      <c r="B83" s="494"/>
      <c r="C83" s="607">
        <v>100</v>
      </c>
      <c r="D83" s="607">
        <f>C83-$K21</f>
        <v>98</v>
      </c>
      <c r="E83" s="607">
        <f t="shared" ref="E83:G83" si="23">D83-$K21</f>
        <v>96</v>
      </c>
      <c r="F83" s="607">
        <f t="shared" si="23"/>
        <v>94</v>
      </c>
      <c r="G83" s="607">
        <f t="shared" si="23"/>
        <v>92</v>
      </c>
      <c r="H83" s="607"/>
      <c r="I83" s="607"/>
      <c r="J83" s="607"/>
      <c r="K83" s="607"/>
      <c r="L83" s="607"/>
      <c r="M83" s="400"/>
      <c r="N83" s="930"/>
      <c r="O83" s="930"/>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5.75" thickBot="1">
      <c r="A85" s="482"/>
      <c r="B85" s="491"/>
      <c r="C85" s="492">
        <v>100</v>
      </c>
      <c r="D85" s="492">
        <f>C85-$K23</f>
        <v>98</v>
      </c>
      <c r="E85" s="492">
        <f>D85-$K23</f>
        <v>96</v>
      </c>
      <c r="F85" s="492">
        <f>E85-$K23</f>
        <v>94</v>
      </c>
      <c r="G85" s="492">
        <f>F85-$K23</f>
        <v>92</v>
      </c>
      <c r="H85" s="492"/>
      <c r="I85" s="492"/>
      <c r="J85" s="492"/>
      <c r="K85" s="492"/>
      <c r="L85" s="492"/>
      <c r="M85" s="493"/>
      <c r="N85" s="930"/>
      <c r="O85" s="930"/>
      <c r="P85" s="1918"/>
      <c r="Q85" s="452"/>
    </row>
    <row r="86" spans="1:17" s="107" customFormat="1" ht="15.75" thickTop="1">
      <c r="A86" s="527"/>
      <c r="B86" s="486" t="s">
        <v>1734</v>
      </c>
      <c r="C86" s="502"/>
      <c r="D86" s="502"/>
      <c r="E86" s="502"/>
      <c r="F86" s="502"/>
      <c r="G86" s="502"/>
      <c r="H86" s="502"/>
      <c r="I86" s="502"/>
      <c r="J86" s="502"/>
      <c r="K86" s="502"/>
      <c r="L86" s="528"/>
      <c r="M86" s="529"/>
      <c r="N86" s="928"/>
      <c r="O86" s="928"/>
      <c r="P86" s="1918"/>
      <c r="Q86" s="452"/>
    </row>
    <row r="87" spans="1:17" s="107" customFormat="1" ht="15.75" thickBot="1">
      <c r="A87" s="527"/>
      <c r="B87" s="491"/>
      <c r="C87" s="530">
        <v>100</v>
      </c>
      <c r="D87" s="492">
        <f t="shared" ref="D87:M87" si="24">$C$87-($C$86-D86)*$K$25</f>
        <v>100</v>
      </c>
      <c r="E87" s="492">
        <f t="shared" si="24"/>
        <v>100</v>
      </c>
      <c r="F87" s="492">
        <f t="shared" si="24"/>
        <v>100</v>
      </c>
      <c r="G87" s="492">
        <f t="shared" si="24"/>
        <v>100</v>
      </c>
      <c r="H87" s="492">
        <f t="shared" si="24"/>
        <v>100</v>
      </c>
      <c r="I87" s="492">
        <f t="shared" si="24"/>
        <v>100</v>
      </c>
      <c r="J87" s="492">
        <f t="shared" si="24"/>
        <v>100</v>
      </c>
      <c r="K87" s="492">
        <f t="shared" si="24"/>
        <v>100</v>
      </c>
      <c r="L87" s="492">
        <f t="shared" si="24"/>
        <v>100</v>
      </c>
      <c r="M87" s="492">
        <f t="shared" si="24"/>
        <v>100</v>
      </c>
      <c r="N87" s="930"/>
      <c r="O87" s="930"/>
      <c r="P87" s="1918"/>
      <c r="Q87" s="452"/>
    </row>
    <row r="88" spans="1:17" s="107" customFormat="1" ht="15.75" thickTop="1">
      <c r="A88" s="527"/>
      <c r="B88" s="486" t="s">
        <v>1735</v>
      </c>
      <c r="C88" s="502"/>
      <c r="D88" s="502"/>
      <c r="E88" s="502"/>
      <c r="F88" s="1923"/>
      <c r="G88" s="502"/>
      <c r="H88" s="502"/>
      <c r="I88" s="502"/>
      <c r="J88" s="502"/>
      <c r="K88" s="502"/>
      <c r="L88" s="502"/>
      <c r="M88" s="529"/>
      <c r="N88" s="928"/>
      <c r="O88" s="928"/>
      <c r="P88" s="1918"/>
      <c r="Q88" s="452"/>
    </row>
    <row r="89" spans="1:17" s="107" customFormat="1" ht="15.75" thickBot="1">
      <c r="A89" s="527"/>
      <c r="B89" s="491"/>
      <c r="C89" s="530">
        <v>100</v>
      </c>
      <c r="D89" s="492">
        <f t="shared" ref="D89:M89" si="25">C89-$K26</f>
        <v>100</v>
      </c>
      <c r="E89" s="492">
        <f t="shared" si="25"/>
        <v>100</v>
      </c>
      <c r="F89" s="492">
        <f t="shared" si="25"/>
        <v>100</v>
      </c>
      <c r="G89" s="492">
        <f t="shared" si="25"/>
        <v>100</v>
      </c>
      <c r="H89" s="492">
        <f t="shared" si="25"/>
        <v>100</v>
      </c>
      <c r="I89" s="492">
        <f t="shared" si="25"/>
        <v>100</v>
      </c>
      <c r="J89" s="492">
        <f t="shared" si="25"/>
        <v>100</v>
      </c>
      <c r="K89" s="492">
        <f t="shared" si="25"/>
        <v>100</v>
      </c>
      <c r="L89" s="492">
        <f t="shared" si="25"/>
        <v>100</v>
      </c>
      <c r="M89" s="492">
        <f t="shared" si="25"/>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ht="15" thickTop="1">
      <c r="A100" s="475" t="s">
        <v>1694</v>
      </c>
      <c r="B100" s="476" t="s">
        <v>1736</v>
      </c>
      <c r="C100" s="3504" t="str">
        <f>'[2]比较法-住宅-高层'!C100</f>
        <v>叠拼</v>
      </c>
      <c r="D100" s="3504">
        <f>'[2]比较法-住宅-高层'!D100</f>
        <v>0</v>
      </c>
      <c r="E100" s="3504" t="str">
        <f>'[2]比较法-住宅-高层'!E100</f>
        <v>洋房</v>
      </c>
      <c r="F100" s="3499" t="s">
        <v>8670</v>
      </c>
      <c r="G100" s="478"/>
      <c r="H100" s="478"/>
      <c r="I100" s="478"/>
      <c r="J100" s="478"/>
      <c r="K100" s="479"/>
      <c r="L100" s="480"/>
      <c r="M100" s="481"/>
      <c r="N100" s="929"/>
      <c r="O100" s="929"/>
      <c r="P100" s="1918"/>
      <c r="Q100" s="452"/>
    </row>
    <row r="101" spans="1:17" ht="15.75" thickBot="1">
      <c r="A101" s="482"/>
      <c r="B101" s="491"/>
      <c r="C101" s="492">
        <v>100</v>
      </c>
      <c r="D101" s="492">
        <f t="shared" ref="D101:M101" si="26">C101-$K32</f>
        <v>100</v>
      </c>
      <c r="E101" s="492">
        <f t="shared" si="26"/>
        <v>100</v>
      </c>
      <c r="F101" s="492">
        <f t="shared" si="26"/>
        <v>100</v>
      </c>
      <c r="G101" s="492">
        <f t="shared" si="26"/>
        <v>100</v>
      </c>
      <c r="H101" s="492">
        <f t="shared" si="26"/>
        <v>100</v>
      </c>
      <c r="I101" s="492">
        <f t="shared" si="26"/>
        <v>100</v>
      </c>
      <c r="J101" s="492">
        <f t="shared" si="26"/>
        <v>100</v>
      </c>
      <c r="K101" s="492">
        <f t="shared" si="26"/>
        <v>100</v>
      </c>
      <c r="L101" s="492">
        <f t="shared" si="26"/>
        <v>100</v>
      </c>
      <c r="M101" s="492">
        <f t="shared" si="26"/>
        <v>100</v>
      </c>
      <c r="N101" s="930"/>
      <c r="O101" s="930"/>
      <c r="P101" s="1918"/>
      <c r="Q101" s="452"/>
    </row>
    <row r="102" spans="1:17" ht="29.25" thickTop="1">
      <c r="A102" s="482"/>
      <c r="B102" s="486" t="s">
        <v>1737</v>
      </c>
      <c r="C102" s="526" t="str">
        <f>C103&amp;"(含)"&amp;"-"&amp;D103</f>
        <v>0(含)-60000</v>
      </c>
      <c r="D102" s="526" t="str">
        <f t="shared" ref="D102:L102" si="27">D103&amp;"(含)"&amp;"-"&amp;E103</f>
        <v>60000(含)-120000</v>
      </c>
      <c r="E102" s="526" t="str">
        <f t="shared" si="27"/>
        <v>120000(含)-200000</v>
      </c>
      <c r="F102" s="526" t="str">
        <f t="shared" si="27"/>
        <v>200000(含)-300000</v>
      </c>
      <c r="G102" s="526" t="str">
        <f t="shared" si="27"/>
        <v>300000(含)-</v>
      </c>
      <c r="H102" s="526" t="str">
        <f t="shared" si="27"/>
        <v>(含)-</v>
      </c>
      <c r="I102" s="526" t="str">
        <f t="shared" si="27"/>
        <v>(含)-</v>
      </c>
      <c r="J102" s="526" t="str">
        <f t="shared" si="27"/>
        <v>(含)-</v>
      </c>
      <c r="K102" s="526" t="str">
        <f>K103&amp;"(含)"&amp;"-"&amp;L103</f>
        <v>(含)-</v>
      </c>
      <c r="L102" s="526" t="str">
        <f t="shared" si="27"/>
        <v>(含)-</v>
      </c>
      <c r="M102" s="526" t="str">
        <f>M103&amp;"(含)"&amp;"-"&amp;P103</f>
        <v>(含)-</v>
      </c>
      <c r="N102" s="928"/>
      <c r="O102" s="928"/>
      <c r="P102" s="1918"/>
      <c r="Q102" s="452"/>
    </row>
    <row r="103" spans="1:17" s="421" customFormat="1">
      <c r="A103" s="541"/>
      <c r="B103" s="542"/>
      <c r="C103" s="6">
        <v>0</v>
      </c>
      <c r="D103" s="6">
        <v>60000</v>
      </c>
      <c r="E103" s="6">
        <v>120000</v>
      </c>
      <c r="F103" s="6">
        <v>200000</v>
      </c>
      <c r="G103" s="543">
        <v>300000</v>
      </c>
      <c r="H103" s="543"/>
      <c r="I103" s="543"/>
      <c r="J103" s="544"/>
      <c r="K103" s="544"/>
      <c r="L103" s="545"/>
      <c r="M103" s="546"/>
      <c r="N103" s="931"/>
      <c r="O103" s="931"/>
      <c r="P103" s="1919"/>
      <c r="Q103" s="507"/>
    </row>
    <row r="104" spans="1:17" s="421" customFormat="1" ht="15.75" thickBot="1">
      <c r="A104" s="501"/>
      <c r="B104" s="491"/>
      <c r="C104" s="3500">
        <v>100</v>
      </c>
      <c r="D104" s="3500">
        <v>102</v>
      </c>
      <c r="E104" s="3500">
        <v>104</v>
      </c>
      <c r="F104" s="3500">
        <v>94</v>
      </c>
      <c r="G104" s="484">
        <v>92</v>
      </c>
      <c r="H104" s="484"/>
      <c r="I104" s="484"/>
      <c r="J104" s="484"/>
      <c r="K104" s="484"/>
      <c r="L104" s="484"/>
      <c r="M104" s="484"/>
      <c r="N104" s="930"/>
      <c r="O104" s="930"/>
      <c r="P104" s="1919"/>
      <c r="Q104" s="507"/>
    </row>
    <row r="105" spans="1:17" ht="15" thickTop="1">
      <c r="A105" s="547"/>
      <c r="B105" s="486" t="s">
        <v>1738</v>
      </c>
      <c r="C105" s="3501" t="s">
        <v>8671</v>
      </c>
      <c r="D105" s="3502" t="s">
        <v>8672</v>
      </c>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930"/>
      <c r="O106" s="930"/>
      <c r="P106" s="1918"/>
      <c r="Q106" s="452"/>
    </row>
    <row r="107" spans="1:17" ht="15" thickTop="1">
      <c r="A107" s="547"/>
      <c r="B107" s="486" t="s">
        <v>1739</v>
      </c>
      <c r="C107" s="3503" t="s">
        <v>8673</v>
      </c>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0"/>
      <c r="O108" s="930"/>
      <c r="P108" s="1918"/>
      <c r="Q108" s="452"/>
    </row>
    <row r="109" spans="1:17" ht="15" thickTop="1">
      <c r="A109" s="547"/>
      <c r="B109" s="486" t="s">
        <v>1740</v>
      </c>
      <c r="C109" s="3501" t="s">
        <v>8674</v>
      </c>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3501" t="s">
        <v>8675</v>
      </c>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930"/>
      <c r="O115" s="930"/>
      <c r="P115" s="1918"/>
      <c r="Q115" s="452"/>
    </row>
    <row r="116" spans="1:17" ht="15" thickTop="1">
      <c r="A116" s="547"/>
      <c r="B116" s="486" t="s">
        <v>1742</v>
      </c>
      <c r="C116" s="3501" t="s">
        <v>8676</v>
      </c>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3503" t="s">
        <v>8677</v>
      </c>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930"/>
      <c r="O119" s="930"/>
      <c r="P119" s="1918"/>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3501" t="s">
        <v>8678</v>
      </c>
      <c r="D122" s="3501" t="s">
        <v>8679</v>
      </c>
      <c r="E122" s="3501" t="s">
        <v>8680</v>
      </c>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3">C123-$K42</f>
        <v>98</v>
      </c>
      <c r="E123" s="492">
        <f t="shared" si="33"/>
        <v>96</v>
      </c>
      <c r="F123" s="492">
        <f t="shared" si="33"/>
        <v>94</v>
      </c>
      <c r="G123" s="492">
        <f t="shared" si="33"/>
        <v>92</v>
      </c>
      <c r="H123" s="492">
        <f t="shared" si="33"/>
        <v>90</v>
      </c>
      <c r="I123" s="492">
        <f t="shared" si="33"/>
        <v>88</v>
      </c>
      <c r="J123" s="492">
        <f t="shared" si="33"/>
        <v>86</v>
      </c>
      <c r="K123" s="492">
        <f t="shared" si="33"/>
        <v>84</v>
      </c>
      <c r="L123" s="492">
        <f t="shared" si="33"/>
        <v>82</v>
      </c>
      <c r="M123" s="492">
        <f t="shared" si="33"/>
        <v>80</v>
      </c>
      <c r="N123" s="930"/>
      <c r="O123" s="930"/>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75" thickTop="1" thickBot="1">
      <c r="A126" s="541"/>
      <c r="B126" s="486">
        <f>B44</f>
        <v>111</v>
      </c>
      <c r="C126" s="3504" t="str">
        <f>'[2]比较法-住宅-高层'!C126</f>
        <v>叠拼</v>
      </c>
      <c r="D126" s="3504" t="str">
        <f>'[2]比较法-住宅-高层'!D126</f>
        <v>洋房</v>
      </c>
      <c r="E126" s="3504" t="str">
        <f>'[2]比较法-住宅-高层'!E126</f>
        <v>小高层</v>
      </c>
      <c r="F126" s="502"/>
      <c r="G126" s="502"/>
      <c r="H126" s="503"/>
      <c r="I126" s="503"/>
      <c r="J126" s="503"/>
      <c r="K126" s="503"/>
      <c r="L126" s="504"/>
      <c r="M126" s="505"/>
      <c r="N126" s="931"/>
      <c r="O126" s="931"/>
      <c r="P126" s="1919"/>
      <c r="Q126" s="507"/>
    </row>
    <row r="127" spans="1:17" s="421" customFormat="1" ht="16.5" thickTop="1" thickBot="1">
      <c r="A127" s="501"/>
      <c r="B127" s="491"/>
      <c r="C127" s="3504">
        <f>'[2]比较法-住宅-高层'!C127</f>
        <v>122</v>
      </c>
      <c r="D127" s="3504">
        <f>'[2]比较法-住宅-高层'!D127</f>
        <v>102</v>
      </c>
      <c r="E127" s="3504">
        <f>'[2]比较法-住宅-高层'!E127</f>
        <v>100</v>
      </c>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E42 G42 I42 C42">
      <formula1>住宅内部装修</formula1>
    </dataValidation>
    <dataValidation type="list" allowBlank="1" showInputMessage="1" showErrorMessage="1" sqref="C43 E43 G43 I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
  <sheetViews>
    <sheetView workbookViewId="0">
      <selection activeCell="H12" sqref="H12"/>
    </sheetView>
  </sheetViews>
  <sheetFormatPr defaultColWidth="11.625" defaultRowHeight="13.5"/>
  <cols>
    <col min="1" max="2" width="11.625" style="1235"/>
    <col min="3" max="4" width="6.625" style="1235" customWidth="1"/>
    <col min="5" max="5" width="7.375" style="1235" customWidth="1"/>
    <col min="6" max="6" width="11.625" style="1235"/>
    <col min="7" max="7" width="23" style="1235" customWidth="1"/>
    <col min="8" max="16384" width="11.625" style="1235"/>
  </cols>
  <sheetData>
    <row r="1" spans="1:12">
      <c r="A1" s="2824" t="s">
        <v>8690</v>
      </c>
    </row>
    <row r="2" spans="1:12">
      <c r="A2" s="1235" t="s">
        <v>6398</v>
      </c>
      <c r="B2" s="1235" t="s">
        <v>6399</v>
      </c>
      <c r="C2" s="1235" t="s">
        <v>6400</v>
      </c>
      <c r="D2" s="1235" t="s">
        <v>6401</v>
      </c>
      <c r="E2" s="1235" t="s">
        <v>6402</v>
      </c>
      <c r="F2" s="1235" t="s">
        <v>6403</v>
      </c>
      <c r="G2" s="1235" t="s">
        <v>6404</v>
      </c>
      <c r="H2" s="1235" t="s">
        <v>6405</v>
      </c>
      <c r="I2" s="1235" t="s">
        <v>6406</v>
      </c>
      <c r="J2" s="1235" t="s">
        <v>6407</v>
      </c>
      <c r="K2" s="1235" t="s">
        <v>6408</v>
      </c>
      <c r="L2" s="1235" t="s">
        <v>6409</v>
      </c>
    </row>
    <row r="3" spans="1:12">
      <c r="A3" s="3486">
        <v>45035.333831018521</v>
      </c>
      <c r="B3" s="1235" t="s">
        <v>6410</v>
      </c>
      <c r="C3" s="1235" t="s">
        <v>633</v>
      </c>
      <c r="D3" s="1235" t="s">
        <v>633</v>
      </c>
      <c r="E3" s="1235">
        <v>5</v>
      </c>
      <c r="F3" s="1235" t="s">
        <v>6423</v>
      </c>
      <c r="G3" s="1235" t="s">
        <v>6502</v>
      </c>
      <c r="H3" s="1235" t="s">
        <v>6413</v>
      </c>
      <c r="I3" s="1235" t="s">
        <v>6503</v>
      </c>
      <c r="J3" s="1235">
        <v>90</v>
      </c>
      <c r="K3" s="1235">
        <v>308</v>
      </c>
      <c r="L3" s="1235">
        <v>34325</v>
      </c>
    </row>
    <row r="4" spans="1:12">
      <c r="A4" s="3486">
        <v>45030.333831018521</v>
      </c>
      <c r="B4" s="1235" t="s">
        <v>6415</v>
      </c>
      <c r="C4" s="1235" t="s">
        <v>633</v>
      </c>
      <c r="D4" s="1235" t="s">
        <v>633</v>
      </c>
      <c r="E4" s="1235">
        <v>6</v>
      </c>
      <c r="F4" s="1235" t="s">
        <v>6504</v>
      </c>
      <c r="G4" s="1235" t="s">
        <v>6505</v>
      </c>
      <c r="H4" s="1235" t="s">
        <v>6413</v>
      </c>
      <c r="I4" s="1235" t="s">
        <v>6503</v>
      </c>
      <c r="J4" s="1235">
        <v>68</v>
      </c>
      <c r="K4" s="1235">
        <v>218.66</v>
      </c>
      <c r="L4" s="1235">
        <v>32193</v>
      </c>
    </row>
    <row r="5" spans="1:12">
      <c r="A5" s="3507">
        <v>45018.333831018521</v>
      </c>
      <c r="B5" s="3508" t="s">
        <v>6410</v>
      </c>
      <c r="C5" s="3508" t="s">
        <v>633</v>
      </c>
      <c r="D5" s="3508" t="s">
        <v>633</v>
      </c>
      <c r="E5" s="3508">
        <v>4</v>
      </c>
      <c r="F5" s="3508" t="s">
        <v>6506</v>
      </c>
      <c r="G5" s="3508" t="s">
        <v>6502</v>
      </c>
      <c r="H5" s="3508" t="s">
        <v>6413</v>
      </c>
      <c r="I5" s="3508" t="s">
        <v>6503</v>
      </c>
      <c r="J5" s="3508">
        <v>90</v>
      </c>
      <c r="K5" s="3508">
        <v>298.86</v>
      </c>
      <c r="L5" s="3508">
        <v>33306</v>
      </c>
    </row>
    <row r="6" spans="1:12">
      <c r="A6" s="3486">
        <v>44979.333831018521</v>
      </c>
      <c r="B6" s="1235" t="s">
        <v>6426</v>
      </c>
      <c r="C6" s="1235" t="s">
        <v>633</v>
      </c>
      <c r="D6" s="1235" t="s">
        <v>633</v>
      </c>
      <c r="E6" s="1235">
        <v>1</v>
      </c>
      <c r="F6" s="1235" t="s">
        <v>6507</v>
      </c>
      <c r="G6" s="1235" t="s">
        <v>6508</v>
      </c>
      <c r="H6" s="1235" t="s">
        <v>6413</v>
      </c>
      <c r="I6" s="1235" t="s">
        <v>6503</v>
      </c>
      <c r="J6" s="1235">
        <v>90</v>
      </c>
      <c r="K6" s="1235">
        <v>338.88</v>
      </c>
      <c r="L6" s="1235">
        <v>37775</v>
      </c>
    </row>
    <row r="7" spans="1:12">
      <c r="A7" s="3486">
        <v>44970.333831018521</v>
      </c>
      <c r="B7" s="1235" t="s">
        <v>6463</v>
      </c>
      <c r="C7" s="1235" t="s">
        <v>633</v>
      </c>
      <c r="D7" s="1235" t="s">
        <v>633</v>
      </c>
      <c r="E7" s="1235">
        <v>6</v>
      </c>
      <c r="F7" s="1235" t="s">
        <v>6509</v>
      </c>
      <c r="G7" s="1235" t="s">
        <v>6510</v>
      </c>
      <c r="H7" s="1235" t="s">
        <v>6413</v>
      </c>
      <c r="I7" s="1235" t="s">
        <v>6503</v>
      </c>
      <c r="J7" s="1235">
        <v>68</v>
      </c>
      <c r="K7" s="1235">
        <v>217.55</v>
      </c>
      <c r="L7" s="1235">
        <v>32021</v>
      </c>
    </row>
    <row r="8" spans="1:12">
      <c r="A8" s="3486">
        <v>44970.333831018521</v>
      </c>
      <c r="B8" s="1235" t="s">
        <v>6415</v>
      </c>
      <c r="C8" s="1235" t="s">
        <v>633</v>
      </c>
      <c r="D8" s="1235" t="s">
        <v>633</v>
      </c>
      <c r="E8" s="1235">
        <v>6</v>
      </c>
      <c r="F8" s="1235" t="s">
        <v>6511</v>
      </c>
      <c r="G8" s="1235" t="s">
        <v>6505</v>
      </c>
      <c r="H8" s="1235" t="s">
        <v>6413</v>
      </c>
      <c r="I8" s="1235" t="s">
        <v>6503</v>
      </c>
      <c r="J8" s="1235">
        <v>68</v>
      </c>
      <c r="K8" s="1235">
        <v>219.66</v>
      </c>
      <c r="L8" s="1235">
        <v>32341</v>
      </c>
    </row>
    <row r="9" spans="1:12">
      <c r="A9" s="3486">
        <v>44970.333831018521</v>
      </c>
      <c r="B9" s="1235" t="s">
        <v>6467</v>
      </c>
      <c r="C9" s="1235" t="s">
        <v>633</v>
      </c>
      <c r="D9" s="1235" t="s">
        <v>633</v>
      </c>
      <c r="E9" s="1235">
        <v>6</v>
      </c>
      <c r="F9" s="1235" t="s">
        <v>6512</v>
      </c>
      <c r="G9" s="1235" t="s">
        <v>6513</v>
      </c>
      <c r="H9" s="1235" t="s">
        <v>6413</v>
      </c>
      <c r="I9" s="1235" t="s">
        <v>6503</v>
      </c>
      <c r="J9" s="1235">
        <v>68</v>
      </c>
      <c r="K9" s="1235">
        <v>222.87</v>
      </c>
      <c r="L9" s="1235">
        <v>32823</v>
      </c>
    </row>
    <row r="10" spans="1:12">
      <c r="A10" s="3486">
        <v>44969.333831018521</v>
      </c>
      <c r="B10" s="1235" t="s">
        <v>6410</v>
      </c>
      <c r="C10" s="1235" t="s">
        <v>633</v>
      </c>
      <c r="D10" s="1235" t="s">
        <v>633</v>
      </c>
      <c r="E10" s="1235">
        <v>5</v>
      </c>
      <c r="F10" s="1235" t="s">
        <v>6445</v>
      </c>
      <c r="G10" s="1235" t="s">
        <v>6502</v>
      </c>
      <c r="H10" s="1235" t="s">
        <v>6413</v>
      </c>
      <c r="I10" s="1235" t="s">
        <v>6503</v>
      </c>
      <c r="J10" s="1235">
        <v>90</v>
      </c>
      <c r="K10" s="1235">
        <v>280</v>
      </c>
      <c r="L10" s="1235">
        <v>31205</v>
      </c>
    </row>
    <row r="11" spans="1:12">
      <c r="A11" s="3486">
        <v>44962.333831018521</v>
      </c>
      <c r="B11" s="1235" t="s">
        <v>6460</v>
      </c>
      <c r="C11" s="1235" t="s">
        <v>633</v>
      </c>
      <c r="D11" s="1235" t="s">
        <v>633</v>
      </c>
      <c r="E11" s="1235">
        <v>6</v>
      </c>
      <c r="F11" s="1235" t="s">
        <v>6509</v>
      </c>
      <c r="G11" s="1235" t="s">
        <v>6514</v>
      </c>
      <c r="H11" s="1235" t="s">
        <v>6413</v>
      </c>
      <c r="I11" s="1235" t="s">
        <v>6503</v>
      </c>
      <c r="J11" s="1235">
        <v>68</v>
      </c>
      <c r="K11" s="1235">
        <v>218.66</v>
      </c>
      <c r="L11" s="1235">
        <v>32189</v>
      </c>
    </row>
    <row r="12" spans="1:12">
      <c r="A12" s="3486">
        <v>44961.333831018521</v>
      </c>
      <c r="B12" s="1235" t="s">
        <v>6463</v>
      </c>
      <c r="C12" s="1235" t="s">
        <v>633</v>
      </c>
      <c r="D12" s="1235" t="s">
        <v>633</v>
      </c>
      <c r="E12" s="1235">
        <v>3</v>
      </c>
      <c r="F12" s="1235" t="s">
        <v>6455</v>
      </c>
      <c r="G12" s="1235" t="s">
        <v>6510</v>
      </c>
      <c r="H12" s="1235" t="s">
        <v>6413</v>
      </c>
      <c r="I12" s="1235" t="s">
        <v>6503</v>
      </c>
      <c r="J12" s="1235">
        <v>90</v>
      </c>
      <c r="K12" s="1235">
        <v>297.06</v>
      </c>
      <c r="L12" s="1235">
        <v>33098</v>
      </c>
    </row>
    <row r="13" spans="1:12">
      <c r="A13" s="3486">
        <v>44961.333831018521</v>
      </c>
      <c r="B13" s="1235" t="s">
        <v>6410</v>
      </c>
      <c r="C13" s="1235" t="s">
        <v>633</v>
      </c>
      <c r="D13" s="1235" t="s">
        <v>633</v>
      </c>
      <c r="E13" s="1235">
        <v>3</v>
      </c>
      <c r="F13" s="1235" t="s">
        <v>6416</v>
      </c>
      <c r="G13" s="1235" t="s">
        <v>6502</v>
      </c>
      <c r="H13" s="1235" t="s">
        <v>6413</v>
      </c>
      <c r="I13" s="1235" t="s">
        <v>6503</v>
      </c>
      <c r="J13" s="1235">
        <v>90</v>
      </c>
      <c r="K13" s="1235">
        <v>303</v>
      </c>
      <c r="L13" s="1235">
        <v>33768</v>
      </c>
    </row>
    <row r="14" spans="1:12">
      <c r="A14" s="3486">
        <v>44961.333831018521</v>
      </c>
      <c r="B14" s="1235" t="s">
        <v>6415</v>
      </c>
      <c r="C14" s="1235" t="s">
        <v>633</v>
      </c>
      <c r="D14" s="1235" t="s">
        <v>633</v>
      </c>
      <c r="E14" s="1235">
        <v>6</v>
      </c>
      <c r="F14" s="1235" t="s">
        <v>6515</v>
      </c>
      <c r="G14" s="1235" t="s">
        <v>6505</v>
      </c>
      <c r="H14" s="1235" t="s">
        <v>6413</v>
      </c>
      <c r="I14" s="1235" t="s">
        <v>6503</v>
      </c>
      <c r="J14" s="1235">
        <v>68</v>
      </c>
      <c r="K14" s="1235">
        <v>220</v>
      </c>
      <c r="L14" s="1235">
        <v>32391</v>
      </c>
    </row>
    <row r="15" spans="1:12">
      <c r="A15" s="3486">
        <v>44960.333831018521</v>
      </c>
      <c r="B15" s="1235" t="s">
        <v>6422</v>
      </c>
      <c r="C15" s="1235" t="s">
        <v>633</v>
      </c>
      <c r="D15" s="1235" t="s">
        <v>633</v>
      </c>
      <c r="E15" s="1235">
        <v>6</v>
      </c>
      <c r="F15" s="1235" t="s">
        <v>6504</v>
      </c>
      <c r="G15" s="1235" t="s">
        <v>6516</v>
      </c>
      <c r="H15" s="1235" t="s">
        <v>6413</v>
      </c>
      <c r="I15" s="1235" t="s">
        <v>6503</v>
      </c>
      <c r="J15" s="1235">
        <v>68</v>
      </c>
      <c r="K15" s="1235">
        <v>224.7</v>
      </c>
      <c r="L15" s="1235">
        <v>33093</v>
      </c>
    </row>
    <row r="16" spans="1:12">
      <c r="A16" s="3486">
        <v>44959.333831018521</v>
      </c>
      <c r="B16" s="1235" t="s">
        <v>6463</v>
      </c>
      <c r="C16" s="1235" t="s">
        <v>633</v>
      </c>
      <c r="D16" s="1235" t="s">
        <v>633</v>
      </c>
      <c r="E16" s="1235">
        <v>3</v>
      </c>
      <c r="F16" s="1235" t="s">
        <v>6517</v>
      </c>
      <c r="G16" s="1235" t="s">
        <v>6510</v>
      </c>
      <c r="H16" s="1235" t="s">
        <v>6413</v>
      </c>
      <c r="I16" s="1235" t="s">
        <v>6503</v>
      </c>
      <c r="J16" s="1235">
        <v>90</v>
      </c>
      <c r="K16" s="1235">
        <v>291.41000000000003</v>
      </c>
      <c r="L16" s="1235">
        <v>32411</v>
      </c>
    </row>
    <row r="17" spans="1:12">
      <c r="A17" s="1235" t="s">
        <v>8688</v>
      </c>
      <c r="L17" s="1235">
        <f>(L3+L5+L10+L12+L13+L16)/6</f>
        <v>33018.833333333336</v>
      </c>
    </row>
  </sheetData>
  <autoFilter ref="A2:L17"/>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9"/>
  <sheetViews>
    <sheetView workbookViewId="0">
      <selection activeCell="N15" sqref="N15"/>
    </sheetView>
  </sheetViews>
  <sheetFormatPr defaultColWidth="11.375" defaultRowHeight="13.5"/>
  <cols>
    <col min="1" max="16384" width="11.375" style="1235"/>
  </cols>
  <sheetData>
    <row r="1" spans="1:14">
      <c r="A1" s="2824" t="s">
        <v>8691</v>
      </c>
    </row>
    <row r="2" spans="1:14">
      <c r="A2" s="1235" t="s">
        <v>6398</v>
      </c>
      <c r="B2" s="1235" t="s">
        <v>6399</v>
      </c>
      <c r="C2" s="1235" t="s">
        <v>6400</v>
      </c>
      <c r="D2" s="1235" t="s">
        <v>6401</v>
      </c>
      <c r="E2" s="1235" t="s">
        <v>6402</v>
      </c>
      <c r="F2" s="1235" t="s">
        <v>6403</v>
      </c>
      <c r="G2" s="1235" t="s">
        <v>6404</v>
      </c>
      <c r="H2" s="1235" t="s">
        <v>6405</v>
      </c>
      <c r="I2" s="1235" t="s">
        <v>6406</v>
      </c>
      <c r="J2" s="1235" t="s">
        <v>6407</v>
      </c>
      <c r="K2" s="1235" t="s">
        <v>6408</v>
      </c>
      <c r="L2" s="1235" t="s">
        <v>6409</v>
      </c>
    </row>
    <row r="3" spans="1:14">
      <c r="A3" s="3486">
        <v>45131.333831018521</v>
      </c>
      <c r="B3" s="1235" t="s">
        <v>6540</v>
      </c>
      <c r="C3" s="1235" t="s">
        <v>633</v>
      </c>
      <c r="D3" s="1235" t="s">
        <v>633</v>
      </c>
      <c r="E3" s="1235">
        <v>2</v>
      </c>
      <c r="F3" s="1235" t="s">
        <v>6722</v>
      </c>
      <c r="G3" s="1235" t="s">
        <v>6723</v>
      </c>
      <c r="H3" s="1235" t="s">
        <v>6413</v>
      </c>
      <c r="I3" s="1235" t="s">
        <v>6414</v>
      </c>
      <c r="J3" s="1235">
        <v>120</v>
      </c>
      <c r="K3" s="1235">
        <v>348</v>
      </c>
      <c r="L3" s="1235">
        <v>28913</v>
      </c>
      <c r="M3" s="2824" t="s">
        <v>8700</v>
      </c>
      <c r="N3" s="1235">
        <f>(L4+L5+L7+L14)/4</f>
        <v>32293.75</v>
      </c>
    </row>
    <row r="4" spans="1:14">
      <c r="A4" s="3486">
        <v>45125.333831018521</v>
      </c>
      <c r="B4" s="1235" t="s">
        <v>6534</v>
      </c>
      <c r="C4" s="1235" t="s">
        <v>633</v>
      </c>
      <c r="D4" s="1235" t="s">
        <v>633</v>
      </c>
      <c r="E4" s="1235">
        <v>1</v>
      </c>
      <c r="F4" s="1235" t="s">
        <v>6461</v>
      </c>
      <c r="G4" s="1235" t="s">
        <v>6724</v>
      </c>
      <c r="H4" s="1235" t="s">
        <v>6413</v>
      </c>
      <c r="I4" s="1235" t="s">
        <v>6433</v>
      </c>
      <c r="J4" s="1235">
        <v>97</v>
      </c>
      <c r="K4" s="1235">
        <v>305.25</v>
      </c>
      <c r="L4" s="1235">
        <v>31333</v>
      </c>
      <c r="M4" s="2824" t="s">
        <v>8701</v>
      </c>
      <c r="N4" s="1235">
        <f>(L8+L17)/2</f>
        <v>42776.5</v>
      </c>
    </row>
    <row r="5" spans="1:14">
      <c r="A5" s="3486">
        <v>45119.333831018521</v>
      </c>
      <c r="B5" s="1235" t="s">
        <v>6429</v>
      </c>
      <c r="C5" s="1235" t="s">
        <v>633</v>
      </c>
      <c r="D5" s="1235" t="s">
        <v>633</v>
      </c>
      <c r="E5" s="1235">
        <v>1</v>
      </c>
      <c r="F5" s="1235" t="s">
        <v>6725</v>
      </c>
      <c r="G5" s="1235" t="s">
        <v>6726</v>
      </c>
      <c r="H5" s="1235" t="s">
        <v>6413</v>
      </c>
      <c r="I5" s="1235" t="s">
        <v>6414</v>
      </c>
      <c r="J5" s="1235">
        <v>96</v>
      </c>
      <c r="K5" s="1235">
        <v>303.58</v>
      </c>
      <c r="L5" s="1235">
        <v>31531</v>
      </c>
      <c r="M5" s="2824" t="s">
        <v>8702</v>
      </c>
      <c r="N5" s="1235">
        <f>(L11+L13+L16)/3</f>
        <v>40760.666666666664</v>
      </c>
    </row>
    <row r="6" spans="1:14">
      <c r="A6" s="3486">
        <v>45113.333831018521</v>
      </c>
      <c r="B6" s="1235" t="s">
        <v>6534</v>
      </c>
      <c r="C6" s="1235" t="s">
        <v>633</v>
      </c>
      <c r="D6" s="1235" t="s">
        <v>633</v>
      </c>
      <c r="E6" s="1235">
        <v>2</v>
      </c>
      <c r="F6" s="1235" t="s">
        <v>6727</v>
      </c>
      <c r="G6" s="1235" t="s">
        <v>6724</v>
      </c>
      <c r="H6" s="1235" t="s">
        <v>6413</v>
      </c>
      <c r="I6" s="1235" t="s">
        <v>6414</v>
      </c>
      <c r="J6" s="1235">
        <v>120</v>
      </c>
      <c r="K6" s="1235">
        <v>345.4</v>
      </c>
      <c r="L6" s="1235">
        <v>28705</v>
      </c>
    </row>
    <row r="7" spans="1:14">
      <c r="A7" s="3507">
        <v>45102.333831018521</v>
      </c>
      <c r="B7" s="3508" t="s">
        <v>6534</v>
      </c>
      <c r="C7" s="3508" t="s">
        <v>633</v>
      </c>
      <c r="D7" s="3508" t="s">
        <v>633</v>
      </c>
      <c r="E7" s="3508">
        <v>1</v>
      </c>
      <c r="F7" s="3508" t="s">
        <v>6566</v>
      </c>
      <c r="G7" s="3508" t="s">
        <v>6724</v>
      </c>
      <c r="H7" s="3508" t="s">
        <v>6413</v>
      </c>
      <c r="I7" s="3508" t="s">
        <v>6433</v>
      </c>
      <c r="J7" s="3508">
        <v>98</v>
      </c>
      <c r="K7" s="3508">
        <v>319.52999999999997</v>
      </c>
      <c r="L7" s="3508">
        <v>32679</v>
      </c>
    </row>
    <row r="8" spans="1:14">
      <c r="A8" s="3486">
        <v>45093.333831018521</v>
      </c>
      <c r="B8" s="1235" t="s">
        <v>6463</v>
      </c>
      <c r="C8" s="1235" t="s">
        <v>633</v>
      </c>
      <c r="D8" s="1235" t="s">
        <v>633</v>
      </c>
      <c r="E8" s="1235">
        <v>1</v>
      </c>
      <c r="F8" s="1235" t="s">
        <v>6528</v>
      </c>
      <c r="G8" s="1235" t="s">
        <v>6728</v>
      </c>
      <c r="H8" s="1235" t="s">
        <v>6520</v>
      </c>
      <c r="I8" s="1235" t="s">
        <v>6523</v>
      </c>
      <c r="J8" s="1235">
        <v>177</v>
      </c>
      <c r="K8" s="1235">
        <v>805</v>
      </c>
      <c r="L8" s="1235">
        <v>45594</v>
      </c>
    </row>
    <row r="9" spans="1:14">
      <c r="A9" s="3486">
        <v>45092.333831018521</v>
      </c>
      <c r="B9" s="1235" t="s">
        <v>6534</v>
      </c>
      <c r="C9" s="1235" t="s">
        <v>633</v>
      </c>
      <c r="D9" s="1235" t="s">
        <v>633</v>
      </c>
      <c r="E9" s="1235">
        <v>2</v>
      </c>
      <c r="F9" s="1235" t="s">
        <v>6727</v>
      </c>
      <c r="G9" s="1235" t="s">
        <v>6724</v>
      </c>
      <c r="H9" s="1235" t="s">
        <v>6413</v>
      </c>
      <c r="I9" s="1235" t="s">
        <v>6414</v>
      </c>
      <c r="J9" s="1235">
        <v>120</v>
      </c>
      <c r="K9" s="1235">
        <v>345.4</v>
      </c>
      <c r="L9" s="1235">
        <v>28705</v>
      </c>
    </row>
    <row r="10" spans="1:14">
      <c r="A10" s="3486">
        <v>45075.333831018521</v>
      </c>
      <c r="B10" s="1235" t="s">
        <v>6460</v>
      </c>
      <c r="C10" s="1235" t="s">
        <v>633</v>
      </c>
      <c r="D10" s="1235" t="s">
        <v>633</v>
      </c>
      <c r="E10" s="1235">
        <v>12</v>
      </c>
      <c r="F10" s="1235" t="s">
        <v>6729</v>
      </c>
      <c r="G10" s="1235" t="s">
        <v>6730</v>
      </c>
      <c r="H10" s="1235" t="s">
        <v>6413</v>
      </c>
      <c r="I10" s="1235" t="s">
        <v>6414</v>
      </c>
      <c r="J10" s="1235">
        <v>120</v>
      </c>
      <c r="K10" s="1235">
        <v>332</v>
      </c>
      <c r="L10" s="1235">
        <v>27586</v>
      </c>
    </row>
    <row r="11" spans="1:14">
      <c r="A11" s="3486">
        <v>45068.333831018521</v>
      </c>
      <c r="B11" s="1235" t="s">
        <v>6454</v>
      </c>
      <c r="C11" s="1235" t="s">
        <v>633</v>
      </c>
      <c r="D11" s="1235" t="s">
        <v>633</v>
      </c>
      <c r="E11" s="1235">
        <v>1</v>
      </c>
      <c r="F11" s="1235" t="s">
        <v>6526</v>
      </c>
      <c r="G11" s="1235" t="s">
        <v>6731</v>
      </c>
      <c r="H11" s="1235" t="s">
        <v>6520</v>
      </c>
      <c r="I11" s="1235" t="s">
        <v>6533</v>
      </c>
      <c r="J11" s="1235">
        <v>176</v>
      </c>
      <c r="K11" s="1235">
        <v>653.39</v>
      </c>
      <c r="L11" s="1235">
        <v>37194</v>
      </c>
    </row>
    <row r="12" spans="1:14">
      <c r="A12" s="3486">
        <v>45041.333831018521</v>
      </c>
      <c r="B12" s="1235" t="s">
        <v>6442</v>
      </c>
      <c r="C12" s="1235" t="s">
        <v>633</v>
      </c>
      <c r="D12" s="1235" t="s">
        <v>633</v>
      </c>
      <c r="E12" s="1235">
        <v>8</v>
      </c>
      <c r="F12" s="1235" t="s">
        <v>6732</v>
      </c>
      <c r="G12" s="1235" t="s">
        <v>6733</v>
      </c>
      <c r="H12" s="1235" t="s">
        <v>6413</v>
      </c>
      <c r="I12" s="1235" t="s">
        <v>6663</v>
      </c>
      <c r="J12" s="1235">
        <v>135</v>
      </c>
      <c r="K12" s="1235">
        <v>420.19</v>
      </c>
      <c r="L12" s="1235">
        <v>31095</v>
      </c>
    </row>
    <row r="13" spans="1:14">
      <c r="A13" s="3486">
        <v>45038.333831018521</v>
      </c>
      <c r="B13" s="1235" t="s">
        <v>6454</v>
      </c>
      <c r="C13" s="1235" t="s">
        <v>633</v>
      </c>
      <c r="D13" s="1235" t="s">
        <v>633</v>
      </c>
      <c r="E13" s="1235">
        <v>1</v>
      </c>
      <c r="F13" s="1235" t="s">
        <v>6528</v>
      </c>
      <c r="G13" s="1235" t="s">
        <v>6731</v>
      </c>
      <c r="H13" s="1235" t="s">
        <v>6520</v>
      </c>
      <c r="I13" s="1235" t="s">
        <v>6533</v>
      </c>
      <c r="J13" s="1235">
        <v>176</v>
      </c>
      <c r="K13" s="1235">
        <v>766.83</v>
      </c>
      <c r="L13" s="1235">
        <v>43478</v>
      </c>
    </row>
    <row r="14" spans="1:14">
      <c r="A14" s="3486">
        <v>45030.333831018521</v>
      </c>
      <c r="B14" s="1235" t="s">
        <v>6544</v>
      </c>
      <c r="C14" s="1235" t="s">
        <v>633</v>
      </c>
      <c r="D14" s="1235" t="s">
        <v>633</v>
      </c>
      <c r="E14" s="1235">
        <v>1</v>
      </c>
      <c r="F14" s="1235" t="s">
        <v>6734</v>
      </c>
      <c r="G14" s="1235" t="s">
        <v>6735</v>
      </c>
      <c r="H14" s="1235" t="s">
        <v>6413</v>
      </c>
      <c r="I14" s="1235" t="s">
        <v>6414</v>
      </c>
      <c r="J14" s="1235">
        <v>97</v>
      </c>
      <c r="K14" s="1235">
        <v>325.35000000000002</v>
      </c>
      <c r="L14" s="1235">
        <v>33632</v>
      </c>
    </row>
    <row r="15" spans="1:14">
      <c r="A15" s="3486">
        <v>45026.333831018521</v>
      </c>
      <c r="B15" s="1235" t="s">
        <v>6442</v>
      </c>
      <c r="C15" s="1235" t="s">
        <v>633</v>
      </c>
      <c r="D15" s="1235" t="s">
        <v>633</v>
      </c>
      <c r="E15" s="1235">
        <v>11</v>
      </c>
      <c r="F15" s="1235" t="s">
        <v>6736</v>
      </c>
      <c r="G15" s="1235" t="s">
        <v>6733</v>
      </c>
      <c r="H15" s="1235" t="s">
        <v>6413</v>
      </c>
      <c r="I15" s="1235" t="s">
        <v>6663</v>
      </c>
      <c r="J15" s="1235">
        <v>135</v>
      </c>
      <c r="K15" s="1235">
        <v>435.6</v>
      </c>
      <c r="L15" s="1235">
        <v>32329</v>
      </c>
    </row>
    <row r="16" spans="1:14">
      <c r="A16" s="3486">
        <v>45026.333831018521</v>
      </c>
      <c r="B16" s="1235" t="s">
        <v>6454</v>
      </c>
      <c r="C16" s="1235" t="s">
        <v>633</v>
      </c>
      <c r="D16" s="1235" t="s">
        <v>633</v>
      </c>
      <c r="E16" s="1235">
        <v>1</v>
      </c>
      <c r="F16" s="1235" t="s">
        <v>6737</v>
      </c>
      <c r="G16" s="1235" t="s">
        <v>6731</v>
      </c>
      <c r="H16" s="1235" t="s">
        <v>6520</v>
      </c>
      <c r="I16" s="1235" t="s">
        <v>6533</v>
      </c>
      <c r="J16" s="1235">
        <v>176</v>
      </c>
      <c r="K16" s="1235">
        <v>733.87</v>
      </c>
      <c r="L16" s="1235">
        <v>41610</v>
      </c>
    </row>
    <row r="17" spans="1:12">
      <c r="A17" s="3486">
        <v>45015.333831018521</v>
      </c>
      <c r="B17" s="1235" t="s">
        <v>6463</v>
      </c>
      <c r="C17" s="1235" t="s">
        <v>633</v>
      </c>
      <c r="D17" s="1235" t="s">
        <v>633</v>
      </c>
      <c r="E17" s="1235">
        <v>1</v>
      </c>
      <c r="F17" s="1235" t="s">
        <v>6530</v>
      </c>
      <c r="G17" s="1235" t="s">
        <v>6728</v>
      </c>
      <c r="H17" s="1235" t="s">
        <v>6520</v>
      </c>
      <c r="I17" s="1235" t="s">
        <v>6523</v>
      </c>
      <c r="J17" s="1235">
        <v>176</v>
      </c>
      <c r="K17" s="1235">
        <v>702.71</v>
      </c>
      <c r="L17" s="1235">
        <v>39959</v>
      </c>
    </row>
    <row r="19" spans="1:12">
      <c r="A19" s="1235" t="s">
        <v>8687</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估价对象为北京市房地产，为所有。根据《国有土地使用证》[]，估价对象（分摊）出让国有建设用地使用权面积为111411.25平方米，建筑面积为178258平方米。</v>
      </c>
    </row>
    <row r="8" spans="1:1" ht="57.75">
      <c r="A8" s="1479" t="s">
        <v>901</v>
      </c>
    </row>
    <row r="9" spans="1:1" ht="18.75">
      <c r="A9" s="1478" t="s">
        <v>902</v>
      </c>
    </row>
    <row r="10" spans="1:1" ht="54">
      <c r="A10" s="1476" t="str">
        <f>"估价对象为"&amp;项目基本情况!S2&amp;IF('结果表-洋房'!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估价对象为北京市房地产,属开发建设的居住项目，该项目尚在开发建设中。根据《国有土地使用证》[]，估价对象（分摊）出让国有建设用地使用权面积为111411.25平方米，规划建筑面积为178258平方米。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2023年8月21日（评估专业人员实地查勘之日）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洋房'!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洋房'!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"本次评估采用的主估价方法为"&amp;'结果表-洋房'!K4&amp;"和"&amp;'结果表-洋房'!L4&amp;"。"</f>
        <v>本次评估采用的主估价方法为比较法和成本法。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N51"/>
  <sheetViews>
    <sheetView workbookViewId="0">
      <selection activeCell="L52" sqref="L52"/>
    </sheetView>
  </sheetViews>
  <sheetFormatPr defaultColWidth="8.5" defaultRowHeight="13.5"/>
  <cols>
    <col min="1" max="1" width="12.875" style="1235" customWidth="1"/>
    <col min="2" max="16384" width="8.5" style="1235"/>
  </cols>
  <sheetData>
    <row r="1" spans="1:14">
      <c r="A1" s="2824" t="s">
        <v>8764</v>
      </c>
    </row>
    <row r="2" spans="1:14">
      <c r="A2" s="1235" t="s">
        <v>6398</v>
      </c>
      <c r="B2" s="1235" t="s">
        <v>6399</v>
      </c>
      <c r="C2" s="1235" t="s">
        <v>6400</v>
      </c>
      <c r="D2" s="1235" t="s">
        <v>6401</v>
      </c>
      <c r="E2" s="1235" t="s">
        <v>6402</v>
      </c>
      <c r="F2" s="1235" t="s">
        <v>6403</v>
      </c>
      <c r="G2" s="1235" t="s">
        <v>6404</v>
      </c>
      <c r="H2" s="1235" t="s">
        <v>6405</v>
      </c>
      <c r="I2" s="1235" t="s">
        <v>6406</v>
      </c>
      <c r="J2" s="1235" t="s">
        <v>6407</v>
      </c>
      <c r="K2" s="1235" t="s">
        <v>6408</v>
      </c>
      <c r="L2" s="1235" t="s">
        <v>6409</v>
      </c>
      <c r="N2" s="1235" t="s">
        <v>8686</v>
      </c>
    </row>
    <row r="3" spans="1:14" hidden="1">
      <c r="A3" s="3486">
        <v>45096.333831018521</v>
      </c>
      <c r="B3" s="1235" t="s">
        <v>6426</v>
      </c>
      <c r="C3" s="1235" t="s">
        <v>633</v>
      </c>
      <c r="D3" s="1235" t="s">
        <v>633</v>
      </c>
      <c r="E3" s="1235">
        <v>-2</v>
      </c>
      <c r="F3" s="1235" t="s">
        <v>6518</v>
      </c>
      <c r="G3" s="1235" t="s">
        <v>6519</v>
      </c>
      <c r="H3" s="1235" t="s">
        <v>6520</v>
      </c>
      <c r="I3" s="1235" t="s">
        <v>6521</v>
      </c>
      <c r="J3" s="1235">
        <v>213</v>
      </c>
      <c r="K3" s="1235">
        <v>590</v>
      </c>
      <c r="L3" s="1235">
        <v>27684</v>
      </c>
    </row>
    <row r="4" spans="1:14" hidden="1">
      <c r="A4" s="3486">
        <v>45065.333831018521</v>
      </c>
      <c r="B4" s="1235" t="s">
        <v>6439</v>
      </c>
      <c r="C4" s="1235" t="s">
        <v>633</v>
      </c>
      <c r="D4" s="1235" t="s">
        <v>633</v>
      </c>
      <c r="E4" s="1235">
        <v>-2</v>
      </c>
      <c r="F4" s="1235" t="s">
        <v>6518</v>
      </c>
      <c r="G4" s="1235" t="s">
        <v>6522</v>
      </c>
      <c r="H4" s="1235" t="s">
        <v>6520</v>
      </c>
      <c r="I4" s="1235" t="s">
        <v>6523</v>
      </c>
      <c r="J4" s="1235">
        <v>255</v>
      </c>
      <c r="K4" s="1235">
        <v>750</v>
      </c>
      <c r="L4" s="1235">
        <v>29373</v>
      </c>
    </row>
    <row r="5" spans="1:14" hidden="1">
      <c r="A5" s="3486">
        <v>45064.333831018521</v>
      </c>
      <c r="B5" s="1235" t="s">
        <v>6524</v>
      </c>
      <c r="C5" s="1235" t="s">
        <v>633</v>
      </c>
      <c r="D5" s="1235" t="s">
        <v>633</v>
      </c>
      <c r="E5" s="1235">
        <v>1</v>
      </c>
      <c r="F5" s="1235">
        <v>3</v>
      </c>
      <c r="G5" s="1235" t="s">
        <v>6525</v>
      </c>
      <c r="H5" s="1235" t="s">
        <v>6520</v>
      </c>
      <c r="I5" s="1235" t="s">
        <v>6523</v>
      </c>
      <c r="J5" s="1235">
        <v>190</v>
      </c>
      <c r="K5" s="1235">
        <v>758</v>
      </c>
      <c r="L5" s="1235">
        <v>39964</v>
      </c>
    </row>
    <row r="6" spans="1:14" hidden="1">
      <c r="A6" s="3486">
        <v>45033.333831018521</v>
      </c>
      <c r="B6" s="1235" t="s">
        <v>6439</v>
      </c>
      <c r="C6" s="1235" t="s">
        <v>633</v>
      </c>
      <c r="D6" s="1235" t="s">
        <v>633</v>
      </c>
      <c r="E6" s="1235">
        <v>-2</v>
      </c>
      <c r="F6" s="1235" t="s">
        <v>6526</v>
      </c>
      <c r="G6" s="1235" t="s">
        <v>6522</v>
      </c>
      <c r="H6" s="1235" t="s">
        <v>6520</v>
      </c>
      <c r="I6" s="1235" t="s">
        <v>6523</v>
      </c>
      <c r="J6" s="1235">
        <v>225</v>
      </c>
      <c r="K6" s="1235">
        <v>638</v>
      </c>
      <c r="L6" s="1235">
        <v>28313</v>
      </c>
    </row>
    <row r="7" spans="1:14" hidden="1">
      <c r="A7" s="3486">
        <v>45033.333831018521</v>
      </c>
      <c r="B7" s="1235" t="s">
        <v>6439</v>
      </c>
      <c r="C7" s="1235" t="s">
        <v>633</v>
      </c>
      <c r="D7" s="1235" t="s">
        <v>633</v>
      </c>
      <c r="E7" s="1235">
        <v>-2</v>
      </c>
      <c r="F7" s="1235" t="s">
        <v>6527</v>
      </c>
      <c r="G7" s="1235" t="s">
        <v>6522</v>
      </c>
      <c r="H7" s="1235" t="s">
        <v>6520</v>
      </c>
      <c r="I7" s="1235" t="s">
        <v>6523</v>
      </c>
      <c r="J7" s="1235">
        <v>224</v>
      </c>
      <c r="K7" s="1235">
        <v>605</v>
      </c>
      <c r="L7" s="1235">
        <v>27025</v>
      </c>
    </row>
    <row r="8" spans="1:14" hidden="1">
      <c r="A8" s="3486">
        <v>45023.333831018521</v>
      </c>
      <c r="B8" s="1235" t="s">
        <v>6415</v>
      </c>
      <c r="C8" s="1235" t="s">
        <v>633</v>
      </c>
      <c r="D8" s="1235" t="s">
        <v>633</v>
      </c>
      <c r="E8" s="1235">
        <v>-2</v>
      </c>
      <c r="F8" s="1235" t="s">
        <v>6528</v>
      </c>
      <c r="G8" s="1235" t="s">
        <v>6529</v>
      </c>
      <c r="H8" s="1235" t="s">
        <v>6520</v>
      </c>
      <c r="I8" s="1235" t="s">
        <v>6521</v>
      </c>
      <c r="J8" s="1235">
        <v>195</v>
      </c>
      <c r="K8" s="1235">
        <v>655</v>
      </c>
      <c r="L8" s="1235">
        <v>33533</v>
      </c>
    </row>
    <row r="9" spans="1:14" hidden="1">
      <c r="A9" s="3486">
        <v>44974.333831018521</v>
      </c>
      <c r="B9" s="1235" t="s">
        <v>6454</v>
      </c>
      <c r="C9" s="1235" t="s">
        <v>633</v>
      </c>
      <c r="D9" s="1235" t="s">
        <v>633</v>
      </c>
      <c r="E9" s="1235">
        <v>-2</v>
      </c>
      <c r="F9" s="1235" t="s">
        <v>6530</v>
      </c>
      <c r="G9" s="1235" t="s">
        <v>6531</v>
      </c>
      <c r="H9" s="1235" t="s">
        <v>6520</v>
      </c>
      <c r="I9" s="1235" t="s">
        <v>6521</v>
      </c>
      <c r="J9" s="1235">
        <v>214</v>
      </c>
      <c r="K9" s="1235">
        <v>610</v>
      </c>
      <c r="L9" s="1235">
        <v>28523</v>
      </c>
    </row>
    <row r="10" spans="1:14" hidden="1">
      <c r="A10" s="3486">
        <v>44960.333831018521</v>
      </c>
      <c r="B10" s="1235" t="s">
        <v>6463</v>
      </c>
      <c r="C10" s="1235" t="s">
        <v>633</v>
      </c>
      <c r="D10" s="1235" t="s">
        <v>633</v>
      </c>
      <c r="E10" s="1235">
        <v>1</v>
      </c>
      <c r="F10" s="1235">
        <v>3</v>
      </c>
      <c r="G10" s="1235" t="s">
        <v>6532</v>
      </c>
      <c r="H10" s="1235" t="s">
        <v>6520</v>
      </c>
      <c r="I10" s="1235" t="s">
        <v>6533</v>
      </c>
      <c r="J10" s="1235">
        <v>191</v>
      </c>
      <c r="K10" s="1235">
        <v>708</v>
      </c>
      <c r="L10" s="1235">
        <v>37095</v>
      </c>
    </row>
    <row r="11" spans="1:14" hidden="1">
      <c r="A11" s="3486">
        <v>44930.333831018521</v>
      </c>
      <c r="B11" s="1235" t="s">
        <v>6534</v>
      </c>
      <c r="C11" s="1235" t="s">
        <v>633</v>
      </c>
      <c r="D11" s="1235" t="s">
        <v>633</v>
      </c>
      <c r="E11" s="1235">
        <v>-2</v>
      </c>
      <c r="F11" s="1235" t="s">
        <v>6535</v>
      </c>
      <c r="G11" s="1235" t="s">
        <v>6536</v>
      </c>
      <c r="H11" s="1235" t="s">
        <v>6520</v>
      </c>
      <c r="I11" s="1235" t="s">
        <v>6533</v>
      </c>
      <c r="J11" s="1235">
        <v>236</v>
      </c>
      <c r="K11" s="1235">
        <v>702</v>
      </c>
      <c r="L11" s="1235">
        <v>29709</v>
      </c>
    </row>
    <row r="12" spans="1:14" hidden="1">
      <c r="A12" s="3486">
        <v>44922.333831018521</v>
      </c>
      <c r="B12" s="1235" t="s">
        <v>6415</v>
      </c>
      <c r="C12" s="1235" t="s">
        <v>633</v>
      </c>
      <c r="D12" s="1235" t="s">
        <v>633</v>
      </c>
      <c r="E12" s="1235">
        <v>-2</v>
      </c>
      <c r="F12" s="1235" t="s">
        <v>6737</v>
      </c>
      <c r="G12" s="1235" t="s">
        <v>6529</v>
      </c>
      <c r="H12" s="1235" t="s">
        <v>6520</v>
      </c>
      <c r="I12" s="1235" t="s">
        <v>6533</v>
      </c>
      <c r="J12" s="1235">
        <v>195</v>
      </c>
      <c r="K12" s="1235">
        <v>610</v>
      </c>
      <c r="L12" s="1235">
        <v>31356</v>
      </c>
    </row>
    <row r="13" spans="1:14" hidden="1">
      <c r="A13" s="3486">
        <v>44921.333831018521</v>
      </c>
      <c r="B13" s="1235" t="s">
        <v>6467</v>
      </c>
      <c r="C13" s="1235" t="s">
        <v>633</v>
      </c>
      <c r="D13" s="1235" t="s">
        <v>633</v>
      </c>
      <c r="E13" s="1235">
        <v>-2</v>
      </c>
      <c r="F13" s="1235" t="s">
        <v>8747</v>
      </c>
      <c r="G13" s="1235" t="s">
        <v>8748</v>
      </c>
      <c r="H13" s="1235" t="s">
        <v>6520</v>
      </c>
      <c r="I13" s="1235" t="s">
        <v>6533</v>
      </c>
      <c r="J13" s="1235">
        <v>258</v>
      </c>
      <c r="K13" s="1235">
        <v>714</v>
      </c>
      <c r="L13" s="1235">
        <v>27644</v>
      </c>
    </row>
    <row r="14" spans="1:14" hidden="1">
      <c r="A14" s="3486">
        <v>44917.333831018521</v>
      </c>
      <c r="B14" s="1235" t="s">
        <v>6460</v>
      </c>
      <c r="C14" s="1235" t="s">
        <v>633</v>
      </c>
      <c r="D14" s="1235" t="s">
        <v>633</v>
      </c>
      <c r="E14" s="1235">
        <v>-2</v>
      </c>
      <c r="F14" s="1235" t="s">
        <v>8749</v>
      </c>
      <c r="G14" s="1235" t="s">
        <v>8750</v>
      </c>
      <c r="H14" s="1235" t="s">
        <v>6520</v>
      </c>
      <c r="I14" s="1235" t="s">
        <v>6523</v>
      </c>
      <c r="J14" s="1235">
        <v>256</v>
      </c>
      <c r="K14" s="1235">
        <v>726</v>
      </c>
      <c r="L14" s="1235">
        <v>28373</v>
      </c>
    </row>
    <row r="15" spans="1:14" hidden="1">
      <c r="A15" s="3486">
        <v>44917.333831018521</v>
      </c>
      <c r="B15" s="1235" t="s">
        <v>6540</v>
      </c>
      <c r="C15" s="1235" t="s">
        <v>633</v>
      </c>
      <c r="D15" s="1235" t="s">
        <v>633</v>
      </c>
      <c r="E15" s="1235">
        <v>-2</v>
      </c>
      <c r="F15" s="1235" t="s">
        <v>6526</v>
      </c>
      <c r="G15" s="1235" t="s">
        <v>8751</v>
      </c>
      <c r="H15" s="1235" t="s">
        <v>6520</v>
      </c>
      <c r="I15" s="1235" t="s">
        <v>6523</v>
      </c>
      <c r="J15" s="1235">
        <v>193</v>
      </c>
      <c r="K15" s="1235">
        <v>600</v>
      </c>
      <c r="L15" s="1235">
        <v>31111</v>
      </c>
    </row>
    <row r="16" spans="1:14" hidden="1">
      <c r="A16" s="3486">
        <v>44910.333831018521</v>
      </c>
      <c r="B16" s="1235" t="s">
        <v>6439</v>
      </c>
      <c r="C16" s="1235" t="s">
        <v>633</v>
      </c>
      <c r="D16" s="1235" t="s">
        <v>633</v>
      </c>
      <c r="E16" s="1235">
        <v>-2</v>
      </c>
      <c r="F16" s="1235" t="s">
        <v>8752</v>
      </c>
      <c r="G16" s="1235" t="s">
        <v>6522</v>
      </c>
      <c r="H16" s="1235" t="s">
        <v>6520</v>
      </c>
      <c r="I16" s="1235" t="s">
        <v>6521</v>
      </c>
      <c r="J16" s="1235">
        <v>224</v>
      </c>
      <c r="K16" s="1235">
        <v>573</v>
      </c>
      <c r="L16" s="1235">
        <v>25603</v>
      </c>
    </row>
    <row r="17" spans="1:12" hidden="1">
      <c r="A17" s="3486">
        <v>44898.333831018521</v>
      </c>
      <c r="B17" s="1235" t="s">
        <v>6460</v>
      </c>
      <c r="C17" s="1235" t="s">
        <v>633</v>
      </c>
      <c r="D17" s="1235" t="s">
        <v>633</v>
      </c>
      <c r="E17" s="1235">
        <v>-2</v>
      </c>
      <c r="F17" s="1235" t="s">
        <v>8753</v>
      </c>
      <c r="G17" s="1235" t="s">
        <v>8750</v>
      </c>
      <c r="H17" s="1235" t="s">
        <v>6520</v>
      </c>
      <c r="I17" s="1235" t="s">
        <v>6521</v>
      </c>
      <c r="J17" s="1235">
        <v>225</v>
      </c>
      <c r="K17" s="1235">
        <v>570</v>
      </c>
      <c r="L17" s="1235">
        <v>25362</v>
      </c>
    </row>
    <row r="18" spans="1:12" hidden="1">
      <c r="A18" s="3486">
        <v>44886.333831018521</v>
      </c>
      <c r="B18" s="1235" t="s">
        <v>6467</v>
      </c>
      <c r="C18" s="1235" t="s">
        <v>633</v>
      </c>
      <c r="D18" s="1235" t="s">
        <v>633</v>
      </c>
      <c r="E18" s="1235">
        <v>-2</v>
      </c>
      <c r="F18" s="1235" t="s">
        <v>6530</v>
      </c>
      <c r="G18" s="1235" t="s">
        <v>8748</v>
      </c>
      <c r="H18" s="1235" t="s">
        <v>6520</v>
      </c>
      <c r="I18" s="1235" t="s">
        <v>6521</v>
      </c>
      <c r="J18" s="1235">
        <v>225</v>
      </c>
      <c r="K18" s="1235">
        <v>522</v>
      </c>
      <c r="L18" s="1235">
        <v>23221</v>
      </c>
    </row>
    <row r="19" spans="1:12" hidden="1">
      <c r="A19" s="3486">
        <v>44875.333831018521</v>
      </c>
      <c r="B19" s="1235" t="s">
        <v>6426</v>
      </c>
      <c r="C19" s="1235" t="s">
        <v>633</v>
      </c>
      <c r="D19" s="1235" t="s">
        <v>633</v>
      </c>
      <c r="E19" s="1235">
        <v>-2</v>
      </c>
      <c r="F19" s="1235" t="s">
        <v>8752</v>
      </c>
      <c r="G19" s="1235" t="s">
        <v>6519</v>
      </c>
      <c r="H19" s="1235" t="s">
        <v>6520</v>
      </c>
      <c r="I19" s="1235" t="s">
        <v>6521</v>
      </c>
      <c r="J19" s="1235">
        <v>227</v>
      </c>
      <c r="K19" s="1235">
        <v>614</v>
      </c>
      <c r="L19" s="1235">
        <v>27008</v>
      </c>
    </row>
    <row r="20" spans="1:12" hidden="1">
      <c r="A20" s="3486">
        <v>44875.333831018521</v>
      </c>
      <c r="B20" s="1235" t="s">
        <v>6439</v>
      </c>
      <c r="C20" s="1235" t="s">
        <v>633</v>
      </c>
      <c r="D20" s="1235" t="s">
        <v>633</v>
      </c>
      <c r="E20" s="1235">
        <v>-2</v>
      </c>
      <c r="F20" s="1235" t="s">
        <v>8754</v>
      </c>
      <c r="G20" s="1235" t="s">
        <v>6522</v>
      </c>
      <c r="H20" s="1235" t="s">
        <v>6520</v>
      </c>
      <c r="I20" s="1235" t="s">
        <v>6521</v>
      </c>
      <c r="J20" s="1235">
        <v>258</v>
      </c>
      <c r="K20" s="1235">
        <v>730</v>
      </c>
      <c r="L20" s="1235">
        <v>28328</v>
      </c>
    </row>
    <row r="21" spans="1:12" hidden="1">
      <c r="A21" s="3486">
        <v>44873.333831018521</v>
      </c>
      <c r="B21" s="1235" t="s">
        <v>6454</v>
      </c>
      <c r="C21" s="1235" t="s">
        <v>633</v>
      </c>
      <c r="D21" s="1235" t="s">
        <v>633</v>
      </c>
      <c r="E21" s="1235">
        <v>-2</v>
      </c>
      <c r="F21" s="1235" t="s">
        <v>8755</v>
      </c>
      <c r="G21" s="1235" t="s">
        <v>6531</v>
      </c>
      <c r="H21" s="1235" t="s">
        <v>6520</v>
      </c>
      <c r="I21" s="1235" t="s">
        <v>6521</v>
      </c>
      <c r="J21" s="1235">
        <v>212</v>
      </c>
      <c r="K21" s="1235">
        <v>583</v>
      </c>
      <c r="L21" s="1235">
        <v>27473</v>
      </c>
    </row>
    <row r="22" spans="1:12" hidden="1">
      <c r="A22" s="3486">
        <v>44872.333831018521</v>
      </c>
      <c r="B22" s="1235" t="s">
        <v>6454</v>
      </c>
      <c r="C22" s="1235" t="s">
        <v>633</v>
      </c>
      <c r="D22" s="1235" t="s">
        <v>633</v>
      </c>
      <c r="E22" s="1235">
        <v>-2</v>
      </c>
      <c r="F22" s="1235" t="s">
        <v>6528</v>
      </c>
      <c r="G22" s="1235" t="s">
        <v>6531</v>
      </c>
      <c r="H22" s="1235" t="s">
        <v>6520</v>
      </c>
      <c r="I22" s="1235" t="s">
        <v>6521</v>
      </c>
      <c r="J22" s="1235">
        <v>227</v>
      </c>
      <c r="K22" s="1235">
        <v>550</v>
      </c>
      <c r="L22" s="1235">
        <v>24221</v>
      </c>
    </row>
    <row r="23" spans="1:12" hidden="1">
      <c r="A23" s="3486">
        <v>44872.333831018521</v>
      </c>
      <c r="B23" s="1235" t="s">
        <v>6467</v>
      </c>
      <c r="C23" s="1235" t="s">
        <v>633</v>
      </c>
      <c r="D23" s="1235" t="s">
        <v>633</v>
      </c>
      <c r="E23" s="1235">
        <v>-2</v>
      </c>
      <c r="F23" s="1235" t="s">
        <v>8756</v>
      </c>
      <c r="G23" s="1235" t="s">
        <v>8748</v>
      </c>
      <c r="H23" s="1235" t="s">
        <v>6520</v>
      </c>
      <c r="I23" s="1235" t="s">
        <v>6521</v>
      </c>
      <c r="J23" s="1235">
        <v>212</v>
      </c>
      <c r="K23" s="1235">
        <v>540</v>
      </c>
      <c r="L23" s="1235">
        <v>25490</v>
      </c>
    </row>
    <row r="24" spans="1:12" hidden="1">
      <c r="A24" s="3486">
        <v>44869.333831018521</v>
      </c>
      <c r="B24" s="1235" t="s">
        <v>6713</v>
      </c>
      <c r="C24" s="1235" t="s">
        <v>633</v>
      </c>
      <c r="D24" s="1235" t="s">
        <v>633</v>
      </c>
      <c r="E24" s="1235">
        <v>1</v>
      </c>
      <c r="F24" s="1235">
        <v>2</v>
      </c>
      <c r="G24" s="1235" t="s">
        <v>8757</v>
      </c>
      <c r="H24" s="1235" t="s">
        <v>6520</v>
      </c>
      <c r="I24" s="1235" t="s">
        <v>6521</v>
      </c>
      <c r="J24" s="1235">
        <v>187</v>
      </c>
      <c r="K24" s="1235">
        <v>718</v>
      </c>
      <c r="L24" s="1235">
        <v>38492</v>
      </c>
    </row>
    <row r="25" spans="1:12" hidden="1">
      <c r="A25" s="3486">
        <v>44862.333831018521</v>
      </c>
      <c r="B25" s="1235" t="s">
        <v>6454</v>
      </c>
      <c r="C25" s="1235" t="s">
        <v>633</v>
      </c>
      <c r="D25" s="1235" t="s">
        <v>633</v>
      </c>
      <c r="E25" s="1235">
        <v>-2</v>
      </c>
      <c r="F25" s="1235" t="s">
        <v>6527</v>
      </c>
      <c r="G25" s="1235" t="s">
        <v>6531</v>
      </c>
      <c r="H25" s="1235" t="s">
        <v>6520</v>
      </c>
      <c r="I25" s="1235" t="s">
        <v>6521</v>
      </c>
      <c r="J25" s="1235">
        <v>214</v>
      </c>
      <c r="K25" s="1235">
        <v>623</v>
      </c>
      <c r="L25" s="1235">
        <v>29131</v>
      </c>
    </row>
    <row r="26" spans="1:12" hidden="1">
      <c r="A26" s="3486">
        <v>44854.333831018521</v>
      </c>
      <c r="B26" s="1235" t="s">
        <v>6460</v>
      </c>
      <c r="C26" s="1235" t="s">
        <v>633</v>
      </c>
      <c r="D26" s="1235" t="s">
        <v>633</v>
      </c>
      <c r="E26" s="1235">
        <v>-2</v>
      </c>
      <c r="F26" s="1235" t="s">
        <v>6737</v>
      </c>
      <c r="G26" s="1235" t="s">
        <v>8750</v>
      </c>
      <c r="H26" s="1235" t="s">
        <v>6520</v>
      </c>
      <c r="I26" s="1235" t="s">
        <v>6523</v>
      </c>
      <c r="J26" s="1235">
        <v>225</v>
      </c>
      <c r="K26" s="1235">
        <v>570</v>
      </c>
      <c r="L26" s="1235">
        <v>25371</v>
      </c>
    </row>
    <row r="27" spans="1:12" hidden="1">
      <c r="A27" s="3486">
        <v>44852.333831018521</v>
      </c>
      <c r="B27" s="1235" t="s">
        <v>6439</v>
      </c>
      <c r="C27" s="1235" t="s">
        <v>633</v>
      </c>
      <c r="D27" s="1235" t="s">
        <v>633</v>
      </c>
      <c r="E27" s="1235">
        <v>-2</v>
      </c>
      <c r="F27" s="1235" t="s">
        <v>6535</v>
      </c>
      <c r="G27" s="1235" t="s">
        <v>6522</v>
      </c>
      <c r="H27" s="1235" t="s">
        <v>6520</v>
      </c>
      <c r="I27" s="1235" t="s">
        <v>6523</v>
      </c>
      <c r="J27" s="1235">
        <v>255</v>
      </c>
      <c r="K27" s="1235">
        <v>707.5</v>
      </c>
      <c r="L27" s="1235">
        <v>27708</v>
      </c>
    </row>
    <row r="28" spans="1:12" hidden="1">
      <c r="A28" s="3486">
        <v>44848.333831018521</v>
      </c>
      <c r="B28" s="1235" t="s">
        <v>6454</v>
      </c>
      <c r="C28" s="1235" t="s">
        <v>633</v>
      </c>
      <c r="D28" s="1235" t="s">
        <v>633</v>
      </c>
      <c r="E28" s="1235">
        <v>-2</v>
      </c>
      <c r="F28" s="1235" t="s">
        <v>8752</v>
      </c>
      <c r="G28" s="1235" t="s">
        <v>6531</v>
      </c>
      <c r="H28" s="1235" t="s">
        <v>6520</v>
      </c>
      <c r="I28" s="1235" t="s">
        <v>6523</v>
      </c>
      <c r="J28" s="1235">
        <v>214</v>
      </c>
      <c r="K28" s="1235">
        <v>615</v>
      </c>
      <c r="L28" s="1235">
        <v>28768</v>
      </c>
    </row>
    <row r="29" spans="1:12" hidden="1">
      <c r="A29" s="3486">
        <v>44834.333831018521</v>
      </c>
      <c r="B29" s="1235" t="s">
        <v>6467</v>
      </c>
      <c r="C29" s="1235" t="s">
        <v>633</v>
      </c>
      <c r="D29" s="1235" t="s">
        <v>633</v>
      </c>
      <c r="E29" s="1235">
        <v>-2</v>
      </c>
      <c r="F29" s="1235" t="s">
        <v>8755</v>
      </c>
      <c r="G29" s="1235" t="s">
        <v>8748</v>
      </c>
      <c r="H29" s="1235" t="s">
        <v>6520</v>
      </c>
      <c r="I29" s="1235" t="s">
        <v>6521</v>
      </c>
      <c r="J29" s="1235">
        <v>255</v>
      </c>
      <c r="K29" s="1235">
        <v>730</v>
      </c>
      <c r="L29" s="1235">
        <v>28623</v>
      </c>
    </row>
    <row r="30" spans="1:12" hidden="1">
      <c r="A30" s="3486">
        <v>44817.333831018521</v>
      </c>
      <c r="B30" s="1235" t="s">
        <v>6534</v>
      </c>
      <c r="C30" s="1235" t="s">
        <v>633</v>
      </c>
      <c r="D30" s="1235" t="s">
        <v>633</v>
      </c>
      <c r="E30" s="1235">
        <v>-2</v>
      </c>
      <c r="F30" s="1235" t="s">
        <v>6518</v>
      </c>
      <c r="G30" s="1235" t="s">
        <v>6536</v>
      </c>
      <c r="H30" s="1235" t="s">
        <v>6520</v>
      </c>
      <c r="I30" s="1235" t="s">
        <v>6523</v>
      </c>
      <c r="J30" s="1235">
        <v>238</v>
      </c>
      <c r="K30" s="1235">
        <v>720</v>
      </c>
      <c r="L30" s="1235">
        <v>30315</v>
      </c>
    </row>
    <row r="31" spans="1:12" hidden="1">
      <c r="A31" s="3486">
        <v>44803.333831018521</v>
      </c>
      <c r="B31" s="1235" t="s">
        <v>6460</v>
      </c>
      <c r="C31" s="1235" t="s">
        <v>633</v>
      </c>
      <c r="D31" s="1235" t="s">
        <v>633</v>
      </c>
      <c r="E31" s="1235">
        <v>-2</v>
      </c>
      <c r="F31" s="1235" t="s">
        <v>6535</v>
      </c>
      <c r="G31" s="1235" t="s">
        <v>8750</v>
      </c>
      <c r="H31" s="1235" t="s">
        <v>6520</v>
      </c>
      <c r="I31" s="1235" t="s">
        <v>6521</v>
      </c>
      <c r="J31" s="1235">
        <v>256</v>
      </c>
      <c r="K31" s="1235">
        <v>711</v>
      </c>
      <c r="L31" s="1235">
        <v>27786</v>
      </c>
    </row>
    <row r="32" spans="1:12" hidden="1">
      <c r="A32" s="3486">
        <v>44797.333831018521</v>
      </c>
      <c r="B32" s="1235" t="s">
        <v>6467</v>
      </c>
      <c r="C32" s="1235" t="s">
        <v>633</v>
      </c>
      <c r="D32" s="1235" t="s">
        <v>633</v>
      </c>
      <c r="E32" s="1235">
        <v>-2</v>
      </c>
      <c r="F32" s="1235" t="s">
        <v>6737</v>
      </c>
      <c r="G32" s="1235" t="s">
        <v>8748</v>
      </c>
      <c r="H32" s="1235" t="s">
        <v>6520</v>
      </c>
      <c r="I32" s="1235" t="s">
        <v>6523</v>
      </c>
      <c r="J32" s="1235">
        <v>225</v>
      </c>
      <c r="K32" s="1235">
        <v>522</v>
      </c>
      <c r="L32" s="1235">
        <v>23229</v>
      </c>
    </row>
    <row r="33" spans="1:12" hidden="1">
      <c r="A33" s="3486">
        <v>44795.333831018521</v>
      </c>
      <c r="B33" s="1235" t="s">
        <v>6415</v>
      </c>
      <c r="C33" s="1235" t="s">
        <v>633</v>
      </c>
      <c r="D33" s="1235" t="s">
        <v>633</v>
      </c>
      <c r="E33" s="1235">
        <v>-2</v>
      </c>
      <c r="F33" s="1235" t="s">
        <v>8747</v>
      </c>
      <c r="G33" s="1235" t="s">
        <v>6529</v>
      </c>
      <c r="H33" s="1235" t="s">
        <v>6520</v>
      </c>
      <c r="I33" s="1235" t="s">
        <v>6523</v>
      </c>
      <c r="J33" s="1235">
        <v>234</v>
      </c>
      <c r="K33" s="1235">
        <v>714</v>
      </c>
      <c r="L33" s="1235">
        <v>30517</v>
      </c>
    </row>
    <row r="34" spans="1:12" hidden="1">
      <c r="A34" s="3486">
        <v>44795.333831018521</v>
      </c>
      <c r="B34" s="1235" t="s">
        <v>6426</v>
      </c>
      <c r="C34" s="1235" t="s">
        <v>633</v>
      </c>
      <c r="D34" s="1235" t="s">
        <v>633</v>
      </c>
      <c r="E34" s="1235">
        <v>-2</v>
      </c>
      <c r="F34" s="1235" t="s">
        <v>8749</v>
      </c>
      <c r="G34" s="1235" t="s">
        <v>6519</v>
      </c>
      <c r="H34" s="1235" t="s">
        <v>6520</v>
      </c>
      <c r="I34" s="1235" t="s">
        <v>6523</v>
      </c>
      <c r="J34" s="1235">
        <v>258</v>
      </c>
      <c r="K34" s="1235">
        <v>724</v>
      </c>
      <c r="L34" s="1235">
        <v>28103</v>
      </c>
    </row>
    <row r="35" spans="1:12" hidden="1">
      <c r="A35" s="3486">
        <v>44791.333831018521</v>
      </c>
      <c r="B35" s="1235" t="s">
        <v>6460</v>
      </c>
      <c r="C35" s="1235" t="s">
        <v>633</v>
      </c>
      <c r="D35" s="1235" t="s">
        <v>633</v>
      </c>
      <c r="E35" s="1235">
        <v>-2</v>
      </c>
      <c r="F35" s="1235" t="s">
        <v>8752</v>
      </c>
      <c r="G35" s="1235" t="s">
        <v>8750</v>
      </c>
      <c r="H35" s="1235" t="s">
        <v>6520</v>
      </c>
      <c r="I35" s="1235" t="s">
        <v>6521</v>
      </c>
      <c r="J35" s="1235">
        <v>225</v>
      </c>
      <c r="K35" s="1235">
        <v>571</v>
      </c>
      <c r="L35" s="1235">
        <v>25415</v>
      </c>
    </row>
    <row r="36" spans="1:12" hidden="1">
      <c r="A36" s="3486">
        <v>44790.333831018521</v>
      </c>
      <c r="B36" s="1235" t="s">
        <v>6467</v>
      </c>
      <c r="C36" s="1235" t="s">
        <v>633</v>
      </c>
      <c r="D36" s="1235" t="s">
        <v>633</v>
      </c>
      <c r="E36" s="1235">
        <v>-2</v>
      </c>
      <c r="F36" s="1235" t="s">
        <v>8758</v>
      </c>
      <c r="G36" s="1235" t="s">
        <v>8748</v>
      </c>
      <c r="H36" s="1235" t="s">
        <v>6520</v>
      </c>
      <c r="I36" s="1235" t="s">
        <v>6521</v>
      </c>
      <c r="J36" s="1235">
        <v>256</v>
      </c>
      <c r="K36" s="1235">
        <v>714</v>
      </c>
      <c r="L36" s="1235">
        <v>27898</v>
      </c>
    </row>
    <row r="37" spans="1:12" hidden="1">
      <c r="A37" s="3486">
        <v>44789.333831018521</v>
      </c>
      <c r="B37" s="1235" t="s">
        <v>8759</v>
      </c>
      <c r="C37" s="1235" t="s">
        <v>633</v>
      </c>
      <c r="D37" s="1235" t="s">
        <v>633</v>
      </c>
      <c r="E37" s="1235">
        <v>-2</v>
      </c>
      <c r="F37" s="1235" t="s">
        <v>8758</v>
      </c>
      <c r="G37" s="1235" t="s">
        <v>8760</v>
      </c>
      <c r="H37" s="1235" t="s">
        <v>6520</v>
      </c>
      <c r="I37" s="1235" t="s">
        <v>6523</v>
      </c>
      <c r="J37" s="1235">
        <v>255</v>
      </c>
      <c r="K37" s="1235">
        <v>660</v>
      </c>
      <c r="L37" s="1235">
        <v>25927</v>
      </c>
    </row>
    <row r="38" spans="1:12" hidden="1">
      <c r="A38" s="3486">
        <v>44789.333831018521</v>
      </c>
      <c r="B38" s="1235" t="s">
        <v>6524</v>
      </c>
      <c r="C38" s="1235" t="s">
        <v>633</v>
      </c>
      <c r="D38" s="1235" t="s">
        <v>633</v>
      </c>
      <c r="E38" s="1235">
        <v>1</v>
      </c>
      <c r="F38" s="1235">
        <v>1</v>
      </c>
      <c r="G38" s="1235" t="s">
        <v>6525</v>
      </c>
      <c r="H38" s="1235" t="s">
        <v>6520</v>
      </c>
      <c r="I38" s="1235" t="s">
        <v>6523</v>
      </c>
      <c r="J38" s="1235">
        <v>191</v>
      </c>
      <c r="K38" s="1235">
        <v>738</v>
      </c>
      <c r="L38" s="1235">
        <v>38720</v>
      </c>
    </row>
    <row r="39" spans="1:12" hidden="1">
      <c r="A39" s="3486">
        <v>44788.333831018521</v>
      </c>
      <c r="B39" s="1235" t="s">
        <v>6460</v>
      </c>
      <c r="C39" s="1235" t="s">
        <v>633</v>
      </c>
      <c r="D39" s="1235" t="s">
        <v>633</v>
      </c>
      <c r="E39" s="1235">
        <v>-2</v>
      </c>
      <c r="F39" s="1235" t="s">
        <v>6518</v>
      </c>
      <c r="G39" s="1235" t="s">
        <v>8750</v>
      </c>
      <c r="H39" s="1235" t="s">
        <v>6520</v>
      </c>
      <c r="I39" s="1235" t="s">
        <v>6521</v>
      </c>
      <c r="J39" s="1235">
        <v>256</v>
      </c>
      <c r="K39" s="1235">
        <v>720</v>
      </c>
      <c r="L39" s="1235">
        <v>28138</v>
      </c>
    </row>
    <row r="40" spans="1:12" hidden="1">
      <c r="A40" s="3486">
        <v>44778.333831018521</v>
      </c>
      <c r="B40" s="1235" t="s">
        <v>6460</v>
      </c>
      <c r="C40" s="1235" t="s">
        <v>633</v>
      </c>
      <c r="D40" s="1235" t="s">
        <v>633</v>
      </c>
      <c r="E40" s="1235">
        <v>-2</v>
      </c>
      <c r="F40" s="1235" t="s">
        <v>6527</v>
      </c>
      <c r="G40" s="1235" t="s">
        <v>8750</v>
      </c>
      <c r="H40" s="1235" t="s">
        <v>6520</v>
      </c>
      <c r="I40" s="1235" t="s">
        <v>6521</v>
      </c>
      <c r="J40" s="1235">
        <v>225</v>
      </c>
      <c r="K40" s="1235">
        <v>570</v>
      </c>
      <c r="L40" s="1235">
        <v>25362</v>
      </c>
    </row>
    <row r="41" spans="1:12">
      <c r="A41" s="3486">
        <v>44771.333831018521</v>
      </c>
      <c r="B41" s="1235" t="s">
        <v>6524</v>
      </c>
      <c r="C41" s="1235" t="s">
        <v>633</v>
      </c>
      <c r="D41" s="1235" t="s">
        <v>633</v>
      </c>
      <c r="E41" s="1235">
        <v>1</v>
      </c>
      <c r="F41" s="1235" t="s">
        <v>6461</v>
      </c>
      <c r="G41" s="1235" t="s">
        <v>8761</v>
      </c>
      <c r="H41" s="1235" t="s">
        <v>6413</v>
      </c>
      <c r="I41" s="1235" t="s">
        <v>6414</v>
      </c>
      <c r="J41" s="1235">
        <v>99</v>
      </c>
      <c r="K41" s="1235">
        <v>360</v>
      </c>
      <c r="L41" s="1235">
        <v>36320</v>
      </c>
    </row>
    <row r="42" spans="1:12" hidden="1">
      <c r="A42" s="3486">
        <v>44769.333831018521</v>
      </c>
      <c r="B42" s="1235" t="s">
        <v>6460</v>
      </c>
      <c r="C42" s="1235" t="s">
        <v>633</v>
      </c>
      <c r="D42" s="1235" t="s">
        <v>633</v>
      </c>
      <c r="E42" s="1235">
        <v>-2</v>
      </c>
      <c r="F42" s="1235" t="s">
        <v>6530</v>
      </c>
      <c r="G42" s="1235" t="s">
        <v>8750</v>
      </c>
      <c r="H42" s="1235" t="s">
        <v>6520</v>
      </c>
      <c r="I42" s="1235" t="s">
        <v>6523</v>
      </c>
      <c r="J42" s="1235">
        <v>225</v>
      </c>
      <c r="K42" s="1235">
        <v>570</v>
      </c>
      <c r="L42" s="1235">
        <v>25362</v>
      </c>
    </row>
    <row r="43" spans="1:12">
      <c r="A43" s="3486">
        <v>44769.333831018521</v>
      </c>
      <c r="B43" s="1235" t="s">
        <v>6524</v>
      </c>
      <c r="C43" s="1235" t="s">
        <v>633</v>
      </c>
      <c r="D43" s="1235" t="s">
        <v>633</v>
      </c>
      <c r="E43" s="1235">
        <v>5</v>
      </c>
      <c r="F43" s="1235" t="s">
        <v>6419</v>
      </c>
      <c r="G43" s="1235" t="s">
        <v>8761</v>
      </c>
      <c r="H43" s="1235" t="s">
        <v>6413</v>
      </c>
      <c r="I43" s="1235" t="s">
        <v>6414</v>
      </c>
      <c r="J43" s="1235">
        <v>99</v>
      </c>
      <c r="K43" s="1235">
        <v>302</v>
      </c>
      <c r="L43" s="1235">
        <v>30450</v>
      </c>
    </row>
    <row r="44" spans="1:12" hidden="1">
      <c r="A44" s="3486">
        <v>44769.333831018521</v>
      </c>
      <c r="B44" s="1235" t="s">
        <v>6439</v>
      </c>
      <c r="C44" s="1235" t="s">
        <v>633</v>
      </c>
      <c r="D44" s="1235" t="s">
        <v>633</v>
      </c>
      <c r="E44" s="1235">
        <v>-2</v>
      </c>
      <c r="F44" s="1235" t="s">
        <v>6530</v>
      </c>
      <c r="G44" s="1235" t="s">
        <v>6522</v>
      </c>
      <c r="H44" s="1235" t="s">
        <v>6520</v>
      </c>
      <c r="I44" s="1235" t="s">
        <v>6523</v>
      </c>
      <c r="J44" s="1235">
        <v>224</v>
      </c>
      <c r="K44" s="1235">
        <v>570</v>
      </c>
      <c r="L44" s="1235">
        <v>25461</v>
      </c>
    </row>
    <row r="45" spans="1:12" hidden="1">
      <c r="A45" s="3486">
        <v>44769.333831018521</v>
      </c>
      <c r="B45" s="1235" t="s">
        <v>6467</v>
      </c>
      <c r="C45" s="1235" t="s">
        <v>633</v>
      </c>
      <c r="D45" s="1235" t="s">
        <v>633</v>
      </c>
      <c r="E45" s="1235">
        <v>-2</v>
      </c>
      <c r="F45" s="1235" t="s">
        <v>8749</v>
      </c>
      <c r="G45" s="1235" t="s">
        <v>8748</v>
      </c>
      <c r="H45" s="1235" t="s">
        <v>6520</v>
      </c>
      <c r="I45" s="1235" t="s">
        <v>6523</v>
      </c>
      <c r="J45" s="1235">
        <v>256</v>
      </c>
      <c r="K45" s="1235">
        <v>704</v>
      </c>
      <c r="L45" s="1235">
        <v>27508</v>
      </c>
    </row>
    <row r="46" spans="1:12" hidden="1">
      <c r="A46" s="3486">
        <v>44764.333831018521</v>
      </c>
      <c r="B46" s="1235" t="s">
        <v>6410</v>
      </c>
      <c r="C46" s="1235" t="s">
        <v>633</v>
      </c>
      <c r="D46" s="1235" t="s">
        <v>633</v>
      </c>
      <c r="E46" s="1235">
        <v>-2</v>
      </c>
      <c r="F46" s="1235" t="s">
        <v>8749</v>
      </c>
      <c r="G46" s="1235" t="s">
        <v>8762</v>
      </c>
      <c r="H46" s="1235" t="s">
        <v>6520</v>
      </c>
      <c r="I46" s="1235" t="s">
        <v>6523</v>
      </c>
      <c r="J46" s="1235">
        <v>253</v>
      </c>
      <c r="K46" s="1235">
        <v>739</v>
      </c>
      <c r="L46" s="1235">
        <v>29169</v>
      </c>
    </row>
    <row r="47" spans="1:12" hidden="1">
      <c r="A47" s="3486">
        <v>44762.333831018521</v>
      </c>
      <c r="B47" s="1235" t="s">
        <v>8759</v>
      </c>
      <c r="C47" s="1235" t="s">
        <v>633</v>
      </c>
      <c r="D47" s="1235" t="s">
        <v>633</v>
      </c>
      <c r="E47" s="1235">
        <v>-2</v>
      </c>
      <c r="F47" s="1235" t="s">
        <v>8754</v>
      </c>
      <c r="G47" s="1235" t="s">
        <v>8760</v>
      </c>
      <c r="H47" s="1235" t="s">
        <v>6520</v>
      </c>
      <c r="I47" s="1235" t="s">
        <v>6523</v>
      </c>
      <c r="J47" s="1235">
        <v>255</v>
      </c>
      <c r="K47" s="1235">
        <v>655</v>
      </c>
      <c r="L47" s="1235">
        <v>25731</v>
      </c>
    </row>
    <row r="48" spans="1:12" hidden="1">
      <c r="A48" s="3486">
        <v>44762.333831018521</v>
      </c>
      <c r="B48" s="1235" t="s">
        <v>6460</v>
      </c>
      <c r="C48" s="1235" t="s">
        <v>633</v>
      </c>
      <c r="D48" s="1235" t="s">
        <v>633</v>
      </c>
      <c r="E48" s="1235">
        <v>-2</v>
      </c>
      <c r="F48" s="1235" t="s">
        <v>8763</v>
      </c>
      <c r="G48" s="1235" t="s">
        <v>8750</v>
      </c>
      <c r="H48" s="1235" t="s">
        <v>6520</v>
      </c>
      <c r="I48" s="1235" t="s">
        <v>6521</v>
      </c>
      <c r="J48" s="1235">
        <v>225</v>
      </c>
      <c r="K48" s="1235">
        <v>570</v>
      </c>
      <c r="L48" s="1235">
        <v>25313</v>
      </c>
    </row>
    <row r="49" spans="1:12" hidden="1">
      <c r="A49" s="3486">
        <v>44762.333831018521</v>
      </c>
      <c r="B49" s="1235" t="s">
        <v>6467</v>
      </c>
      <c r="C49" s="1235" t="s">
        <v>633</v>
      </c>
      <c r="D49" s="1235" t="s">
        <v>633</v>
      </c>
      <c r="E49" s="1235">
        <v>-2</v>
      </c>
      <c r="F49" s="1235" t="s">
        <v>8752</v>
      </c>
      <c r="G49" s="1235" t="s">
        <v>8748</v>
      </c>
      <c r="H49" s="1235" t="s">
        <v>6520</v>
      </c>
      <c r="I49" s="1235" t="s">
        <v>6521</v>
      </c>
      <c r="J49" s="1235">
        <v>225</v>
      </c>
      <c r="K49" s="1235">
        <v>522</v>
      </c>
      <c r="L49" s="1235">
        <v>23229</v>
      </c>
    </row>
    <row r="50" spans="1:12" hidden="1">
      <c r="A50" s="3486">
        <v>44757.333831018521</v>
      </c>
      <c r="B50" s="1235" t="s">
        <v>6460</v>
      </c>
      <c r="C50" s="1235" t="s">
        <v>633</v>
      </c>
      <c r="D50" s="1235" t="s">
        <v>633</v>
      </c>
      <c r="E50" s="1235">
        <v>-2</v>
      </c>
      <c r="F50" s="1235" t="s">
        <v>8758</v>
      </c>
      <c r="G50" s="1235" t="s">
        <v>8750</v>
      </c>
      <c r="H50" s="1235" t="s">
        <v>6520</v>
      </c>
      <c r="I50" s="1235" t="s">
        <v>6523</v>
      </c>
      <c r="J50" s="1235">
        <v>256</v>
      </c>
      <c r="K50" s="1235">
        <v>716</v>
      </c>
      <c r="L50" s="1235">
        <v>27982</v>
      </c>
    </row>
    <row r="51" spans="1:12">
      <c r="L51" s="1235">
        <f>(L43+L41)/2</f>
        <v>33385</v>
      </c>
    </row>
  </sheetData>
  <autoFilter ref="A2:N50">
    <filterColumn colId="8">
      <filters>
        <filter val="三房"/>
      </filters>
    </filterColumn>
  </autoFilter>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2"/>
  <sheetViews>
    <sheetView workbookViewId="0">
      <selection activeCell="D12" sqref="D12"/>
    </sheetView>
  </sheetViews>
  <sheetFormatPr defaultRowHeight="13.5"/>
  <cols>
    <col min="1" max="1" width="14.75" customWidth="1"/>
    <col min="3" max="3" width="13.75" customWidth="1"/>
  </cols>
  <sheetData>
    <row r="2" spans="1:5">
      <c r="A2" s="3827" t="s">
        <v>8744</v>
      </c>
      <c r="B2" s="3828"/>
      <c r="C2" s="3828"/>
    </row>
    <row r="3" spans="1:5">
      <c r="A3" s="3511" t="s">
        <v>8738</v>
      </c>
      <c r="B3" s="3511" t="s">
        <v>8739</v>
      </c>
      <c r="C3" s="3511" t="s">
        <v>8740</v>
      </c>
    </row>
    <row r="4" spans="1:5">
      <c r="A4" s="3511" t="s">
        <v>8694</v>
      </c>
      <c r="B4" s="3511" t="s">
        <v>6738</v>
      </c>
      <c r="C4" s="3511" t="s">
        <v>8741</v>
      </c>
    </row>
    <row r="5" spans="1:5">
      <c r="A5" s="3527"/>
      <c r="B5" s="3511"/>
      <c r="C5" s="3527"/>
    </row>
    <row r="6" spans="1:5">
      <c r="A6" s="3511" t="s">
        <v>8690</v>
      </c>
      <c r="B6" s="3511" t="s">
        <v>6738</v>
      </c>
      <c r="C6" s="3527">
        <v>26700</v>
      </c>
      <c r="E6">
        <v>34000</v>
      </c>
    </row>
    <row r="7" spans="1:5">
      <c r="A7" s="3527"/>
      <c r="B7" s="3511" t="s">
        <v>8701</v>
      </c>
      <c r="C7" s="3527">
        <v>25000</v>
      </c>
    </row>
    <row r="8" spans="1:5">
      <c r="A8" s="3527"/>
      <c r="B8" s="3527"/>
      <c r="C8" s="3527"/>
    </row>
    <row r="9" spans="1:5">
      <c r="A9" s="3511" t="s">
        <v>8696</v>
      </c>
      <c r="B9" s="3511" t="s">
        <v>8742</v>
      </c>
      <c r="C9" s="3527">
        <v>32000</v>
      </c>
    </row>
    <row r="10" spans="1:5">
      <c r="A10" s="3527"/>
      <c r="B10" s="3527"/>
      <c r="C10" s="3527"/>
    </row>
    <row r="11" spans="1:5">
      <c r="A11" s="3511" t="s">
        <v>8743</v>
      </c>
      <c r="B11" s="3511" t="s">
        <v>8742</v>
      </c>
      <c r="C11" s="3527">
        <v>30000</v>
      </c>
    </row>
    <row r="12" spans="1:5">
      <c r="A12" s="3511" t="s">
        <v>8745</v>
      </c>
      <c r="B12" s="3531" t="s">
        <v>8746</v>
      </c>
      <c r="C12" s="3532">
        <v>32000</v>
      </c>
    </row>
  </sheetData>
  <mergeCells count="1">
    <mergeCell ref="A2:C2"/>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
  <sheetViews>
    <sheetView workbookViewId="0">
      <selection activeCell="C2" sqref="C2"/>
    </sheetView>
  </sheetViews>
  <sheetFormatPr defaultColWidth="12.625" defaultRowHeight="13.5"/>
  <cols>
    <col min="1" max="16384" width="12.625" style="1235"/>
  </cols>
  <sheetData>
    <row r="1" spans="1:12">
      <c r="A1" s="2824" t="s">
        <v>8692</v>
      </c>
    </row>
    <row r="2" spans="1:12">
      <c r="A2" s="1235" t="s">
        <v>6398</v>
      </c>
      <c r="B2" s="1235" t="s">
        <v>6399</v>
      </c>
      <c r="C2" s="1235" t="s">
        <v>6400</v>
      </c>
      <c r="D2" s="1235" t="s">
        <v>6401</v>
      </c>
      <c r="E2" s="1235" t="s">
        <v>6402</v>
      </c>
      <c r="F2" s="1235" t="s">
        <v>6403</v>
      </c>
      <c r="G2" s="1235" t="s">
        <v>6404</v>
      </c>
      <c r="H2" s="1235" t="s">
        <v>6405</v>
      </c>
      <c r="I2" s="1235" t="s">
        <v>6406</v>
      </c>
      <c r="J2" s="1235" t="s">
        <v>6407</v>
      </c>
      <c r="K2" s="1235" t="s">
        <v>6408</v>
      </c>
      <c r="L2" s="1235" t="s">
        <v>6409</v>
      </c>
    </row>
    <row r="3" spans="1:12">
      <c r="A3" s="3507">
        <v>44973.333831018521</v>
      </c>
      <c r="B3" s="3508" t="s">
        <v>6454</v>
      </c>
      <c r="C3" s="3508" t="s">
        <v>633</v>
      </c>
      <c r="D3" s="3508" t="s">
        <v>633</v>
      </c>
      <c r="E3" s="3508">
        <v>1</v>
      </c>
      <c r="F3" s="3508" t="s">
        <v>6710</v>
      </c>
      <c r="G3" s="3508" t="s">
        <v>6711</v>
      </c>
      <c r="H3" s="3508" t="s">
        <v>6413</v>
      </c>
      <c r="I3" s="3508" t="s">
        <v>6414</v>
      </c>
      <c r="J3" s="3508">
        <v>168</v>
      </c>
      <c r="K3" s="3508">
        <v>496.74</v>
      </c>
      <c r="L3" s="3508">
        <v>29594</v>
      </c>
    </row>
    <row r="4" spans="1:12">
      <c r="A4" s="3486">
        <v>44973.333831018521</v>
      </c>
      <c r="B4" s="1235" t="s">
        <v>6454</v>
      </c>
      <c r="C4" s="1235" t="s">
        <v>633</v>
      </c>
      <c r="D4" s="1235" t="s">
        <v>633</v>
      </c>
      <c r="E4" s="1235">
        <v>1</v>
      </c>
      <c r="F4" s="1235" t="s">
        <v>6712</v>
      </c>
      <c r="G4" s="1235" t="s">
        <v>6711</v>
      </c>
      <c r="H4" s="1235" t="s">
        <v>6413</v>
      </c>
      <c r="I4" s="1235" t="s">
        <v>6414</v>
      </c>
      <c r="J4" s="1235">
        <v>168</v>
      </c>
      <c r="K4" s="1235">
        <v>493.07</v>
      </c>
      <c r="L4" s="1235">
        <v>29360</v>
      </c>
    </row>
    <row r="5" spans="1:12">
      <c r="A5" s="3486">
        <v>44853.333831018521</v>
      </c>
      <c r="B5" s="1235" t="s">
        <v>6713</v>
      </c>
      <c r="C5" s="1235" t="s">
        <v>633</v>
      </c>
      <c r="D5" s="1235" t="s">
        <v>633</v>
      </c>
      <c r="E5" s="1235">
        <v>5</v>
      </c>
      <c r="F5" s="1235" t="s">
        <v>6714</v>
      </c>
      <c r="G5" s="1235" t="s">
        <v>6715</v>
      </c>
      <c r="H5" s="1235" t="s">
        <v>6413</v>
      </c>
      <c r="I5" s="1235" t="s">
        <v>6414</v>
      </c>
      <c r="J5" s="1235">
        <v>141</v>
      </c>
      <c r="K5" s="1235">
        <v>336.74</v>
      </c>
      <c r="L5" s="1235">
        <v>23962</v>
      </c>
    </row>
    <row r="6" spans="1:12">
      <c r="A6" s="3486">
        <v>44845.333831018521</v>
      </c>
      <c r="B6" s="1235" t="s">
        <v>6442</v>
      </c>
      <c r="C6" s="1235" t="s">
        <v>633</v>
      </c>
      <c r="D6" s="1235" t="s">
        <v>633</v>
      </c>
      <c r="E6" s="1235">
        <v>5</v>
      </c>
      <c r="F6" s="1235" t="s">
        <v>6716</v>
      </c>
      <c r="G6" s="1235" t="s">
        <v>6717</v>
      </c>
      <c r="H6" s="1235" t="s">
        <v>6413</v>
      </c>
      <c r="I6" s="1235" t="s">
        <v>6414</v>
      </c>
      <c r="J6" s="1235">
        <v>144</v>
      </c>
      <c r="K6" s="1235">
        <v>327.19</v>
      </c>
      <c r="L6" s="1235">
        <v>22747</v>
      </c>
    </row>
    <row r="7" spans="1:12">
      <c r="A7" s="3486">
        <v>44791.333831018521</v>
      </c>
      <c r="B7" s="1235" t="s">
        <v>6460</v>
      </c>
      <c r="C7" s="1235" t="s">
        <v>633</v>
      </c>
      <c r="D7" s="1235" t="s">
        <v>633</v>
      </c>
      <c r="E7" s="1235">
        <v>5</v>
      </c>
      <c r="F7" s="1235" t="s">
        <v>6718</v>
      </c>
      <c r="G7" s="1235" t="s">
        <v>6719</v>
      </c>
      <c r="H7" s="1235" t="s">
        <v>6413</v>
      </c>
      <c r="I7" s="1235" t="s">
        <v>6414</v>
      </c>
      <c r="J7" s="1235">
        <v>139</v>
      </c>
      <c r="K7" s="1235">
        <v>319</v>
      </c>
      <c r="L7" s="1235">
        <v>22940</v>
      </c>
    </row>
    <row r="8" spans="1:12">
      <c r="A8" s="1235" t="s">
        <v>8689</v>
      </c>
      <c r="L8" s="1235">
        <f>AVERAGE(L3:L7)</f>
        <v>25720.6</v>
      </c>
    </row>
    <row r="9" spans="1:12">
      <c r="L9" s="3508">
        <f>AVERAGE(L3:L4)</f>
        <v>29477</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
  <sheetViews>
    <sheetView workbookViewId="0">
      <selection activeCell="L3" sqref="L3"/>
    </sheetView>
  </sheetViews>
  <sheetFormatPr defaultColWidth="11.625" defaultRowHeight="13.5"/>
  <sheetData>
    <row r="1" spans="1:12" s="1235" customFormat="1">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2" s="1235" customFormat="1">
      <c r="A2" s="3486">
        <v>44897.333831018521</v>
      </c>
      <c r="B2" s="1235" t="s">
        <v>6537</v>
      </c>
      <c r="C2" s="1235" t="s">
        <v>633</v>
      </c>
      <c r="D2" s="1235" t="s">
        <v>633</v>
      </c>
      <c r="E2" s="1235">
        <v>-1</v>
      </c>
      <c r="F2" s="1235">
        <v>101</v>
      </c>
      <c r="G2" s="1235" t="s">
        <v>6538</v>
      </c>
      <c r="H2" s="1235" t="s">
        <v>6413</v>
      </c>
      <c r="I2" s="1235" t="s">
        <v>6503</v>
      </c>
      <c r="J2" s="1235">
        <v>230</v>
      </c>
      <c r="K2" s="1235">
        <v>506.33</v>
      </c>
      <c r="L2" s="1235">
        <v>22000</v>
      </c>
    </row>
    <row r="3" spans="1:12" s="1235" customFormat="1">
      <c r="A3" s="3486">
        <v>44785.333831018521</v>
      </c>
      <c r="B3" s="1235" t="s">
        <v>6418</v>
      </c>
      <c r="C3" s="1235" t="s">
        <v>633</v>
      </c>
      <c r="D3" s="1235" t="s">
        <v>633</v>
      </c>
      <c r="E3" s="1235">
        <v>-1</v>
      </c>
      <c r="F3" s="1235">
        <v>101</v>
      </c>
      <c r="G3" s="1235" t="s">
        <v>6539</v>
      </c>
      <c r="H3" s="1235" t="s">
        <v>6413</v>
      </c>
      <c r="I3" s="1235" t="s">
        <v>6503</v>
      </c>
      <c r="J3" s="1235">
        <v>230</v>
      </c>
      <c r="K3" s="1235">
        <v>1066</v>
      </c>
      <c r="L3" s="1235">
        <v>46318</v>
      </c>
    </row>
    <row r="4" spans="1:12">
      <c r="L4">
        <f>AVERAGE(L2:L3)</f>
        <v>34159</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F20" sqref="F20"/>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t="s">
        <v>3400</v>
      </c>
      <c r="D1" s="1743"/>
      <c r="E1" s="1743"/>
      <c r="F1" s="1745" t="s">
        <v>1263</v>
      </c>
      <c r="G1" s="1557"/>
      <c r="H1" s="1746" t="str">
        <f>IF(G1="现房","——","估价对象范围")</f>
        <v>估价对象范围</v>
      </c>
      <c r="I1" s="1747"/>
    </row>
    <row r="2" spans="1:12" ht="21.75" customHeight="1" thickBot="1">
      <c r="A2" s="3776" t="str">
        <f>项目基本情况!S2</f>
        <v>北京市房地产</v>
      </c>
      <c r="B2" s="3777"/>
      <c r="C2" s="3777"/>
      <c r="D2" s="3777"/>
      <c r="E2" s="3777"/>
      <c r="F2" s="3777"/>
      <c r="G2" s="3777"/>
      <c r="H2" s="3777"/>
      <c r="I2" s="3778"/>
    </row>
    <row r="3" spans="1:12" ht="12.75">
      <c r="A3" s="3779" t="s">
        <v>1264</v>
      </c>
      <c r="B3" s="3780"/>
      <c r="C3" s="3780"/>
      <c r="D3" s="3780"/>
      <c r="E3" s="3780"/>
      <c r="F3" s="3780"/>
      <c r="G3" s="3780"/>
      <c r="H3" s="3780"/>
      <c r="I3" s="3780"/>
    </row>
    <row r="4" spans="1:12" ht="14.25">
      <c r="A4" s="1750" t="s">
        <v>1265</v>
      </c>
      <c r="B4" s="1751" t="s">
        <v>1266</v>
      </c>
      <c r="C4" s="1752" t="s">
        <v>8728</v>
      </c>
      <c r="D4" s="1752" t="s">
        <v>8730</v>
      </c>
      <c r="E4" s="3784" t="s">
        <v>1267</v>
      </c>
      <c r="F4" s="3785"/>
      <c r="G4" s="3785"/>
      <c r="H4" s="3785"/>
      <c r="I4" s="3786"/>
      <c r="K4" s="145" t="str">
        <f>IF(ISNUMBER(FIND("比较法",'结果表-车位'!C4)),"比较法",IF(ISNUMBER(FIND("成本法",'结果表-车位'!C4)),"成本法",IF(ISNUMBER(FIND("假设开发法",'结果表-车位'!C4)),"假设开发法",IF(ISNUMBER(FIND("收益法",'结果表-车位'!C4)),"收益法","基准地价系数修正法"))))</f>
        <v>收益法</v>
      </c>
      <c r="L4" s="145" t="str">
        <f>IF(ISNUMBER(FIND("比较法",'结果表-车位'!D4)),"比较法",IF(ISNUMBER(FIND("成本法",'结果表-车位'!D4)),"成本法",IF(ISNUMBER(FIND("假设开发法",'结果表-车位'!D4)),"假设开发法",IF(ISNUMBER(FIND("收益法",'结果表-车位'!D4)),"收益法","基准地价系数修正法"))))</f>
        <v>成本法</v>
      </c>
    </row>
    <row r="5" spans="1:12" ht="12.75">
      <c r="A5" s="3724" t="s">
        <v>1268</v>
      </c>
      <c r="B5" s="3681">
        <v>25</v>
      </c>
      <c r="C5" s="3781">
        <v>40</v>
      </c>
      <c r="D5" s="3770">
        <v>60</v>
      </c>
      <c r="E5" s="130" t="s">
        <v>1269</v>
      </c>
      <c r="F5" s="1753"/>
      <c r="G5" s="1753"/>
      <c r="H5" s="1753"/>
      <c r="I5" s="1369"/>
    </row>
    <row r="6" spans="1:12" ht="12.75">
      <c r="A6" s="3724"/>
      <c r="B6" s="3681"/>
      <c r="C6" s="3783"/>
      <c r="D6" s="3770"/>
      <c r="E6" s="130" t="s">
        <v>1270</v>
      </c>
      <c r="F6" s="1753"/>
      <c r="G6" s="1753"/>
      <c r="H6" s="1753"/>
      <c r="I6" s="1369"/>
    </row>
    <row r="7" spans="1:12" ht="12.75">
      <c r="A7" s="3724"/>
      <c r="B7" s="3681"/>
      <c r="C7" s="3782"/>
      <c r="D7" s="3770"/>
      <c r="E7" s="130" t="s">
        <v>1271</v>
      </c>
      <c r="F7" s="1753"/>
      <c r="G7" s="1753"/>
      <c r="H7" s="1753"/>
      <c r="I7" s="1369"/>
    </row>
    <row r="8" spans="1:12" ht="12.75">
      <c r="A8" s="3724" t="s">
        <v>1272</v>
      </c>
      <c r="B8" s="3681">
        <v>15</v>
      </c>
      <c r="C8" s="3781"/>
      <c r="D8" s="3770"/>
      <c r="E8" s="130" t="s">
        <v>1273</v>
      </c>
      <c r="F8" s="1753"/>
      <c r="G8" s="1753"/>
      <c r="H8" s="1753"/>
      <c r="I8" s="1369"/>
    </row>
    <row r="9" spans="1:12" ht="12.75">
      <c r="A9" s="3724"/>
      <c r="B9" s="3681"/>
      <c r="C9" s="3782"/>
      <c r="D9" s="3770"/>
      <c r="E9" s="130" t="s">
        <v>1274</v>
      </c>
      <c r="F9" s="1753"/>
      <c r="G9" s="1753"/>
      <c r="H9" s="1753"/>
      <c r="I9" s="1369"/>
    </row>
    <row r="10" spans="1:12" ht="12.75">
      <c r="A10" s="3724" t="s">
        <v>1275</v>
      </c>
      <c r="B10" s="3681">
        <v>15</v>
      </c>
      <c r="C10" s="3781"/>
      <c r="D10" s="3770"/>
      <c r="E10" s="130" t="s">
        <v>1276</v>
      </c>
      <c r="F10" s="1753"/>
      <c r="G10" s="1753"/>
      <c r="H10" s="1753"/>
      <c r="I10" s="1369"/>
    </row>
    <row r="11" spans="1:12" ht="12.75">
      <c r="A11" s="3724"/>
      <c r="B11" s="3681"/>
      <c r="C11" s="3782"/>
      <c r="D11" s="3770"/>
      <c r="E11" s="130" t="s">
        <v>1277</v>
      </c>
      <c r="F11" s="1753"/>
      <c r="G11" s="1753"/>
      <c r="H11" s="1753"/>
      <c r="I11" s="1369"/>
    </row>
    <row r="12" spans="1:12" ht="12.75">
      <c r="A12" s="3724" t="s">
        <v>1278</v>
      </c>
      <c r="B12" s="3681">
        <v>15</v>
      </c>
      <c r="C12" s="3781"/>
      <c r="D12" s="3770"/>
      <c r="E12" s="130" t="s">
        <v>1279</v>
      </c>
      <c r="F12" s="1753"/>
      <c r="G12" s="1753"/>
      <c r="H12" s="1753"/>
      <c r="I12" s="1369"/>
    </row>
    <row r="13" spans="1:12" ht="12.75">
      <c r="A13" s="3724"/>
      <c r="B13" s="3681"/>
      <c r="C13" s="3782"/>
      <c r="D13" s="3770"/>
      <c r="E13" s="130" t="s">
        <v>1280</v>
      </c>
      <c r="F13" s="1753"/>
      <c r="G13" s="1753"/>
      <c r="H13" s="1753"/>
      <c r="I13" s="1369"/>
    </row>
    <row r="14" spans="1:12" ht="12.75">
      <c r="A14" s="3724" t="s">
        <v>1281</v>
      </c>
      <c r="B14" s="3681">
        <v>30</v>
      </c>
      <c r="C14" s="3781"/>
      <c r="D14" s="3770"/>
      <c r="E14" s="130" t="s">
        <v>1282</v>
      </c>
      <c r="F14" s="1753"/>
      <c r="G14" s="1753"/>
      <c r="H14" s="1753"/>
      <c r="I14" s="1369"/>
    </row>
    <row r="15" spans="1:12" ht="12.75">
      <c r="A15" s="3724"/>
      <c r="B15" s="3681"/>
      <c r="C15" s="3783"/>
      <c r="D15" s="3770"/>
      <c r="E15" s="130" t="s">
        <v>1283</v>
      </c>
      <c r="F15" s="1753"/>
      <c r="G15" s="1753"/>
      <c r="H15" s="1753"/>
      <c r="I15" s="1369"/>
    </row>
    <row r="16" spans="1:12" ht="12.75">
      <c r="A16" s="3724"/>
      <c r="B16" s="3681"/>
      <c r="C16" s="3782"/>
      <c r="D16" s="3770"/>
      <c r="E16" s="130" t="s">
        <v>1284</v>
      </c>
      <c r="F16" s="1753"/>
      <c r="G16" s="1753"/>
      <c r="H16" s="1753"/>
      <c r="I16" s="1369"/>
    </row>
    <row r="17" spans="1:36" ht="15">
      <c r="A17" s="1754" t="s">
        <v>1285</v>
      </c>
      <c r="B17" s="56"/>
      <c r="C17" s="131">
        <f>SUM(C5:C16)</f>
        <v>40</v>
      </c>
      <c r="D17" s="131">
        <f>SUM(D5:D16)</f>
        <v>60</v>
      </c>
      <c r="E17" s="128"/>
      <c r="F17" s="128"/>
      <c r="G17" s="128"/>
      <c r="H17" s="128"/>
      <c r="I17" s="128"/>
      <c r="K17" s="301"/>
      <c r="L17" s="301" t="s">
        <v>1286</v>
      </c>
      <c r="M17" s="301" t="s">
        <v>1287</v>
      </c>
    </row>
    <row r="18" spans="1:36" ht="31.9" customHeight="1" thickBot="1">
      <c r="A18" s="1755" t="s">
        <v>1288</v>
      </c>
      <c r="B18" s="1756"/>
      <c r="C18" s="132">
        <f>ROUND(C17/SUM(C17:D17),2)</f>
        <v>0.4</v>
      </c>
      <c r="D18" s="132">
        <f>1-C18</f>
        <v>0.6</v>
      </c>
      <c r="E18" s="3800" t="s">
        <v>2131</v>
      </c>
      <c r="F18" s="3801"/>
      <c r="G18" s="3801"/>
      <c r="H18" s="3801"/>
      <c r="I18" s="3801"/>
      <c r="K18" s="301" t="s">
        <v>1289</v>
      </c>
      <c r="L18" s="301">
        <f>IF(C1="",'数据-汇总表'!E3,SUMIF(项目类型,C1,'数据-汇总表'!E17:E26)+SUMIF(项目类型,C1,'数据-汇总表'!I17:I26))</f>
        <v>72769</v>
      </c>
      <c r="M18" s="301">
        <f>IF(C1="",'数据-汇总表'!E3,SUMIF(项目类型,C1,'数据-汇总表'!E17:E26))</f>
        <v>72769</v>
      </c>
    </row>
    <row r="19" spans="1:36" ht="15">
      <c r="A19" s="1757" t="s">
        <v>1290</v>
      </c>
      <c r="B19" s="1758" t="s">
        <v>1291</v>
      </c>
      <c r="C19" s="133">
        <f ca="1">SUMIF(INDIRECT("'"&amp;C4&amp;"'"&amp;"!A:A"),'结果表-车位'!B19,INDIRECT("'"&amp;C4&amp;"'"&amp;"!B:B"))</f>
        <v>2266</v>
      </c>
      <c r="D19" s="134">
        <f ca="1">SUMIF(INDIRECT("'"&amp;D4&amp;"'"&amp;"!A:A"),'结果表-车位'!B19,INDIRECT("'"&amp;D4&amp;"'"&amp;"!B:B"))</f>
        <v>47611</v>
      </c>
      <c r="E19" s="1757" t="s">
        <v>1292</v>
      </c>
      <c r="F19" s="1758" t="s">
        <v>1291</v>
      </c>
      <c r="G19" s="135">
        <f ca="1">ROUND(C19*$C$18+D19*$D$18,0)</f>
        <v>29473</v>
      </c>
      <c r="H19" s="1759" t="s">
        <v>1293</v>
      </c>
      <c r="I19" s="128"/>
      <c r="K19" s="301" t="s">
        <v>1294</v>
      </c>
      <c r="L19" s="301">
        <f>IF(C1="",'数据-汇总表'!D3,SUMIF(项目类型,C1,'数据-汇总表'!D17:D26)+SUMIF(项目类型,C1,'数据-汇总表'!H17:H27))</f>
        <v>45480.63</v>
      </c>
      <c r="M19" s="301">
        <f>IF(C1="",'数据-汇总表'!D3,SUMIF(项目类型,C1,'数据-汇总表'!D17:D26))</f>
        <v>45480.63</v>
      </c>
    </row>
    <row r="20" spans="1:36" ht="15">
      <c r="A20" s="1760"/>
      <c r="B20" s="1022" t="s">
        <v>1295</v>
      </c>
      <c r="C20" s="136">
        <f ca="1">SUMIF(INDIRECT("'"&amp;C4&amp;"'"&amp;"!A:A"),'结果表-车位'!B20,INDIRECT("'"&amp;C4&amp;"'"&amp;"!B:B"))</f>
        <v>311</v>
      </c>
      <c r="D20" s="137">
        <f ca="1">SUMIF(INDIRECT("'"&amp;D4&amp;"'"&amp;"!A:A"),'结果表-车位'!B20,INDIRECT("'"&amp;D4&amp;"'"&amp;"!B:B"))</f>
        <v>6543</v>
      </c>
      <c r="E20" s="1760"/>
      <c r="F20" s="1022" t="s">
        <v>1295</v>
      </c>
      <c r="G20" s="138">
        <f ca="1">ROUND(C20*$C$18+D20*$D$18,0)</f>
        <v>4050</v>
      </c>
      <c r="H20" s="804" t="s">
        <v>1296</v>
      </c>
      <c r="I20" s="128"/>
    </row>
    <row r="21" spans="1:36" ht="15" customHeight="1" thickBot="1">
      <c r="A21" s="824"/>
      <c r="B21" s="1761" t="s">
        <v>1297</v>
      </c>
      <c r="C21" s="717">
        <f ca="1">ROUND(C19*10000/L19,0)</f>
        <v>498</v>
      </c>
      <c r="D21" s="718">
        <f ca="1">ROUND(D19*10000/L19,0)</f>
        <v>10468</v>
      </c>
      <c r="E21" s="824"/>
      <c r="F21" s="1761" t="s">
        <v>1297</v>
      </c>
      <c r="G21" s="139">
        <f ca="1">ROUND(G19*10000/L19,0)</f>
        <v>6480</v>
      </c>
      <c r="H21" s="1762" t="s">
        <v>1296</v>
      </c>
      <c r="I21" s="128"/>
    </row>
    <row r="22" spans="1:36" ht="15" thickBot="1">
      <c r="A22" s="1684" t="s">
        <v>1298</v>
      </c>
      <c r="B22" s="1763"/>
      <c r="C22" s="1764"/>
      <c r="D22" s="719">
        <f ca="1">IF(C19&lt;D19,D19/C19-1,C19/D19-1)</f>
        <v>20.011032656663726</v>
      </c>
      <c r="E22" s="128"/>
      <c r="F22" s="128"/>
      <c r="G22" s="128"/>
      <c r="H22" s="128"/>
      <c r="I22" s="128"/>
    </row>
    <row r="23" spans="1:36" ht="13.5" thickBot="1">
      <c r="A23" s="1743"/>
      <c r="B23" s="1743"/>
      <c r="C23" s="1743"/>
      <c r="D23" s="1743"/>
      <c r="E23" s="128"/>
      <c r="F23" s="128"/>
      <c r="G23" s="128"/>
      <c r="H23" s="128"/>
      <c r="I23" s="128"/>
    </row>
    <row r="24" spans="1:36" ht="14.25">
      <c r="A24" s="3793" t="s">
        <v>1299</v>
      </c>
      <c r="B24" s="1758" t="s">
        <v>1291</v>
      </c>
      <c r="C24" s="135">
        <f>IF(B30=0,0,D30)</f>
        <v>0</v>
      </c>
      <c r="D24" s="1765"/>
      <c r="E24" s="128"/>
      <c r="F24" s="128"/>
      <c r="G24" s="128"/>
      <c r="H24" s="128"/>
      <c r="I24" s="128"/>
    </row>
    <row r="25" spans="1:36" ht="14.25">
      <c r="A25" s="3794"/>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4050</v>
      </c>
      <c r="D32" s="1771"/>
      <c r="E32" s="128"/>
      <c r="F32" s="128"/>
      <c r="G32" s="128"/>
      <c r="H32" s="128"/>
      <c r="I32" s="128"/>
    </row>
    <row r="33" spans="1:15" ht="15">
      <c r="A33" s="782"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71" t="s">
        <v>1312</v>
      </c>
      <c r="B36" s="1783" t="s">
        <v>1313</v>
      </c>
      <c r="C36" s="144"/>
      <c r="D36" s="1784"/>
      <c r="E36" s="1785"/>
      <c r="F36" s="1786"/>
      <c r="G36" s="128"/>
      <c r="H36" s="128"/>
      <c r="I36" s="128"/>
    </row>
    <row r="37" spans="1:15" ht="15.75" thickBot="1">
      <c r="A37" s="3772"/>
      <c r="B37" s="1670" t="s">
        <v>1314</v>
      </c>
      <c r="C37" s="146"/>
      <c r="D37" s="1135"/>
      <c r="E37" s="1135"/>
      <c r="F37" s="1786"/>
      <c r="G37" s="128"/>
      <c r="H37" s="128"/>
      <c r="I37" s="128"/>
    </row>
    <row r="38" spans="1:15" ht="15.75" thickBot="1">
      <c r="A38" s="3773"/>
      <c r="B38" s="1787" t="s">
        <v>1315</v>
      </c>
      <c r="C38" s="672"/>
      <c r="D38" s="1788" t="s">
        <v>1316</v>
      </c>
      <c r="E38" s="1135"/>
      <c r="F38" s="1786"/>
      <c r="G38" s="128"/>
      <c r="H38" s="128"/>
      <c r="I38" s="128"/>
    </row>
    <row r="39" spans="1:15" ht="15">
      <c r="A39" s="1760" t="s">
        <v>1317</v>
      </c>
      <c r="B39" s="1789" t="s">
        <v>1301</v>
      </c>
      <c r="C39" s="1790" t="s">
        <v>1302</v>
      </c>
      <c r="D39" s="1790" t="s">
        <v>1320</v>
      </c>
      <c r="E39" s="1791" t="s">
        <v>1303</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90" t="s">
        <v>1326</v>
      </c>
      <c r="B45" s="3791"/>
      <c r="C45" s="3792"/>
      <c r="D45" s="154" t="e">
        <f ca="1">ROUND(H101*F45,0)</f>
        <v>#REF!</v>
      </c>
      <c r="E45" s="155" t="s">
        <v>1327</v>
      </c>
      <c r="F45" s="156">
        <v>1</v>
      </c>
      <c r="G45" s="157" t="s">
        <v>1328</v>
      </c>
      <c r="H45" s="128"/>
      <c r="I45" s="128"/>
      <c r="J45" s="3711" t="s">
        <v>1329</v>
      </c>
      <c r="K45" s="3711"/>
      <c r="L45" s="3711"/>
      <c r="M45" s="3711"/>
      <c r="N45" s="3711"/>
      <c r="O45" s="3711"/>
    </row>
    <row r="46" spans="1:15" ht="14.25" customHeight="1">
      <c r="A46" s="3787" t="s">
        <v>1330</v>
      </c>
      <c r="B46" s="3788"/>
      <c r="C46" s="3788"/>
      <c r="D46" s="3788"/>
      <c r="E46" s="3788"/>
      <c r="F46" s="3788"/>
      <c r="G46" s="3789"/>
      <c r="H46" s="1802"/>
      <c r="I46" s="158"/>
      <c r="J46" s="3464">
        <v>1</v>
      </c>
      <c r="K46" s="3712" t="s">
        <v>1331</v>
      </c>
      <c r="L46" s="3712"/>
      <c r="M46" s="3713"/>
      <c r="N46" s="3713"/>
      <c r="O46" s="3713"/>
    </row>
    <row r="47" spans="1:15" ht="12" customHeight="1">
      <c r="A47" s="159" t="s">
        <v>1332</v>
      </c>
      <c r="B47" s="160"/>
      <c r="C47" s="161"/>
      <c r="D47" s="1083" t="s">
        <v>1333</v>
      </c>
      <c r="E47" s="301" t="s">
        <v>1334</v>
      </c>
      <c r="F47" s="162" t="s">
        <v>1335</v>
      </c>
      <c r="G47" s="2542" t="s">
        <v>1336</v>
      </c>
      <c r="H47" s="2543"/>
      <c r="I47" s="158"/>
      <c r="J47" s="3464">
        <v>2</v>
      </c>
      <c r="K47" s="3712" t="s">
        <v>1337</v>
      </c>
      <c r="L47" s="3712"/>
      <c r="M47" s="3714">
        <f>'数据-取费表'!B2</f>
        <v>45159</v>
      </c>
      <c r="N47" s="3714"/>
      <c r="O47" s="3714"/>
    </row>
    <row r="48" spans="1:15" ht="25.5">
      <c r="A48" s="3774" t="s">
        <v>1338</v>
      </c>
      <c r="B48" s="3775"/>
      <c r="C48" s="3775"/>
      <c r="D48" s="3466" t="b">
        <f>IF(H48="情况1",0,IF(H48="情况2",D52,IF(H48="情况3",D53,IF(H48="情况4",D54))))</f>
        <v>0</v>
      </c>
      <c r="E48" s="3455" t="str">
        <f>IF(H48="情况4","(销售额-原购置价)×税（费）率","销售额×税（费）率")</f>
        <v>销售额×税（费）率</v>
      </c>
      <c r="F48" s="2544">
        <f>IF(H48="情况1","免征",'数据-取费表'!B41)</f>
        <v>5.5000000000000007E-2</v>
      </c>
      <c r="G48" s="2545" t="s">
        <v>1339</v>
      </c>
      <c r="H48" s="2546"/>
      <c r="I48" s="1802"/>
      <c r="J48" s="3464">
        <v>3</v>
      </c>
      <c r="K48" s="3712" t="s">
        <v>1340</v>
      </c>
      <c r="L48" s="3712"/>
      <c r="M48" s="3715" t="e">
        <f ca="1">H101</f>
        <v>#REF!</v>
      </c>
      <c r="N48" s="3715"/>
      <c r="O48" s="3715"/>
    </row>
    <row r="49" spans="1:35" ht="25.5" customHeight="1">
      <c r="A49" s="3459" t="s">
        <v>1341</v>
      </c>
      <c r="B49" s="3760" t="s">
        <v>1342</v>
      </c>
      <c r="C49" s="3760"/>
      <c r="D49" s="1586">
        <v>0</v>
      </c>
      <c r="E49" s="323" t="s">
        <v>1343</v>
      </c>
      <c r="F49" s="3447" t="s">
        <v>28</v>
      </c>
      <c r="G49" s="3743"/>
      <c r="H49" s="2306" t="s">
        <v>2134</v>
      </c>
      <c r="I49" s="2307"/>
      <c r="J49" s="3464">
        <v>4</v>
      </c>
      <c r="K49" s="3712" t="str">
        <f>IF(项目基本情况!E8="房地产抵押价值","房地产抵押价值","抵押担保权已注销时的房地产抵押价值")</f>
        <v>抵押担保权已注销时的房地产抵押价值</v>
      </c>
      <c r="L49" s="3712"/>
      <c r="M49" s="3715" t="str">
        <f>IF(项目基本情况!E8="房地产抵押价值",H107,H109)</f>
        <v>——</v>
      </c>
      <c r="N49" s="3715"/>
      <c r="O49" s="3715"/>
    </row>
    <row r="50" spans="1:35" ht="25.5" customHeight="1">
      <c r="A50" s="2547"/>
      <c r="B50" s="3760" t="s">
        <v>1344</v>
      </c>
      <c r="C50" s="3760"/>
      <c r="D50" s="2548"/>
      <c r="E50" s="331"/>
      <c r="F50" s="3447"/>
      <c r="G50" s="3744"/>
      <c r="H50" s="2308" t="s">
        <v>2135</v>
      </c>
      <c r="I50" s="2307"/>
      <c r="J50" s="3711" t="s">
        <v>1345</v>
      </c>
      <c r="K50" s="3711"/>
      <c r="L50" s="3711"/>
      <c r="M50" s="3711"/>
      <c r="N50" s="3711"/>
      <c r="O50" s="3711"/>
    </row>
    <row r="51" spans="1:35" ht="20.45" customHeight="1">
      <c r="A51" s="2549"/>
      <c r="B51" s="3760" t="s">
        <v>1346</v>
      </c>
      <c r="C51" s="3760"/>
      <c r="D51" s="1083"/>
      <c r="E51" s="326"/>
      <c r="F51" s="3447"/>
      <c r="G51" s="3745"/>
      <c r="H51" s="2308" t="s">
        <v>2136</v>
      </c>
      <c r="I51" s="2307"/>
      <c r="J51" s="3463" t="s">
        <v>1347</v>
      </c>
      <c r="K51" s="3712" t="s">
        <v>1348</v>
      </c>
      <c r="L51" s="3712"/>
      <c r="M51" s="3463" t="s">
        <v>1349</v>
      </c>
      <c r="N51" s="3463" t="s">
        <v>1350</v>
      </c>
      <c r="O51" s="3463" t="s">
        <v>1351</v>
      </c>
    </row>
    <row r="52" spans="1:35" ht="24" customHeight="1">
      <c r="A52" s="3454" t="s">
        <v>1352</v>
      </c>
      <c r="B52" s="3760" t="s">
        <v>1353</v>
      </c>
      <c r="C52" s="3760"/>
      <c r="D52" s="1083" t="e">
        <f ca="1">ROUND(D45*'数据-取费表'!B41/(1+'数据-取费表'!C42),0)</f>
        <v>#REF!</v>
      </c>
      <c r="E52" s="3455" t="s">
        <v>1354</v>
      </c>
      <c r="F52" s="2550">
        <f>'数据-取费表'!B41</f>
        <v>5.5000000000000007E-2</v>
      </c>
      <c r="G52" s="2551"/>
      <c r="H52" s="2540"/>
      <c r="I52" s="1803"/>
      <c r="J52" s="3464">
        <v>1</v>
      </c>
      <c r="K52" s="3737" t="s">
        <v>1355</v>
      </c>
      <c r="L52" s="3737"/>
      <c r="M52" s="2521" t="b">
        <f>D48</f>
        <v>0</v>
      </c>
      <c r="N52" s="3464" t="str">
        <f>E48</f>
        <v>销售额×税（费）率</v>
      </c>
      <c r="O52" s="2522">
        <f>F48</f>
        <v>5.5000000000000007E-2</v>
      </c>
    </row>
    <row r="53" spans="1:35" ht="12" customHeight="1">
      <c r="A53" s="3454" t="s">
        <v>1356</v>
      </c>
      <c r="B53" s="3761" t="s">
        <v>2291</v>
      </c>
      <c r="C53" s="3762"/>
      <c r="D53" s="1083" t="e">
        <f ca="1">ROUND(D45*'数据-取费表'!B41/(1+'数据-取费表'!C42),0)</f>
        <v>#REF!</v>
      </c>
      <c r="E53" s="3455" t="s">
        <v>1354</v>
      </c>
      <c r="F53" s="2550">
        <f>'数据-取费表'!B41</f>
        <v>5.5000000000000007E-2</v>
      </c>
      <c r="G53" s="2551"/>
      <c r="H53" s="2540"/>
      <c r="I53" s="1803"/>
      <c r="J53" s="3464">
        <v>2</v>
      </c>
      <c r="K53" s="3737" t="s">
        <v>1357</v>
      </c>
      <c r="L53" s="3737"/>
      <c r="M53" s="2521" t="e">
        <f t="shared" ref="M53:O54" ca="1" si="0">D55</f>
        <v>#REF!</v>
      </c>
      <c r="N53" s="3464" t="str">
        <f t="shared" si="0"/>
        <v>销售额×税（费）率</v>
      </c>
      <c r="O53" s="2522" t="str">
        <f t="shared" si="0"/>
        <v>免征</v>
      </c>
    </row>
    <row r="54" spans="1:35" ht="12" customHeight="1">
      <c r="A54" s="3454" t="s">
        <v>1358</v>
      </c>
      <c r="B54" s="3761" t="s">
        <v>2292</v>
      </c>
      <c r="C54" s="3762"/>
      <c r="D54" s="1083" t="e">
        <f ca="1">C68</f>
        <v>#REF!</v>
      </c>
      <c r="E54" s="326" t="s">
        <v>1359</v>
      </c>
      <c r="F54" s="2550">
        <f>'数据-取费表'!B41</f>
        <v>5.5000000000000007E-2</v>
      </c>
      <c r="G54" s="2551"/>
      <c r="H54" s="2552"/>
      <c r="I54" s="1803"/>
      <c r="J54" s="3464">
        <v>3</v>
      </c>
      <c r="K54" s="3737" t="s">
        <v>1360</v>
      </c>
      <c r="L54" s="3737"/>
      <c r="M54" s="2521" t="e">
        <f t="shared" ca="1" si="0"/>
        <v>#REF!</v>
      </c>
      <c r="N54" s="3464" t="str">
        <f t="shared" si="0"/>
        <v>增值额×税（费）率</v>
      </c>
      <c r="O54" s="2523" t="str">
        <f t="shared" si="0"/>
        <v>免征</v>
      </c>
    </row>
    <row r="55" spans="1:35" ht="24" customHeight="1">
      <c r="A55" s="3796" t="s">
        <v>1361</v>
      </c>
      <c r="B55" s="3775"/>
      <c r="C55" s="3775"/>
      <c r="D55" s="3466" t="e">
        <f ca="1">IF(H55="个人住宅",0,ROUND(D45*I55,0))</f>
        <v>#REF!</v>
      </c>
      <c r="E55" s="3455" t="s">
        <v>1362</v>
      </c>
      <c r="F55" s="2550" t="str">
        <f>IF(H55="正常",I55,"免征")</f>
        <v>免征</v>
      </c>
      <c r="G55" s="2551"/>
      <c r="H55" s="2546"/>
      <c r="I55" s="164">
        <f>'数据-取费表'!B49</f>
        <v>5.0000000000000001E-4</v>
      </c>
      <c r="J55" s="3464">
        <f>IF(H59="非个人房产","",4)</f>
        <v>4</v>
      </c>
      <c r="K55" s="3737" t="str">
        <f>IF(H59="非个人房产","——","个人所得税")</f>
        <v>个人所得税</v>
      </c>
      <c r="L55" s="3737"/>
      <c r="M55" s="2524" t="e">
        <f ca="1">D59</f>
        <v>#REF!</v>
      </c>
      <c r="N55" s="3465" t="str">
        <f>E59</f>
        <v>差额计税</v>
      </c>
      <c r="O55" s="2525">
        <f>F59</f>
        <v>0.01</v>
      </c>
    </row>
    <row r="56" spans="1:35" ht="24.75">
      <c r="A56" s="3796" t="s">
        <v>1363</v>
      </c>
      <c r="B56" s="3775"/>
      <c r="C56" s="3775"/>
      <c r="D56" s="3466" t="e">
        <f ca="1">IF(H56="个人住宅",D57,D58)</f>
        <v>#REF!</v>
      </c>
      <c r="E56" s="3455" t="s">
        <v>1364</v>
      </c>
      <c r="F56" s="2550" t="str">
        <f>IF(H56="正常",F58,"免征")</f>
        <v>免征</v>
      </c>
      <c r="G56" s="2553" t="s">
        <v>1365</v>
      </c>
      <c r="H56" s="2554"/>
      <c r="I56" s="1804"/>
      <c r="J56" s="3464" t="str">
        <f>IF(项目基本情况!K6="上海银行",IF(J55="",4,J55+1),"")</f>
        <v/>
      </c>
      <c r="K56" s="3718" t="str">
        <f>IF(项目基本情况!K6="上海银行","其他处置费用","")</f>
        <v/>
      </c>
      <c r="L56" s="3719"/>
      <c r="M56" s="2521" t="str">
        <f>IF(项目基本情况!K6="上海银行",M69,"")</f>
        <v/>
      </c>
      <c r="N56" s="3718" t="str">
        <f>IF(项目基本情况!K6="上海银行","包含处置中涉及的律师、诉讼、拍卖、评估等费用","")</f>
        <v/>
      </c>
      <c r="O56" s="3721"/>
    </row>
    <row r="57" spans="1:35" ht="12.75">
      <c r="A57" s="3454" t="s">
        <v>1341</v>
      </c>
      <c r="B57" s="3761" t="s">
        <v>1366</v>
      </c>
      <c r="C57" s="3762"/>
      <c r="D57" s="1586">
        <v>0</v>
      </c>
      <c r="E57" s="323" t="s">
        <v>1343</v>
      </c>
      <c r="F57" s="301"/>
      <c r="G57" s="2551"/>
      <c r="H57" s="2555"/>
      <c r="I57" s="1804"/>
      <c r="J57" s="3737">
        <f>IF(AND(J55="",J56=""),4,IF(项目基本情况!K6="上海银行",'结果表-车位'!J56+1,'结果表-车位'!J55+1))</f>
        <v>5</v>
      </c>
      <c r="K57" s="3737" t="s">
        <v>1367</v>
      </c>
      <c r="L57" s="2526" t="s">
        <v>1368</v>
      </c>
      <c r="M57" s="2527"/>
      <c r="N57" s="2528">
        <f ca="1">SUMIF(M52:M56,"&lt;9e307")</f>
        <v>0</v>
      </c>
      <c r="O57" s="2529"/>
      <c r="P57" s="2686" t="e">
        <f ca="1">N57/M49</f>
        <v>#VALUE!</v>
      </c>
    </row>
    <row r="58" spans="1:35" ht="24.75">
      <c r="A58" s="3454" t="s">
        <v>1352</v>
      </c>
      <c r="B58" s="3761" t="s">
        <v>1369</v>
      </c>
      <c r="C58" s="3760"/>
      <c r="D58" s="3466" t="e">
        <f ca="1">IF(H58="转让取得",C81,C97)</f>
        <v>#REF!</v>
      </c>
      <c r="E58" s="3455" t="s">
        <v>1364</v>
      </c>
      <c r="F58" s="301" t="s">
        <v>28</v>
      </c>
      <c r="G58" s="2551"/>
      <c r="H58" s="2554"/>
      <c r="I58" s="1804"/>
      <c r="J58" s="3737"/>
      <c r="K58" s="3737"/>
      <c r="L58" s="2526" t="s">
        <v>1370</v>
      </c>
      <c r="M58" s="2530"/>
      <c r="N58" s="2531" t="str">
        <f ca="1">NUMBERSTRING(INT(N57*10000),2)&amp;"元整"</f>
        <v>零元整</v>
      </c>
      <c r="O58" s="2532"/>
    </row>
    <row r="59" spans="1:35" ht="24.75" thickBot="1">
      <c r="A59" s="3741" t="s">
        <v>1371</v>
      </c>
      <c r="B59" s="3742"/>
      <c r="C59" s="3742"/>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739">
        <f>J57+1</f>
        <v>6</v>
      </c>
      <c r="K59" s="3737" t="s">
        <v>1372</v>
      </c>
      <c r="L59" s="3464" t="s">
        <v>1368</v>
      </c>
      <c r="M59" s="2533"/>
      <c r="N59" s="2534" t="e">
        <f ca="1">M49-N57</f>
        <v>#VALUE!</v>
      </c>
      <c r="O59" s="2535"/>
    </row>
    <row r="60" spans="1:35" ht="12" customHeight="1">
      <c r="A60" s="1805"/>
      <c r="B60" s="1743"/>
      <c r="C60" s="1743"/>
      <c r="D60" s="1743"/>
      <c r="E60" s="1574"/>
      <c r="F60" s="1804"/>
      <c r="G60" s="1804"/>
      <c r="H60" s="1806"/>
      <c r="I60" s="128"/>
      <c r="J60" s="3740"/>
      <c r="K60" s="3737"/>
      <c r="L60" s="2526" t="s">
        <v>1370</v>
      </c>
      <c r="M60" s="2530"/>
      <c r="N60" s="2531" t="e">
        <f ca="1">NUMBERSTRING(INT(N59*10000),2)&amp;"元整"</f>
        <v>#VALUE!</v>
      </c>
      <c r="O60" s="2532"/>
    </row>
    <row r="61" spans="1:35" ht="13.5" thickBot="1">
      <c r="A61" s="3795" t="s">
        <v>1373</v>
      </c>
      <c r="B61" s="3795"/>
      <c r="C61" s="3795"/>
      <c r="D61" s="3795"/>
      <c r="E61" s="3795"/>
      <c r="F61" s="1804"/>
      <c r="G61" s="1804"/>
      <c r="H61" s="1806"/>
      <c r="I61" s="128"/>
      <c r="J61" s="3464">
        <f>J59+1</f>
        <v>7</v>
      </c>
      <c r="K61" s="3737" t="s">
        <v>1374</v>
      </c>
      <c r="L61" s="3737"/>
      <c r="M61" s="2536"/>
      <c r="N61" s="2537" t="e">
        <f ca="1">ROUND(N59*10000/'数据-汇总表'!E3,0)</f>
        <v>#VALUE!</v>
      </c>
      <c r="O61" s="2538"/>
    </row>
    <row r="62" spans="1:35" ht="12.75">
      <c r="A62" s="3756" t="s">
        <v>1375</v>
      </c>
      <c r="B62" s="3757"/>
      <c r="C62" s="3458"/>
      <c r="D62" s="3458" t="s">
        <v>1376</v>
      </c>
      <c r="E62" s="165" t="s">
        <v>1377</v>
      </c>
      <c r="F62" s="1804"/>
      <c r="G62" s="1804"/>
      <c r="H62" s="1806"/>
      <c r="I62" s="128"/>
    </row>
    <row r="63" spans="1:35" ht="12.75">
      <c r="A63" s="172" t="s">
        <v>330</v>
      </c>
      <c r="B63" s="166" t="s">
        <v>1378</v>
      </c>
      <c r="C63" s="2560" t="e">
        <f ca="1">ROUND((C64+C65)/(1+'数据-取费表'!C42),0)</f>
        <v>#REF!</v>
      </c>
      <c r="D63" s="166"/>
      <c r="E63" s="167"/>
      <c r="F63" s="1804"/>
      <c r="G63" s="1804"/>
      <c r="H63" s="1806"/>
      <c r="I63" s="128"/>
      <c r="J63" s="3720" t="s">
        <v>1379</v>
      </c>
      <c r="K63" s="3467" t="s">
        <v>1380</v>
      </c>
      <c r="L63" s="3467" t="e">
        <f>IF(M49&gt;10000,M49*0.5%,IF(AND(M49&gt;1000,M49&lt;=10000),M49*1%,IF(AND(M49&gt;100,M49&lt;=1000),M49*3%,IF(AND(M49&gt;10,M49&lt;=100),M49*5%,M49*8%))))</f>
        <v>#VALUE!</v>
      </c>
      <c r="M63" s="301" t="e">
        <f>ROUND(L63,1)</f>
        <v>#VALUE!</v>
      </c>
      <c r="N63" s="2539"/>
      <c r="Z63" s="1748"/>
      <c r="AI63" s="1749"/>
    </row>
    <row r="64" spans="1:35" ht="14.25" customHeight="1">
      <c r="A64" s="168" t="s">
        <v>325</v>
      </c>
      <c r="B64" s="169" t="s">
        <v>1381</v>
      </c>
      <c r="C64" s="2561" t="e">
        <f ca="1">D45</f>
        <v>#REF!</v>
      </c>
      <c r="D64" s="169" t="s">
        <v>26</v>
      </c>
      <c r="E64" s="171"/>
      <c r="F64" s="1804"/>
      <c r="G64" s="1804"/>
      <c r="H64" s="1806"/>
      <c r="I64" s="128"/>
      <c r="J64" s="3720"/>
      <c r="K64" s="3467" t="s">
        <v>1382</v>
      </c>
      <c r="L64" s="3467"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8" t="s">
        <v>326</v>
      </c>
      <c r="B65" s="169" t="s">
        <v>1384</v>
      </c>
      <c r="C65" s="2562"/>
      <c r="D65" s="169"/>
      <c r="E65" s="171"/>
      <c r="F65" s="1804"/>
      <c r="G65" s="1804"/>
      <c r="H65" s="1806"/>
      <c r="I65" s="128"/>
      <c r="J65" s="3720"/>
      <c r="K65" s="3467" t="s">
        <v>1385</v>
      </c>
      <c r="L65" s="3467" t="e">
        <f>IF(M49&gt;1000,M49*0.1%,IF(AND(M49&gt;500,M49&lt;=1000),M49*0.5%,IF(AND(M49&gt;50,M49&lt;=500),M49*1%,IF(AND(M49&gt;1,M49&lt;=50),M49*1.5%))))</f>
        <v>#VALUE!</v>
      </c>
      <c r="M65" s="301" t="e">
        <f t="shared" si="1"/>
        <v>#VALUE!</v>
      </c>
      <c r="N65" s="2540" t="s">
        <v>1383</v>
      </c>
      <c r="Z65" s="1748"/>
      <c r="AI65" s="1749"/>
    </row>
    <row r="66" spans="1:35" ht="14.25" customHeight="1">
      <c r="A66" s="172" t="s">
        <v>327</v>
      </c>
      <c r="B66" s="173" t="s">
        <v>1386</v>
      </c>
      <c r="C66" s="2563"/>
      <c r="D66" s="173" t="s">
        <v>26</v>
      </c>
      <c r="E66" s="1334" t="s">
        <v>671</v>
      </c>
      <c r="F66" s="1804"/>
      <c r="G66" s="1804"/>
      <c r="H66" s="1806"/>
      <c r="I66" s="128"/>
      <c r="J66" s="3720"/>
      <c r="K66" s="3467" t="s">
        <v>1387</v>
      </c>
      <c r="L66" s="3467" t="e">
        <f>M49*0.5%</f>
        <v>#VALUE!</v>
      </c>
      <c r="M66" s="301" t="e">
        <f>IF(L66&gt;0.5,0.5,ROUND(L66,0))</f>
        <v>#VALUE!</v>
      </c>
      <c r="N66" s="2540" t="s">
        <v>1388</v>
      </c>
      <c r="Z66" s="1748"/>
      <c r="AI66" s="1749"/>
    </row>
    <row r="67" spans="1:35" ht="14.25" customHeight="1">
      <c r="A67" s="172" t="s">
        <v>328</v>
      </c>
      <c r="B67" s="173" t="s">
        <v>1389</v>
      </c>
      <c r="C67" s="2564" t="e">
        <f ca="1">C63-C66</f>
        <v>#REF!</v>
      </c>
      <c r="D67" s="169" t="s">
        <v>26</v>
      </c>
      <c r="E67" s="171"/>
      <c r="F67" s="1804"/>
      <c r="G67" s="1804"/>
      <c r="H67" s="1806"/>
      <c r="I67" s="128"/>
      <c r="J67" s="3720"/>
      <c r="K67" s="3467" t="s">
        <v>1390</v>
      </c>
      <c r="L67" s="346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5" t="s">
        <v>329</v>
      </c>
      <c r="B68" s="176" t="s">
        <v>1391</v>
      </c>
      <c r="C68" s="2565" t="e">
        <f ca="1">IF(C67&lt;=0,0,ROUND(C67*D68,0))</f>
        <v>#REF!</v>
      </c>
      <c r="D68" s="2566">
        <f>'数据-取费表'!B41</f>
        <v>5.5000000000000007E-2</v>
      </c>
      <c r="E68" s="177"/>
      <c r="F68" s="1804"/>
      <c r="G68" s="1804"/>
      <c r="H68" s="1806"/>
      <c r="I68" s="128"/>
      <c r="J68" s="3720"/>
      <c r="K68" s="3467" t="s">
        <v>1392</v>
      </c>
      <c r="L68" s="3467"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720"/>
      <c r="K69" s="3467" t="s">
        <v>1393</v>
      </c>
      <c r="L69" s="3467"/>
      <c r="M69" s="301" t="e">
        <f>ROUND(SUM(M63:M68),0)</f>
        <v>#VALUE!</v>
      </c>
      <c r="N69" s="2541"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64" t="s">
        <v>1394</v>
      </c>
      <c r="B70" s="3765"/>
      <c r="C70" s="3765"/>
      <c r="D70" s="3765"/>
      <c r="E70" s="3765"/>
      <c r="F70" s="3765"/>
      <c r="G70" s="3765"/>
      <c r="H70" s="376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56" t="s">
        <v>1375</v>
      </c>
      <c r="B71" s="3757"/>
      <c r="C71" s="3458"/>
      <c r="D71" s="3458"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t="e">
        <f ca="1">ROUND(D45/(1+'数据-取费表'!C42),0)</f>
        <v>#REF!</v>
      </c>
      <c r="D72" s="169" t="s">
        <v>26</v>
      </c>
      <c r="E72" s="3457"/>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t="e">
        <f ca="1">C74+C78</f>
        <v>#REF!</v>
      </c>
      <c r="D73" s="169" t="s">
        <v>26</v>
      </c>
      <c r="E73" s="3457"/>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3457"/>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761" t="s">
        <v>1402</v>
      </c>
      <c r="F76" s="3760"/>
      <c r="G76" s="3760"/>
      <c r="H76" s="376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3466" t="s">
        <v>1404</v>
      </c>
      <c r="F77" s="185"/>
      <c r="G77" s="1818"/>
      <c r="H77" s="346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t="e">
        <f ca="1">ROUND(D45*D78/(1+'数据-取费表'!C42),0)</f>
        <v>#REF!</v>
      </c>
      <c r="D78" s="2573">
        <f>'数据-取费表'!B43</f>
        <v>5.000000000000001E-3</v>
      </c>
      <c r="E78" s="3753" t="s">
        <v>1406</v>
      </c>
      <c r="F78" s="3754"/>
      <c r="G78" s="3754"/>
      <c r="H78" s="375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1407</v>
      </c>
      <c r="C79" s="2564" t="e">
        <f ca="1">C72-C73</f>
        <v>#REF!</v>
      </c>
      <c r="D79" s="169" t="s">
        <v>26</v>
      </c>
      <c r="E79" s="3457"/>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t="e">
        <f ca="1">IF(C79&lt;=0,0,C79/C73)</f>
        <v>#REF!</v>
      </c>
      <c r="D80" s="169" t="s">
        <v>26</v>
      </c>
      <c r="E80" s="3466" t="e">
        <f ca="1">IF(C80&gt;=200%,"增值额超过扣除项目金额200%",IF(C80&gt;=100%,"增值额超过扣除项目金额100%，未超过200%",IF(C80&gt;=50%,"增值额超过扣除项目金额50%，未超过100%",IF(C80&lt;50%,"增值额未超过扣除项目金额50%"))))</f>
        <v>#REF!</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t="e">
        <f ca="1">ROUND(IF(C79&lt;=0,0,IF(C80&gt;=200%,C79*60%-C73*35%,IF(C80&gt;=100%,C79*50%-C73*15%,IF(C80&gt;=50%,C79*40%-C73*5%,IF(C80&lt;50%,C79*30%,0))))),0)</f>
        <v>#REF!</v>
      </c>
      <c r="D81" s="2576"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4" t="s">
        <v>1410</v>
      </c>
      <c r="B83" s="3765"/>
      <c r="C83" s="3765"/>
      <c r="D83" s="3765"/>
      <c r="E83" s="3765"/>
      <c r="F83" s="3765"/>
      <c r="G83" s="3765"/>
      <c r="H83" s="376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6" t="s">
        <v>1375</v>
      </c>
      <c r="B84" s="3757"/>
      <c r="C84" s="3458"/>
      <c r="D84" s="3458"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t="e">
        <f ca="1">ROUND(D45/(1+'数据-取费表'!C42),0)</f>
        <v>#REF!</v>
      </c>
      <c r="D85" s="169" t="s">
        <v>26</v>
      </c>
      <c r="E85" s="3457"/>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t="e">
        <f ca="1">IF(H88="仅含出让金",C87+C90+C91+C92+C93+C94,C87+C91+C92+C93+C94)</f>
        <v>#REF!</v>
      </c>
      <c r="D86" s="2577"/>
      <c r="E86" s="3457"/>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3451"/>
      <c r="F87" s="3452"/>
      <c r="G87" s="3452"/>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3452"/>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3452"/>
      <c r="G89" s="3452"/>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3452"/>
      <c r="G90" s="3722" t="s">
        <v>2129</v>
      </c>
      <c r="H90" s="3723"/>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IF(H91="——",'成本法-洋房'!C33,I91)</f>
        <v>0</v>
      </c>
      <c r="D91" s="2573"/>
      <c r="E91" s="3753" t="s">
        <v>1419</v>
      </c>
      <c r="F91" s="3754"/>
      <c r="G91" s="375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753" t="s">
        <v>1422</v>
      </c>
      <c r="F92" s="3754"/>
      <c r="G92" s="3754"/>
      <c r="H92" s="3755"/>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t="e">
        <f ca="1">ROUND(D45*D93/(1+'数据-取费表'!C42),0)</f>
        <v>#REF!</v>
      </c>
      <c r="D93" s="2573">
        <f>'数据-取费表'!B43</f>
        <v>5.000000000000001E-3</v>
      </c>
      <c r="E93" s="3753" t="s">
        <v>1406</v>
      </c>
      <c r="F93" s="3754"/>
      <c r="G93" s="3754"/>
      <c r="H93" s="375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797" t="s">
        <v>1426</v>
      </c>
      <c r="F94" s="3798"/>
      <c r="G94" s="3798"/>
      <c r="H94" s="379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1407</v>
      </c>
      <c r="C95" s="2564" t="e">
        <f ca="1">ROUND(C85-C86,0)</f>
        <v>#REF!</v>
      </c>
      <c r="D95" s="169" t="s">
        <v>26</v>
      </c>
      <c r="E95" s="3457"/>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t="e">
        <f ca="1">IF(C95&lt;=0,0,C95/C86)</f>
        <v>#REF!</v>
      </c>
      <c r="D96" s="169" t="s">
        <v>26</v>
      </c>
      <c r="E96" s="3466" t="e">
        <f ca="1">IF(C96&gt;=200%,"增值额超过扣除项目金额200%",IF(C96&gt;=100%,"增值额超过扣除项目金额100%，未超过200%",IF(C96&gt;=50%,"增值额超过扣除项目金额50%，未超过100%",IF(C96&lt;50%,"增值额未超过扣除项目金额50%"))))</f>
        <v>#REF!</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t="e">
        <f ca="1">ROUND(IF(C95&lt;=0,0,IF(C96&gt;=200%,C95*60%-C86*35%,IF(C96&gt;=100%,C95*50%-C86*15%,IF(C96&gt;=50%,C95*40%-C86*5%,IF(C96&lt;50%,C95*30%,0))))),0)</f>
        <v>#REF!</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645" t="s">
        <v>1428</v>
      </c>
      <c r="B100" s="3646"/>
      <c r="C100" s="3646"/>
      <c r="D100" s="3738"/>
      <c r="E100" s="3646" t="s">
        <v>1429</v>
      </c>
      <c r="F100" s="3646"/>
      <c r="G100" s="3646"/>
      <c r="H100" s="3738"/>
      <c r="I100" s="128"/>
    </row>
    <row r="101" spans="1:35" ht="18.75" customHeight="1">
      <c r="A101" s="3746" t="s">
        <v>1430</v>
      </c>
      <c r="B101" s="3747"/>
      <c r="C101" s="2581" t="str">
        <f>C4</f>
        <v>收益法-车位</v>
      </c>
      <c r="D101" s="2582" t="str">
        <f>D4</f>
        <v>成本法-车位</v>
      </c>
      <c r="E101" s="3716" t="s">
        <v>1431</v>
      </c>
      <c r="F101" s="3717"/>
      <c r="G101" s="1823" t="s">
        <v>1432</v>
      </c>
      <c r="H101" s="2591" t="e">
        <f ca="1">H118</f>
        <v>#REF!</v>
      </c>
      <c r="I101" s="128"/>
    </row>
    <row r="102" spans="1:35" ht="18.75" customHeight="1">
      <c r="A102" s="3748" t="s">
        <v>1433</v>
      </c>
      <c r="B102" s="2580" t="s">
        <v>1432</v>
      </c>
      <c r="C102" s="2581">
        <f ca="1">IF(D32="楼面单价",ROUND(C19,0),C19)</f>
        <v>2266</v>
      </c>
      <c r="D102" s="2582">
        <f ca="1">IF(D32="楼面单价",ROUND(D19,0),D19)</f>
        <v>47611</v>
      </c>
      <c r="E102" s="3716"/>
      <c r="F102" s="3717"/>
      <c r="G102" s="1823" t="s">
        <v>1434</v>
      </c>
      <c r="H102" s="2551" t="e">
        <f ca="1">I118</f>
        <v>#REF!</v>
      </c>
      <c r="I102" s="128"/>
    </row>
    <row r="103" spans="1:35" ht="42.75" customHeight="1">
      <c r="A103" s="3748"/>
      <c r="B103" s="2580" t="s">
        <v>1434</v>
      </c>
      <c r="C103" s="2583">
        <f ca="1">C20</f>
        <v>311</v>
      </c>
      <c r="D103" s="2584">
        <f ca="1">D20</f>
        <v>6543</v>
      </c>
      <c r="E103" s="3709" t="s">
        <v>1435</v>
      </c>
      <c r="F103" s="3710"/>
      <c r="G103" s="1824" t="s">
        <v>1436</v>
      </c>
      <c r="H103" s="2591">
        <f>IF(D36="正常操作",H104+H105+H106,H105+H106)</f>
        <v>0</v>
      </c>
      <c r="I103" s="128"/>
    </row>
    <row r="104" spans="1:35" ht="18.75" customHeight="1">
      <c r="A104" s="3748" t="s">
        <v>1437</v>
      </c>
      <c r="B104" s="2585" t="s">
        <v>1432</v>
      </c>
      <c r="C104" s="2586" t="e">
        <f ca="1">H118</f>
        <v>#REF!</v>
      </c>
      <c r="D104" s="2587"/>
      <c r="E104" s="1670" t="s">
        <v>1438</v>
      </c>
      <c r="F104" s="1662"/>
      <c r="G104" s="1824" t="s">
        <v>1436</v>
      </c>
      <c r="H104" s="2592">
        <f>IF(D36="同一抵押权人同一抵押物续贷",C36&amp;"（续贷，未扣减，详见特别提示）",C36)</f>
        <v>0</v>
      </c>
      <c r="I104" s="128"/>
    </row>
    <row r="105" spans="1:35" ht="18.75" customHeight="1" thickBot="1">
      <c r="A105" s="3758"/>
      <c r="B105" s="2588" t="s">
        <v>1434</v>
      </c>
      <c r="C105" s="2589" t="e">
        <f ca="1">I118</f>
        <v>#REF!</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749" t="str">
        <f>IF(项目基本情况!E8="已注销","——","3.房地产抵押价值")</f>
        <v>3.房地产抵押价值</v>
      </c>
      <c r="F107" s="3717"/>
      <c r="G107" s="1823" t="s">
        <v>1432</v>
      </c>
      <c r="H107" s="2591" t="e">
        <f ca="1">IF(E107="——","——",H101-H103)</f>
        <v>#REF!</v>
      </c>
      <c r="I107" s="128"/>
    </row>
    <row r="108" spans="1:35" ht="18.75" customHeight="1">
      <c r="A108" s="128"/>
      <c r="B108" s="128"/>
      <c r="C108" s="128"/>
      <c r="D108" s="128"/>
      <c r="E108" s="3749"/>
      <c r="F108" s="3717"/>
      <c r="G108" s="1823" t="s">
        <v>1434</v>
      </c>
      <c r="H108" s="2551">
        <f ca="1">IF(H107=H101,H102,ROUND(H107*10000/'数据-汇总表'!E3,0))</f>
        <v>0</v>
      </c>
      <c r="I108" s="128"/>
    </row>
    <row r="109" spans="1:35" ht="18.75" customHeight="1">
      <c r="A109" s="128"/>
      <c r="B109" s="128"/>
      <c r="C109" s="128"/>
      <c r="D109" s="128"/>
      <c r="E109" s="3749" t="str">
        <f>IF(项目基本情况!E8="已注销及未注销","4.抵押担保权已注销时的房地产抵押价值",IF(项目基本情况!E8="已注销","3.抵押担保权已注销时的房地产抵押价值","——"))</f>
        <v>——</v>
      </c>
      <c r="F109" s="3717"/>
      <c r="G109" s="1823" t="s">
        <v>1432</v>
      </c>
      <c r="H109" s="2594" t="str">
        <f>IF(E109="——","——",H101-H105-H106)</f>
        <v>——</v>
      </c>
      <c r="I109" s="128"/>
    </row>
    <row r="110" spans="1:35" ht="18.75" customHeight="1">
      <c r="A110" s="128"/>
      <c r="B110" s="128"/>
      <c r="C110" s="128"/>
      <c r="D110" s="128"/>
      <c r="E110" s="3749"/>
      <c r="F110" s="3717"/>
      <c r="G110" s="1823" t="s">
        <v>1434</v>
      </c>
      <c r="H110" s="2551" t="str">
        <f>IF(H109="——","——",ROUND(H109*10000/'数据-汇总表'!E3,0))</f>
        <v>——</v>
      </c>
      <c r="I110" s="128"/>
    </row>
    <row r="111" spans="1:35" ht="18.75" customHeight="1">
      <c r="A111" s="128"/>
      <c r="B111" s="128"/>
      <c r="C111" s="128"/>
      <c r="D111" s="128"/>
      <c r="E111" s="3750" t="str">
        <f>IF(项目基本情况!E9="抵押净值",IF(OR(项目基本情况!E8="已注销",项目基本情况!E8="房地产抵押价值"),"4.抵押净值","5.抵押净值"),"——")</f>
        <v>——</v>
      </c>
      <c r="F111" s="3736"/>
      <c r="G111" s="1823" t="s">
        <v>1432</v>
      </c>
      <c r="H111" s="2591" t="str">
        <f>IF(E111="——","——",N59)</f>
        <v>——</v>
      </c>
      <c r="I111" s="128"/>
    </row>
    <row r="112" spans="1:35" ht="18.75" customHeight="1" thickBot="1">
      <c r="A112" s="128"/>
      <c r="B112" s="128"/>
      <c r="C112" s="128"/>
      <c r="D112" s="128"/>
      <c r="E112" s="3751"/>
      <c r="F112" s="3752"/>
      <c r="G112" s="1826" t="s">
        <v>1434</v>
      </c>
      <c r="H112" s="2595" t="str">
        <f>IF(E111="——","——",N61)</f>
        <v>——</v>
      </c>
      <c r="I112" s="128"/>
    </row>
    <row r="113" spans="1:27" ht="18.75" customHeight="1">
      <c r="A113" s="128"/>
      <c r="B113" s="128"/>
      <c r="C113" s="128"/>
      <c r="D113" s="128"/>
      <c r="E113" s="3759" t="s">
        <v>1440</v>
      </c>
      <c r="F113" s="3759"/>
      <c r="G113" s="3759"/>
      <c r="H113" s="3759"/>
      <c r="I113" s="128"/>
    </row>
    <row r="114" spans="1:27" ht="3.75" customHeight="1">
      <c r="A114" s="1743"/>
      <c r="B114" s="1743"/>
      <c r="C114" s="1743"/>
      <c r="D114" s="1743"/>
      <c r="E114" s="1805"/>
      <c r="F114" s="1805"/>
      <c r="G114" s="1805"/>
      <c r="H114" s="1805"/>
      <c r="I114" s="1743"/>
    </row>
    <row r="115" spans="1:27" ht="18.75" customHeight="1">
      <c r="A115" s="3767" t="s">
        <v>1442</v>
      </c>
      <c r="B115" s="3768"/>
      <c r="C115" s="3768"/>
      <c r="D115" s="3768"/>
      <c r="E115" s="3768"/>
      <c r="F115" s="3768"/>
      <c r="G115" s="3768"/>
      <c r="H115" s="3768"/>
      <c r="I115" s="3769"/>
    </row>
    <row r="116" spans="1:27" ht="27" customHeight="1">
      <c r="A116" s="3724" t="s">
        <v>1443</v>
      </c>
      <c r="B116" s="3728" t="s">
        <v>1444</v>
      </c>
      <c r="C116" s="3728" t="s">
        <v>1445</v>
      </c>
      <c r="D116" s="3734" t="s">
        <v>1446</v>
      </c>
      <c r="E116" s="3735"/>
      <c r="F116" s="3766" t="s">
        <v>1447</v>
      </c>
      <c r="G116" s="3766"/>
      <c r="H116" s="3724" t="s">
        <v>1448</v>
      </c>
      <c r="I116" s="3724"/>
    </row>
    <row r="117" spans="1:27" ht="18.75" customHeight="1">
      <c r="A117" s="3724"/>
      <c r="B117" s="3729"/>
      <c r="C117" s="3729"/>
      <c r="D117" s="3453" t="s">
        <v>1449</v>
      </c>
      <c r="E117" s="3453" t="s">
        <v>1450</v>
      </c>
      <c r="F117" s="3453" t="s">
        <v>1449</v>
      </c>
      <c r="G117" s="3453" t="s">
        <v>1451</v>
      </c>
      <c r="H117" s="3453" t="s">
        <v>1449</v>
      </c>
      <c r="I117" s="3453" t="s">
        <v>1451</v>
      </c>
    </row>
    <row r="118" spans="1:27" ht="24.75" customHeight="1">
      <c r="A118" s="2596" t="str">
        <f>项目基本情况!S2</f>
        <v>北京市房地产</v>
      </c>
      <c r="B118" s="3453">
        <f>M18</f>
        <v>72769</v>
      </c>
      <c r="C118" s="3453">
        <f>M19</f>
        <v>45480.63</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t="e">
        <f ca="1">ROUND(IF(D32="总价",C32,I118*B118/10000),0)</f>
        <v>#REF!</v>
      </c>
      <c r="I118" s="3453" t="e">
        <f ca="1">ROUND(IF(D32="楼面单价",C32,H118*10000/B118),0)</f>
        <v>#REF!</v>
      </c>
    </row>
    <row r="119" spans="1:27" ht="18.75" customHeight="1">
      <c r="A119" s="3724" t="s">
        <v>1452</v>
      </c>
      <c r="B119" s="3724"/>
      <c r="C119" s="3724"/>
      <c r="D119" s="3730" t="e">
        <f ca="1">NUMBERSTRING(INT(D118*10000),2)&amp;"元整"</f>
        <v>#REF!</v>
      </c>
      <c r="E119" s="3731"/>
      <c r="F119" s="3730" t="e">
        <f ca="1">NUMBERSTRING(INT(F118*10000),2)&amp;"元整"</f>
        <v>#REF!</v>
      </c>
      <c r="G119" s="3731"/>
      <c r="H119" s="3730" t="e">
        <f ca="1">NUMBERSTRING(INT(H118*10000),2)&amp;"元整"</f>
        <v>#REF!</v>
      </c>
      <c r="I119" s="3731"/>
    </row>
    <row r="120" spans="1:27" ht="18.75" customHeight="1">
      <c r="A120" s="3725" t="str">
        <f>IF(项目基本情况!B9="房地产市场价值","",MID(E103,3,LEN(E103)-2))</f>
        <v/>
      </c>
      <c r="B120" s="3726"/>
      <c r="C120" s="3727"/>
      <c r="D120" s="3725">
        <f>H103</f>
        <v>0</v>
      </c>
      <c r="E120" s="3726"/>
      <c r="F120" s="3726"/>
      <c r="G120" s="3726"/>
      <c r="H120" s="3726"/>
      <c r="I120" s="3727"/>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30" t="s">
        <v>1452</v>
      </c>
      <c r="B121" s="3732"/>
      <c r="C121" s="3731"/>
      <c r="D121" s="3730" t="str">
        <f>IF(D120=0,"零元整",NUMBERSTRING(INT(D120*10000),2)&amp;"元整")</f>
        <v>零元整</v>
      </c>
      <c r="E121" s="3732"/>
      <c r="F121" s="3732"/>
      <c r="G121" s="3732"/>
      <c r="H121" s="3732"/>
      <c r="I121" s="3731"/>
      <c r="AA121" s="723"/>
    </row>
    <row r="122" spans="1:27" ht="18.75" customHeight="1">
      <c r="A122" s="3736" t="str">
        <f>IF(项目基本情况!B9="房地产市场价值","",MID(E107,3,LEN(E107)-2))</f>
        <v/>
      </c>
      <c r="B122" s="3736"/>
      <c r="C122" s="3736"/>
      <c r="D122" s="3725" t="e">
        <f ca="1">H107</f>
        <v>#REF!</v>
      </c>
      <c r="E122" s="3726"/>
      <c r="F122" s="3726"/>
      <c r="G122" s="3726"/>
      <c r="H122" s="3726"/>
      <c r="I122" s="3727"/>
      <c r="AA122" s="723"/>
    </row>
    <row r="123" spans="1:27" ht="18.75" customHeight="1">
      <c r="A123" s="3724" t="s">
        <v>1452</v>
      </c>
      <c r="B123" s="3724"/>
      <c r="C123" s="3724"/>
      <c r="D123" s="3730" t="e">
        <f ca="1">NUMBERSTRING(INT(D122*10000),2)&amp;"元整"</f>
        <v>#REF!</v>
      </c>
      <c r="E123" s="3732"/>
      <c r="F123" s="3732"/>
      <c r="G123" s="3732"/>
      <c r="H123" s="3732"/>
      <c r="I123" s="3731"/>
      <c r="AA123" s="723"/>
    </row>
    <row r="124" spans="1:27" ht="18.75" customHeight="1">
      <c r="A124" s="3736" t="str">
        <f>IF(项目基本情况!B9="房地产市场价值","",MID(E109,3,LEN(E109)-2))</f>
        <v/>
      </c>
      <c r="B124" s="3736"/>
      <c r="C124" s="3736"/>
      <c r="D124" s="3725" t="str">
        <f>H109</f>
        <v>——</v>
      </c>
      <c r="E124" s="3726"/>
      <c r="F124" s="3726"/>
      <c r="G124" s="3726"/>
      <c r="H124" s="3726"/>
      <c r="I124" s="3727"/>
      <c r="AA124" s="723"/>
    </row>
    <row r="125" spans="1:27" ht="18.75" customHeight="1">
      <c r="A125" s="3724" t="s">
        <v>1452</v>
      </c>
      <c r="B125" s="3724"/>
      <c r="C125" s="3724"/>
      <c r="D125" s="3730" t="e">
        <f>NUMBERSTRING(INT(D124*10000),2)&amp;"元整"</f>
        <v>#VALUE!</v>
      </c>
      <c r="E125" s="3732"/>
      <c r="F125" s="3732"/>
      <c r="G125" s="3732"/>
      <c r="H125" s="3732"/>
      <c r="I125" s="3731"/>
      <c r="AA125" s="723"/>
    </row>
    <row r="126" spans="1:27" ht="18.75" customHeight="1">
      <c r="A126" s="3736" t="str">
        <f>IF(项目基本情况!B9="房地产市场价值","",MID(E111,3,LEN(E111)-2))</f>
        <v/>
      </c>
      <c r="B126" s="3736"/>
      <c r="C126" s="3736"/>
      <c r="D126" s="3725" t="str">
        <f>H111</f>
        <v>——</v>
      </c>
      <c r="E126" s="3726"/>
      <c r="F126" s="3726"/>
      <c r="G126" s="3726"/>
      <c r="H126" s="3726"/>
      <c r="I126" s="3727"/>
      <c r="AA126" s="723"/>
    </row>
    <row r="127" spans="1:27" ht="18.75" customHeight="1">
      <c r="A127" s="3724" t="s">
        <v>1452</v>
      </c>
      <c r="B127" s="3724"/>
      <c r="C127" s="3724"/>
      <c r="D127" s="3730" t="e">
        <f>NUMBERSTRING(INT(D126*10000),2)&amp;"元整"</f>
        <v>#VALUE!</v>
      </c>
      <c r="E127" s="3732"/>
      <c r="F127" s="3732"/>
      <c r="G127" s="3732"/>
      <c r="H127" s="3732"/>
      <c r="I127" s="3731"/>
      <c r="AA127" s="723"/>
    </row>
    <row r="128" spans="1:27" ht="21.75" customHeight="1">
      <c r="A128" s="3733" t="s">
        <v>1453</v>
      </c>
      <c r="B128" s="3733"/>
      <c r="C128" s="3733"/>
      <c r="D128" s="3733"/>
      <c r="E128" s="3733"/>
      <c r="F128" s="3733"/>
      <c r="G128" s="3733"/>
      <c r="H128" s="3733"/>
      <c r="I128" s="3733"/>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H14" sqref="H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3337</v>
      </c>
      <c r="C1" s="1220" t="s">
        <v>1662</v>
      </c>
      <c r="D1" s="1221"/>
      <c r="E1" s="3428"/>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1769</v>
      </c>
      <c r="B4" s="355"/>
      <c r="C4" s="3652" t="s">
        <v>1770</v>
      </c>
      <c r="D4" s="3653"/>
      <c r="E4" s="3654" t="s">
        <v>1771</v>
      </c>
      <c r="F4" s="3655"/>
      <c r="G4" s="3652" t="s">
        <v>1772</v>
      </c>
      <c r="H4" s="3653"/>
      <c r="I4" s="3652" t="s">
        <v>1773</v>
      </c>
      <c r="J4" s="3653"/>
      <c r="K4" s="558" t="s">
        <v>1774</v>
      </c>
      <c r="L4" s="2711"/>
      <c r="M4" s="2712"/>
      <c r="N4" s="2712"/>
      <c r="O4" s="2712"/>
      <c r="P4" s="3656" t="s">
        <v>1775</v>
      </c>
      <c r="Q4" s="3657"/>
      <c r="R4" s="3662" t="s">
        <v>1771</v>
      </c>
      <c r="S4" s="3663"/>
      <c r="T4" s="3662" t="s">
        <v>1772</v>
      </c>
      <c r="U4" s="3663"/>
      <c r="V4" s="3676" t="s">
        <v>1773</v>
      </c>
      <c r="W4" s="3676"/>
      <c r="X4" s="1351"/>
      <c r="Y4" s="3662" t="s">
        <v>1775</v>
      </c>
      <c r="Z4" s="3663"/>
      <c r="AA4" s="3649" t="s">
        <v>1771</v>
      </c>
      <c r="AB4" s="3650" t="s">
        <v>1772</v>
      </c>
      <c r="AC4" s="3649" t="s">
        <v>1773</v>
      </c>
    </row>
    <row r="5" spans="1:29" ht="15">
      <c r="A5" s="357"/>
      <c r="B5" s="358"/>
      <c r="C5" s="3666" t="s">
        <v>1673</v>
      </c>
      <c r="D5" s="3667"/>
      <c r="E5" s="3668" t="s">
        <v>1674</v>
      </c>
      <c r="F5" s="3669"/>
      <c r="G5" s="3666" t="s">
        <v>1675</v>
      </c>
      <c r="H5" s="3667"/>
      <c r="I5" s="3666" t="s">
        <v>1676</v>
      </c>
      <c r="J5" s="3667"/>
      <c r="K5" s="558"/>
      <c r="L5" s="2711"/>
      <c r="M5" s="2712"/>
      <c r="N5" s="2712"/>
      <c r="O5" s="2712"/>
      <c r="P5" s="3658"/>
      <c r="Q5" s="3659"/>
      <c r="R5" s="3664"/>
      <c r="S5" s="3665"/>
      <c r="T5" s="3664"/>
      <c r="U5" s="3665"/>
      <c r="V5" s="3676"/>
      <c r="W5" s="3676"/>
      <c r="X5" s="1351"/>
      <c r="Y5" s="3664"/>
      <c r="Z5" s="3665"/>
      <c r="AA5" s="3650"/>
      <c r="AB5" s="3650"/>
      <c r="AC5" s="3650"/>
    </row>
    <row r="6" spans="1:29" ht="15.75" thickBot="1">
      <c r="A6" s="359"/>
      <c r="B6" s="360"/>
      <c r="C6" s="3670" t="s">
        <v>1677</v>
      </c>
      <c r="D6" s="3671"/>
      <c r="E6" s="3672" t="s">
        <v>1677</v>
      </c>
      <c r="F6" s="3673"/>
      <c r="G6" s="3670" t="s">
        <v>1677</v>
      </c>
      <c r="H6" s="3671"/>
      <c r="I6" s="3670" t="s">
        <v>1677</v>
      </c>
      <c r="J6" s="3671"/>
      <c r="K6" s="558" t="s">
        <v>1678</v>
      </c>
      <c r="L6" s="2711"/>
      <c r="M6" s="2712"/>
      <c r="N6" s="2712"/>
      <c r="O6" s="2712"/>
      <c r="P6" s="3660"/>
      <c r="Q6" s="3661"/>
      <c r="R6" s="3664"/>
      <c r="S6" s="3665"/>
      <c r="T6" s="3674"/>
      <c r="U6" s="3675"/>
      <c r="V6" s="3676"/>
      <c r="W6" s="3676"/>
      <c r="X6" s="1351"/>
      <c r="Y6" s="3674"/>
      <c r="Z6" s="3675"/>
      <c r="AA6" s="3651"/>
      <c r="AB6" s="3651"/>
      <c r="AC6" s="3651"/>
    </row>
    <row r="7" spans="1:29" s="107" customFormat="1" ht="15.75" thickBot="1">
      <c r="A7" s="361" t="s">
        <v>1679</v>
      </c>
      <c r="B7" s="362"/>
      <c r="C7" s="363">
        <f>'数据-取费表'!B2</f>
        <v>45159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77" t="s">
        <v>1680</v>
      </c>
      <c r="Q7" s="3678"/>
      <c r="R7" s="699" t="s">
        <v>14</v>
      </c>
      <c r="S7" s="700">
        <f t="shared" ref="S7:S14" si="0">F7</f>
        <v>0</v>
      </c>
      <c r="T7" s="699" t="s">
        <v>14</v>
      </c>
      <c r="U7" s="700">
        <f t="shared" ref="U7:U14" si="1">H7</f>
        <v>0</v>
      </c>
      <c r="V7" s="699" t="s">
        <v>14</v>
      </c>
      <c r="W7" s="700">
        <f t="shared" ref="W7:W14"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77" t="s">
        <v>1683</v>
      </c>
      <c r="Q8" s="3679"/>
      <c r="R8" s="699" t="s">
        <v>14</v>
      </c>
      <c r="S8" s="700">
        <f t="shared" si="0"/>
        <v>100</v>
      </c>
      <c r="T8" s="699" t="s">
        <v>14</v>
      </c>
      <c r="U8" s="700">
        <f t="shared" si="1"/>
        <v>100</v>
      </c>
      <c r="V8" s="699" t="s">
        <v>14</v>
      </c>
      <c r="W8" s="700">
        <f t="shared" si="2"/>
        <v>100</v>
      </c>
      <c r="X8" s="701"/>
      <c r="Y8" s="3677" t="s">
        <v>1683</v>
      </c>
      <c r="Z8" s="367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91" t="s">
        <v>1686</v>
      </c>
      <c r="Q9" s="1339" t="str">
        <f t="shared" ref="Q9:Q14" si="6">B9</f>
        <v>用途</v>
      </c>
      <c r="R9" s="699" t="s">
        <v>14</v>
      </c>
      <c r="S9" s="700">
        <f t="shared" si="0"/>
        <v>100</v>
      </c>
      <c r="T9" s="699" t="s">
        <v>14</v>
      </c>
      <c r="U9" s="700">
        <f t="shared" si="1"/>
        <v>100</v>
      </c>
      <c r="V9" s="699" t="s">
        <v>14</v>
      </c>
      <c r="W9" s="700">
        <f t="shared" si="2"/>
        <v>100</v>
      </c>
      <c r="X9" s="701"/>
      <c r="Y9" s="3681" t="s">
        <v>1687</v>
      </c>
      <c r="Z9" s="52" t="str">
        <f t="shared" ref="Z9:Z14" si="7">Q9</f>
        <v>用途</v>
      </c>
      <c r="AA9" s="702">
        <f t="shared" si="3"/>
        <v>1</v>
      </c>
      <c r="AB9" s="702">
        <f t="shared" si="4"/>
        <v>1</v>
      </c>
      <c r="AC9" s="702">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5"/>
      <c r="M10" s="2716"/>
      <c r="N10" s="2716"/>
      <c r="O10" s="2716"/>
      <c r="P10" s="3691"/>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91"/>
      <c r="Q11" s="1339">
        <f t="shared" si="6"/>
        <v>111</v>
      </c>
      <c r="R11" s="699" t="s">
        <v>14</v>
      </c>
      <c r="S11" s="700">
        <f t="shared" si="0"/>
        <v>100</v>
      </c>
      <c r="T11" s="699" t="s">
        <v>14</v>
      </c>
      <c r="U11" s="700">
        <f t="shared" si="1"/>
        <v>100</v>
      </c>
      <c r="V11" s="699" t="s">
        <v>14</v>
      </c>
      <c r="W11" s="700">
        <f t="shared" si="2"/>
        <v>100</v>
      </c>
      <c r="X11" s="701"/>
      <c r="Y11" s="3681"/>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91"/>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91"/>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702">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84" t="s">
        <v>1691</v>
      </c>
      <c r="Q14" s="1348" t="str">
        <f t="shared" si="6"/>
        <v>交通便捷度</v>
      </c>
      <c r="R14" s="703" t="s">
        <v>14</v>
      </c>
      <c r="S14" s="704">
        <f t="shared" si="0"/>
        <v>100</v>
      </c>
      <c r="T14" s="703" t="s">
        <v>14</v>
      </c>
      <c r="U14" s="704">
        <f t="shared" si="1"/>
        <v>100</v>
      </c>
      <c r="V14" s="703" t="s">
        <v>14</v>
      </c>
      <c r="W14" s="704">
        <f t="shared" si="2"/>
        <v>100</v>
      </c>
      <c r="X14" s="1351"/>
      <c r="Y14" s="3684"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685"/>
      <c r="Q15" s="1348"/>
      <c r="R15" s="703"/>
      <c r="S15" s="704"/>
      <c r="T15" s="703"/>
      <c r="U15" s="704"/>
      <c r="V15" s="703"/>
      <c r="W15" s="704"/>
      <c r="X15" s="1351"/>
      <c r="Y15" s="3685"/>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85"/>
      <c r="Q16" s="1348" t="str">
        <f>B16</f>
        <v>公共配套设施</v>
      </c>
      <c r="R16" s="703" t="s">
        <v>14</v>
      </c>
      <c r="S16" s="704">
        <f>F16</f>
        <v>100</v>
      </c>
      <c r="T16" s="703" t="s">
        <v>14</v>
      </c>
      <c r="U16" s="704">
        <f>H16</f>
        <v>100</v>
      </c>
      <c r="V16" s="703" t="s">
        <v>14</v>
      </c>
      <c r="W16" s="704">
        <f>J16</f>
        <v>100</v>
      </c>
      <c r="X16" s="1351"/>
      <c r="Y16" s="3685"/>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685"/>
      <c r="Q17" s="1348"/>
      <c r="R17" s="703"/>
      <c r="S17" s="704"/>
      <c r="T17" s="703"/>
      <c r="U17" s="704"/>
      <c r="V17" s="703"/>
      <c r="W17" s="704"/>
      <c r="X17" s="1351"/>
      <c r="Y17" s="3685"/>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85"/>
      <c r="Q18" s="1348" t="str">
        <f>B18</f>
        <v>基础设施水平</v>
      </c>
      <c r="R18" s="703" t="s">
        <v>14</v>
      </c>
      <c r="S18" s="704">
        <f>F18</f>
        <v>100</v>
      </c>
      <c r="T18" s="703" t="s">
        <v>14</v>
      </c>
      <c r="U18" s="704">
        <f>H18</f>
        <v>100</v>
      </c>
      <c r="V18" s="703" t="s">
        <v>14</v>
      </c>
      <c r="W18" s="704">
        <f>J18</f>
        <v>100</v>
      </c>
      <c r="X18" s="1351"/>
      <c r="Y18" s="3685"/>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685"/>
      <c r="Q19" s="1348"/>
      <c r="R19" s="703"/>
      <c r="S19" s="704"/>
      <c r="T19" s="703"/>
      <c r="U19" s="704"/>
      <c r="V19" s="703"/>
      <c r="W19" s="704"/>
      <c r="X19" s="1351"/>
      <c r="Y19" s="3685"/>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85"/>
      <c r="Q20" s="1348" t="str">
        <f>B20</f>
        <v>自然及人文环境</v>
      </c>
      <c r="R20" s="703" t="s">
        <v>14</v>
      </c>
      <c r="S20" s="704">
        <f>F20</f>
        <v>100</v>
      </c>
      <c r="T20" s="703" t="s">
        <v>14</v>
      </c>
      <c r="U20" s="704">
        <f>H20</f>
        <v>100</v>
      </c>
      <c r="V20" s="703" t="s">
        <v>14</v>
      </c>
      <c r="W20" s="704">
        <f>J20</f>
        <v>100</v>
      </c>
      <c r="X20" s="1351"/>
      <c r="Y20" s="3685"/>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685"/>
      <c r="Q21" s="1348"/>
      <c r="R21" s="703"/>
      <c r="S21" s="704"/>
      <c r="T21" s="703"/>
      <c r="U21" s="704"/>
      <c r="V21" s="703"/>
      <c r="W21" s="704"/>
      <c r="X21" s="1351"/>
      <c r="Y21" s="3685"/>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85"/>
      <c r="Q22" s="1348" t="str">
        <f>B22</f>
        <v>楼层</v>
      </c>
      <c r="R22" s="703" t="s">
        <v>14</v>
      </c>
      <c r="S22" s="704">
        <f>F22</f>
        <v>100</v>
      </c>
      <c r="T22" s="703" t="s">
        <v>14</v>
      </c>
      <c r="U22" s="704">
        <f>H22</f>
        <v>100</v>
      </c>
      <c r="V22" s="703" t="s">
        <v>14</v>
      </c>
      <c r="W22" s="704">
        <f>J22</f>
        <v>100</v>
      </c>
      <c r="X22" s="1351"/>
      <c r="Y22" s="3685"/>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85"/>
      <c r="Q23" s="1348">
        <f>B23</f>
        <v>111</v>
      </c>
      <c r="R23" s="703" t="s">
        <v>14</v>
      </c>
      <c r="S23" s="704">
        <f>F23</f>
        <v>100</v>
      </c>
      <c r="T23" s="703" t="s">
        <v>14</v>
      </c>
      <c r="U23" s="704">
        <f>H23</f>
        <v>100</v>
      </c>
      <c r="V23" s="703" t="s">
        <v>14</v>
      </c>
      <c r="W23" s="704">
        <f>J23</f>
        <v>100</v>
      </c>
      <c r="X23" s="1351"/>
      <c r="Y23" s="3685"/>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85"/>
      <c r="Q24" s="1348">
        <f t="shared" ref="Q24:Q36" si="11">B24</f>
        <v>111</v>
      </c>
      <c r="R24" s="703" t="s">
        <v>14</v>
      </c>
      <c r="S24" s="704">
        <f>F24</f>
        <v>100</v>
      </c>
      <c r="T24" s="703" t="s">
        <v>14</v>
      </c>
      <c r="U24" s="704">
        <f>H24</f>
        <v>100</v>
      </c>
      <c r="V24" s="703" t="s">
        <v>14</v>
      </c>
      <c r="W24" s="704">
        <f>J24</f>
        <v>100</v>
      </c>
      <c r="X24" s="1351"/>
      <c r="Y24" s="3685"/>
      <c r="Z24" s="1352">
        <f>Q24</f>
        <v>111</v>
      </c>
      <c r="AA24" s="1349">
        <f t="shared" si="3"/>
        <v>1</v>
      </c>
      <c r="AB24" s="1349">
        <f t="shared" si="4"/>
        <v>1</v>
      </c>
      <c r="AC24" s="1349">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85"/>
      <c r="Q25" s="1339">
        <f t="shared" si="11"/>
        <v>111</v>
      </c>
      <c r="R25" s="699" t="s">
        <v>14</v>
      </c>
      <c r="S25" s="700">
        <f>F25</f>
        <v>100</v>
      </c>
      <c r="T25" s="699" t="s">
        <v>14</v>
      </c>
      <c r="U25" s="700">
        <f>H25</f>
        <v>100</v>
      </c>
      <c r="V25" s="699" t="s">
        <v>14</v>
      </c>
      <c r="W25" s="700">
        <f>J25</f>
        <v>100</v>
      </c>
      <c r="X25" s="701"/>
      <c r="Y25" s="3685"/>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29"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89"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89"/>
      <c r="Q27" s="705" t="str">
        <f t="shared" si="11"/>
        <v>项目停车位配比</v>
      </c>
      <c r="R27" s="706" t="s">
        <v>14</v>
      </c>
      <c r="S27" s="707">
        <f t="shared" si="12"/>
        <v>100</v>
      </c>
      <c r="T27" s="706" t="s">
        <v>14</v>
      </c>
      <c r="U27" s="707">
        <f t="shared" si="13"/>
        <v>100</v>
      </c>
      <c r="V27" s="706" t="s">
        <v>14</v>
      </c>
      <c r="W27" s="707">
        <f t="shared" si="14"/>
        <v>100</v>
      </c>
      <c r="X27" s="708"/>
      <c r="Y27" s="3689"/>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89"/>
      <c r="Q28" s="1348" t="str">
        <f t="shared" si="11"/>
        <v>公共部分装修</v>
      </c>
      <c r="R28" s="703" t="s">
        <v>14</v>
      </c>
      <c r="S28" s="704">
        <f t="shared" si="12"/>
        <v>100</v>
      </c>
      <c r="T28" s="703" t="s">
        <v>14</v>
      </c>
      <c r="U28" s="704">
        <f t="shared" si="13"/>
        <v>100</v>
      </c>
      <c r="V28" s="703" t="s">
        <v>14</v>
      </c>
      <c r="W28" s="704">
        <f t="shared" si="14"/>
        <v>100</v>
      </c>
      <c r="X28" s="1351"/>
      <c r="Y28" s="3689"/>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89"/>
      <c r="Q29" s="1348" t="str">
        <f t="shared" si="11"/>
        <v>成新率</v>
      </c>
      <c r="R29" s="703" t="s">
        <v>14</v>
      </c>
      <c r="S29" s="704" t="e">
        <f t="shared" si="12"/>
        <v>#N/A</v>
      </c>
      <c r="T29" s="703" t="s">
        <v>14</v>
      </c>
      <c r="U29" s="704" t="e">
        <f t="shared" si="13"/>
        <v>#N/A</v>
      </c>
      <c r="V29" s="703" t="s">
        <v>14</v>
      </c>
      <c r="W29" s="704" t="e">
        <f t="shared" si="14"/>
        <v>#N/A</v>
      </c>
      <c r="X29" s="1351"/>
      <c r="Y29" s="3689"/>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89"/>
      <c r="Q30" s="1348" t="str">
        <f t="shared" si="11"/>
        <v>物业等级</v>
      </c>
      <c r="R30" s="703" t="s">
        <v>14</v>
      </c>
      <c r="S30" s="704">
        <f t="shared" si="12"/>
        <v>100</v>
      </c>
      <c r="T30" s="703" t="s">
        <v>14</v>
      </c>
      <c r="U30" s="704">
        <f t="shared" si="13"/>
        <v>100</v>
      </c>
      <c r="V30" s="703" t="s">
        <v>14</v>
      </c>
      <c r="W30" s="704">
        <f t="shared" si="14"/>
        <v>100</v>
      </c>
      <c r="X30" s="1351"/>
      <c r="Y30" s="3689"/>
      <c r="Z30" s="1352" t="str">
        <f t="shared" si="15"/>
        <v>物业等级</v>
      </c>
      <c r="AA30" s="1349">
        <f t="shared" si="3"/>
        <v>1</v>
      </c>
      <c r="AB30" s="1349">
        <f t="shared" si="4"/>
        <v>1</v>
      </c>
      <c r="AC30" s="1349">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89"/>
      <c r="Q31" s="1339" t="str">
        <f t="shared" si="11"/>
        <v>停车位面积</v>
      </c>
      <c r="R31" s="699" t="s">
        <v>14</v>
      </c>
      <c r="S31" s="700" t="e">
        <f t="shared" si="12"/>
        <v>#N/A</v>
      </c>
      <c r="T31" s="699" t="s">
        <v>14</v>
      </c>
      <c r="U31" s="700" t="e">
        <f t="shared" si="13"/>
        <v>#N/A</v>
      </c>
      <c r="V31" s="699" t="s">
        <v>14</v>
      </c>
      <c r="W31" s="700" t="e">
        <f t="shared" si="14"/>
        <v>#N/A</v>
      </c>
      <c r="X31" s="701"/>
      <c r="Y31" s="3689"/>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89" t="s">
        <v>1696</v>
      </c>
      <c r="Q32" s="1348" t="str">
        <f t="shared" si="11"/>
        <v>车位类型</v>
      </c>
      <c r="R32" s="703" t="s">
        <v>14</v>
      </c>
      <c r="S32" s="704">
        <f t="shared" si="12"/>
        <v>100</v>
      </c>
      <c r="T32" s="703" t="s">
        <v>14</v>
      </c>
      <c r="U32" s="704">
        <f t="shared" si="13"/>
        <v>100</v>
      </c>
      <c r="V32" s="703" t="s">
        <v>14</v>
      </c>
      <c r="W32" s="704">
        <f t="shared" si="14"/>
        <v>100</v>
      </c>
      <c r="X32" s="1351"/>
      <c r="Y32" s="3689"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89"/>
      <c r="Q33" s="1348" t="str">
        <f t="shared" si="11"/>
        <v>是否直接入户</v>
      </c>
      <c r="R33" s="703" t="s">
        <v>14</v>
      </c>
      <c r="S33" s="704">
        <f t="shared" si="12"/>
        <v>100</v>
      </c>
      <c r="T33" s="703" t="s">
        <v>14</v>
      </c>
      <c r="U33" s="704">
        <f t="shared" si="13"/>
        <v>100</v>
      </c>
      <c r="V33" s="703" t="s">
        <v>14</v>
      </c>
      <c r="W33" s="704">
        <f t="shared" si="14"/>
        <v>100</v>
      </c>
      <c r="X33" s="1351"/>
      <c r="Y33" s="3689"/>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89"/>
      <c r="Q34" s="1348">
        <f t="shared" si="11"/>
        <v>111</v>
      </c>
      <c r="R34" s="703" t="s">
        <v>14</v>
      </c>
      <c r="S34" s="704">
        <f t="shared" si="12"/>
        <v>100</v>
      </c>
      <c r="T34" s="703" t="s">
        <v>14</v>
      </c>
      <c r="U34" s="704">
        <f t="shared" si="13"/>
        <v>100</v>
      </c>
      <c r="V34" s="703" t="s">
        <v>14</v>
      </c>
      <c r="W34" s="704">
        <f t="shared" si="14"/>
        <v>100</v>
      </c>
      <c r="X34" s="1351"/>
      <c r="Y34" s="3689"/>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89"/>
      <c r="Q35" s="705">
        <f t="shared" si="11"/>
        <v>111</v>
      </c>
      <c r="R35" s="706" t="s">
        <v>14</v>
      </c>
      <c r="S35" s="707">
        <f t="shared" si="12"/>
        <v>100</v>
      </c>
      <c r="T35" s="706" t="s">
        <v>14</v>
      </c>
      <c r="U35" s="707">
        <f t="shared" si="13"/>
        <v>100</v>
      </c>
      <c r="V35" s="706" t="s">
        <v>14</v>
      </c>
      <c r="W35" s="707">
        <f t="shared" si="14"/>
        <v>100</v>
      </c>
      <c r="X35" s="708"/>
      <c r="Y35" s="3689"/>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89"/>
      <c r="Q36" s="1348">
        <f t="shared" si="11"/>
        <v>111</v>
      </c>
      <c r="R36" s="703" t="s">
        <v>14</v>
      </c>
      <c r="S36" s="704">
        <f t="shared" si="12"/>
        <v>100</v>
      </c>
      <c r="T36" s="703" t="s">
        <v>14</v>
      </c>
      <c r="U36" s="704">
        <f t="shared" si="13"/>
        <v>100</v>
      </c>
      <c r="V36" s="703" t="s">
        <v>14</v>
      </c>
      <c r="W36" s="704">
        <f t="shared" si="14"/>
        <v>100</v>
      </c>
      <c r="X36" s="1351"/>
      <c r="Y36" s="3689"/>
      <c r="Z36" s="1352">
        <f t="shared" si="15"/>
        <v>111</v>
      </c>
      <c r="AA36" s="1349">
        <f t="shared" si="3"/>
        <v>1</v>
      </c>
      <c r="AB36" s="1349">
        <f t="shared" si="4"/>
        <v>1</v>
      </c>
      <c r="AC36" s="1349">
        <f t="shared" si="5"/>
        <v>1</v>
      </c>
    </row>
    <row r="37" spans="1:29" ht="15">
      <c r="A37" s="429" t="s">
        <v>1844</v>
      </c>
      <c r="B37" s="1969" t="s">
        <v>3358</v>
      </c>
      <c r="C37" s="1150" t="s">
        <v>0</v>
      </c>
      <c r="D37" s="1151"/>
      <c r="E37" s="1152"/>
      <c r="F37" s="1153"/>
      <c r="G37" s="1154"/>
      <c r="H37" s="1155"/>
      <c r="I37" s="1152"/>
      <c r="J37" s="1155"/>
      <c r="K37" s="567"/>
      <c r="L37" s="2720"/>
      <c r="M37" s="2721"/>
      <c r="N37" s="2712"/>
      <c r="O37" s="2721"/>
      <c r="P37" s="3691" t="str">
        <f>A37</f>
        <v>成交单价</v>
      </c>
      <c r="Q37" s="3691"/>
      <c r="R37" s="3692">
        <f>E37</f>
        <v>0</v>
      </c>
      <c r="S37" s="3692"/>
      <c r="T37" s="3692">
        <f>G37</f>
        <v>0</v>
      </c>
      <c r="U37" s="3692"/>
      <c r="V37" s="3692">
        <f>I37</f>
        <v>0</v>
      </c>
      <c r="W37" s="3692"/>
      <c r="X37" s="688"/>
      <c r="Y37" s="710"/>
      <c r="Z37" s="688"/>
      <c r="AA37" s="688"/>
      <c r="AB37" s="688"/>
      <c r="AC37" s="688"/>
    </row>
    <row r="38" spans="1:29" ht="15.75" thickBot="1">
      <c r="A38" s="436" t="s">
        <v>1845</v>
      </c>
      <c r="B38" s="437"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8"/>
      <c r="Y38" s="688"/>
      <c r="Z38" s="688"/>
      <c r="AA38" s="688"/>
      <c r="AB38" s="688"/>
      <c r="AC38" s="688"/>
    </row>
    <row r="39" spans="1:29" ht="15.75" thickBot="1">
      <c r="A39" s="440" t="s">
        <v>1846</v>
      </c>
      <c r="B39" s="441"/>
      <c r="C39" s="1159" t="e">
        <f>R39</f>
        <v>#DIV/0!</v>
      </c>
      <c r="D39" s="1159"/>
      <c r="E39" s="1159"/>
      <c r="F39" s="1159"/>
      <c r="G39" s="1159"/>
      <c r="H39" s="1159"/>
      <c r="I39" s="1159"/>
      <c r="J39" s="1159"/>
      <c r="K39" s="568"/>
      <c r="L39" s="2720"/>
      <c r="M39" s="2721"/>
      <c r="N39" s="2721"/>
      <c r="O39" s="2721"/>
      <c r="P39" s="3693" t="str">
        <f>A39</f>
        <v>估价对象XX用房的比较价值（楼面单价，元/平方米）</v>
      </c>
      <c r="Q39" s="3694"/>
      <c r="R39" s="3830" t="e">
        <f>IF(F1="售价",ROUND(IF(D38="简单平均",AVERAGE(R38:W38),R38*F38+T38*H38+V38*J38),0),ROUND(IF(D38="简单平均",AVERAGE(R38:V38),R38*F38+T38*H38+V38*J38),1))</f>
        <v>#DIV/0!</v>
      </c>
      <c r="S39" s="3830"/>
      <c r="T39" s="3830"/>
      <c r="U39" s="3830"/>
      <c r="V39" s="3830"/>
      <c r="W39" s="3830"/>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0" t="str">
        <f>YEAR(C7)&amp;"-"&amp;MONTH(C7)</f>
        <v>2023-8</v>
      </c>
      <c r="D48" s="1181">
        <f>EDATE(C48,-1)</f>
        <v>45108</v>
      </c>
      <c r="E48" s="1181">
        <f t="shared" ref="E48:O48" si="16">EDATE(D48,-1)</f>
        <v>45078</v>
      </c>
      <c r="F48" s="1181">
        <f t="shared" si="16"/>
        <v>45047</v>
      </c>
      <c r="G48" s="1181">
        <f t="shared" si="16"/>
        <v>45017</v>
      </c>
      <c r="H48" s="1181">
        <f t="shared" si="16"/>
        <v>44986</v>
      </c>
      <c r="I48" s="1181">
        <f t="shared" si="16"/>
        <v>44958</v>
      </c>
      <c r="J48" s="1181">
        <f t="shared" si="16"/>
        <v>44927</v>
      </c>
      <c r="K48" s="1181">
        <f t="shared" si="16"/>
        <v>44896</v>
      </c>
      <c r="L48" s="1181">
        <f t="shared" si="16"/>
        <v>44866</v>
      </c>
      <c r="M48" s="1181">
        <f t="shared" si="16"/>
        <v>44835</v>
      </c>
      <c r="N48" s="1181">
        <f t="shared" si="16"/>
        <v>44805</v>
      </c>
      <c r="O48" s="1181">
        <f t="shared" si="16"/>
        <v>44774</v>
      </c>
      <c r="P48" s="2755"/>
      <c r="Q48" s="2737"/>
      <c r="R48" s="2737"/>
      <c r="S48" s="2737"/>
      <c r="T48" s="2737"/>
      <c r="U48" s="2737"/>
      <c r="V48" s="2737"/>
      <c r="W48" s="2737"/>
      <c r="X48" s="2737"/>
      <c r="Y48" s="2737"/>
      <c r="Z48" s="2737"/>
      <c r="AA48" s="2737"/>
      <c r="AB48" s="2737"/>
      <c r="AC48" s="2737"/>
    </row>
    <row r="49" spans="1:29" s="107"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47" priority="18" stopIfTrue="1" operator="containsText" text="超过">
      <formula>NOT(ISERROR(SEARCH("超过",F42)))</formula>
    </cfRule>
  </conditionalFormatting>
  <conditionalFormatting sqref="J44">
    <cfRule type="containsText" dxfId="146" priority="17" stopIfTrue="1" operator="containsText" text="超过">
      <formula>NOT(ISERROR(SEARCH("超过",J44)))</formula>
    </cfRule>
  </conditionalFormatting>
  <conditionalFormatting sqref="H44">
    <cfRule type="containsText" dxfId="145" priority="16" stopIfTrue="1" operator="containsText" text="超过">
      <formula>NOT(ISERROR(SEARCH("超过",H44)))</formula>
    </cfRule>
  </conditionalFormatting>
  <conditionalFormatting sqref="F44">
    <cfRule type="containsText" dxfId="144" priority="15" stopIfTrue="1" operator="containsText" text="超过">
      <formula>NOT(ISERROR(SEARCH("超过",F44)))</formula>
    </cfRule>
  </conditionalFormatting>
  <conditionalFormatting sqref="F43 H43 J43">
    <cfRule type="containsText" dxfId="143" priority="14" stopIfTrue="1" operator="containsText" text="超过">
      <formula>NOT(ISERROR(SEARCH("超过",F43)))</formula>
    </cfRule>
  </conditionalFormatting>
  <conditionalFormatting sqref="E42">
    <cfRule type="expression" dxfId="142" priority="13" stopIfTrue="1">
      <formula>$F$42="超过30%"</formula>
    </cfRule>
  </conditionalFormatting>
  <conditionalFormatting sqref="G44">
    <cfRule type="expression" dxfId="141" priority="12" stopIfTrue="1">
      <formula>$H$54+$H$44="超过30%"</formula>
    </cfRule>
  </conditionalFormatting>
  <conditionalFormatting sqref="E43">
    <cfRule type="expression" dxfId="140" priority="11" stopIfTrue="1">
      <formula>$F$43="超过20%"</formula>
    </cfRule>
  </conditionalFormatting>
  <conditionalFormatting sqref="E44">
    <cfRule type="expression" dxfId="139" priority="10" stopIfTrue="1">
      <formula>$F$44="超过30%"</formula>
    </cfRule>
  </conditionalFormatting>
  <conditionalFormatting sqref="G42">
    <cfRule type="expression" dxfId="138" priority="9" stopIfTrue="1">
      <formula>$H$52+$H$42="超过30%"</formula>
    </cfRule>
  </conditionalFormatting>
  <conditionalFormatting sqref="G43">
    <cfRule type="expression" dxfId="137" priority="8" stopIfTrue="1">
      <formula>$H$43="超过20%"</formula>
    </cfRule>
  </conditionalFormatting>
  <conditionalFormatting sqref="I42">
    <cfRule type="expression" dxfId="136" priority="7" stopIfTrue="1">
      <formula>$J$52+$J$42="超过30%"</formula>
    </cfRule>
  </conditionalFormatting>
  <conditionalFormatting sqref="I43">
    <cfRule type="expression" dxfId="135" priority="6" stopIfTrue="1">
      <formula>$J$53+$J$43="超过20%"</formula>
    </cfRule>
  </conditionalFormatting>
  <conditionalFormatting sqref="I44">
    <cfRule type="expression" dxfId="134" priority="5" stopIfTrue="1">
      <formula>$J$44="超过30%"</formula>
    </cfRule>
  </conditionalFormatting>
  <conditionalFormatting sqref="F38">
    <cfRule type="expression" dxfId="133" priority="4">
      <formula>$D$38="简单平均"</formula>
    </cfRule>
  </conditionalFormatting>
  <conditionalFormatting sqref="H38">
    <cfRule type="expression" dxfId="132" priority="3">
      <formula>$D$38="简单平均"</formula>
    </cfRule>
  </conditionalFormatting>
  <conditionalFormatting sqref="J38">
    <cfRule type="expression" dxfId="131" priority="2">
      <formula>$D$38="简单平均"</formula>
    </cfRule>
  </conditionalFormatting>
  <conditionalFormatting sqref="F7:F36 H7:H36 J7:J36">
    <cfRule type="cellIs" dxfId="13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L24" sqref="L24"/>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I57"/>
  <sheetViews>
    <sheetView view="pageBreakPreview" topLeftCell="A4" zoomScaleNormal="70" zoomScaleSheetLayoutView="100" workbookViewId="0">
      <selection activeCell="B25" sqref="B25"/>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3400</v>
      </c>
      <c r="C1" s="197"/>
      <c r="D1" s="197"/>
      <c r="E1" s="197"/>
      <c r="F1" s="197"/>
      <c r="G1" s="1122">
        <f>MATCH(B1,'数据-取费表'!A6:A16,0)+5</f>
        <v>11</v>
      </c>
    </row>
    <row r="2" spans="1:9" s="199" customFormat="1" ht="18" customHeight="1">
      <c r="A2" s="200" t="s">
        <v>685</v>
      </c>
      <c r="B2" s="201">
        <f ca="1">IF(D2="——",C52,C52-E2)</f>
        <v>47611</v>
      </c>
      <c r="C2" s="198" t="s">
        <v>1463</v>
      </c>
      <c r="D2" s="1849" t="s">
        <v>43</v>
      </c>
      <c r="E2" s="1165" t="e">
        <f ca="1">SUMIF(INDIRECT("'"&amp;G2&amp;"'"&amp;"!A:A"),"承租人权益价值",INDIRECT("'"&amp;G2&amp;"'"&amp;"!c:c"))</f>
        <v>#REF!</v>
      </c>
      <c r="F2" s="1850" t="s">
        <v>1463</v>
      </c>
      <c r="G2" s="1851"/>
    </row>
    <row r="3" spans="1:9" s="199" customFormat="1" ht="18" customHeight="1" thickBot="1">
      <c r="A3" s="202" t="s">
        <v>686</v>
      </c>
      <c r="B3" s="203">
        <f ca="1">ROUND(B2*10000/(IF(B1="",'数据-汇总表'!E3,INDIRECT("'数据-取费表'!k"&amp;$G$1))),0)</f>
        <v>6543</v>
      </c>
      <c r="C3" s="198" t="s">
        <v>1465</v>
      </c>
      <c r="D3" s="198"/>
      <c r="E3" s="198"/>
      <c r="F3" s="198"/>
      <c r="G3" s="198"/>
    </row>
    <row r="4" spans="1:9" s="207" customFormat="1" ht="15.75">
      <c r="A4" s="204" t="s">
        <v>1466</v>
      </c>
      <c r="B4" s="205"/>
      <c r="C4" s="205"/>
      <c r="D4" s="205"/>
      <c r="E4" s="205"/>
      <c r="F4" s="205"/>
      <c r="G4" s="206"/>
    </row>
    <row r="5" spans="1:9" s="213" customFormat="1" ht="13.5" customHeight="1">
      <c r="A5" s="254" t="s">
        <v>337</v>
      </c>
      <c r="B5" s="209" t="s">
        <v>1468</v>
      </c>
      <c r="C5" s="210">
        <f ca="1">C6+C7+C8</f>
        <v>6014</v>
      </c>
      <c r="D5" s="210" t="s">
        <v>1469</v>
      </c>
      <c r="E5" s="211" t="s">
        <v>1470</v>
      </c>
      <c r="F5" s="211" t="s">
        <v>1471</v>
      </c>
      <c r="G5" s="212"/>
    </row>
    <row r="6" spans="1:9" s="213" customFormat="1" ht="13.5" customHeight="1">
      <c r="A6" s="774" t="s">
        <v>346</v>
      </c>
      <c r="B6" s="214" t="s">
        <v>1473</v>
      </c>
      <c r="C6" s="215">
        <f>基准地价修正!E42</f>
        <v>4424</v>
      </c>
      <c r="D6" s="216"/>
      <c r="E6" s="217"/>
      <c r="F6" s="217"/>
      <c r="G6" s="218"/>
    </row>
    <row r="7" spans="1:9" s="213" customFormat="1" ht="13.5" customHeight="1">
      <c r="A7" s="774" t="s">
        <v>347</v>
      </c>
      <c r="B7" s="214" t="s">
        <v>1475</v>
      </c>
      <c r="C7" s="219">
        <f>ROUND(C6*F7,0)</f>
        <v>135</v>
      </c>
      <c r="D7" s="219"/>
      <c r="E7" s="217"/>
      <c r="F7" s="220">
        <f>IF(项目基本情况!B8="出让",0,'数据-取费表'!B48+'数据-取费表'!B49)</f>
        <v>3.0499999999999999E-2</v>
      </c>
      <c r="G7" s="218"/>
    </row>
    <row r="8" spans="1:9" s="222" customFormat="1">
      <c r="A8" s="774" t="s">
        <v>348</v>
      </c>
      <c r="B8" s="214" t="s">
        <v>1477</v>
      </c>
      <c r="C8" s="3495">
        <f ca="1">C9+C10</f>
        <v>1455</v>
      </c>
      <c r="D8" s="221"/>
      <c r="E8" s="219"/>
      <c r="F8" s="220"/>
      <c r="G8" s="1852" t="s">
        <v>6754</v>
      </c>
    </row>
    <row r="9" spans="1:9" s="213" customFormat="1" ht="13.5" customHeight="1">
      <c r="A9" s="775" t="s">
        <v>355</v>
      </c>
      <c r="B9" s="223" t="s">
        <v>1478</v>
      </c>
      <c r="C9" s="3496">
        <f ca="1">ROUND(D9*E9/10000,0)</f>
        <v>0</v>
      </c>
      <c r="D9" s="841">
        <f ca="1">IF(B1="",'数据-汇总表'!E5,IF(INDIRECT("'数据-取费表'!c"&amp;$G$1)="住宅",INDIRECT("'数据-取费表'!k"&amp;$G$1),0))</f>
        <v>0</v>
      </c>
      <c r="E9" s="224">
        <f>'数据-取费表'!B27</f>
        <v>160</v>
      </c>
      <c r="F9" s="220"/>
      <c r="G9" s="1853" t="s">
        <v>6756</v>
      </c>
      <c r="H9" s="1133">
        <v>0</v>
      </c>
      <c r="I9" s="1854" t="s">
        <v>1479</v>
      </c>
    </row>
    <row r="10" spans="1:9" s="213" customFormat="1" ht="13.5" customHeight="1">
      <c r="A10" s="775" t="s">
        <v>356</v>
      </c>
      <c r="B10" s="223" t="s">
        <v>1480</v>
      </c>
      <c r="C10" s="3496">
        <f ca="1">ROUND(D10*E10/10000,0)</f>
        <v>1455</v>
      </c>
      <c r="D10" s="841">
        <f ca="1">IF(B1="",'数据-汇总表'!E6,IF(INDIRECT("'数据-取费表'!c"&amp;$G$1)="住宅",INDIRECT("'数据-取费表'!s"&amp;$G$1),INDIRECT("'数据-取费表'!k"&amp;$G$1)+INDIRECT("'数据-取费表'!s"&amp;$G$1)))</f>
        <v>72769</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72769</v>
      </c>
      <c r="E19" s="210">
        <f>'数据-取费表'!B31</f>
        <v>200</v>
      </c>
      <c r="F19" s="230"/>
      <c r="G19" s="1852" t="s">
        <v>6755</v>
      </c>
    </row>
    <row r="20" spans="1:7" s="213" customFormat="1" ht="13.5" customHeight="1">
      <c r="A20" s="254" t="s">
        <v>1493</v>
      </c>
      <c r="B20" s="209" t="s">
        <v>1494</v>
      </c>
      <c r="C20" s="231">
        <f ca="1">ROUND((C5+C19)*F20,0)</f>
        <v>150</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0">
        <f ca="1">ROUND(SUM(C23:C25),0)</f>
        <v>592</v>
      </c>
      <c r="D22" s="234">
        <f ca="1">C26</f>
        <v>1.1999999999999999E-3</v>
      </c>
      <c r="E22" s="235" t="s">
        <v>1498</v>
      </c>
      <c r="F22" s="236">
        <f ca="1">'数据-取费表'!B40</f>
        <v>4.7500000000000001E-2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585</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7</v>
      </c>
      <c r="D25" s="237"/>
      <c r="E25" s="240"/>
      <c r="F25" s="238"/>
      <c r="G25" s="241" t="s">
        <v>1510</v>
      </c>
    </row>
    <row r="26" spans="1:7" s="213" customFormat="1">
      <c r="A26" s="776"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308</v>
      </c>
      <c r="D27" s="234">
        <f ca="1">C29</f>
        <v>1.2999999999999999E-3</v>
      </c>
      <c r="E27" s="235" t="s">
        <v>1498</v>
      </c>
      <c r="F27" s="245">
        <f ca="1">IF(B1="",'数据-取费表'!Q16,INDIRECT("'数据-取费表'!q"&amp;$G$1))</f>
        <v>0.05</v>
      </c>
      <c r="G27" s="246" t="s">
        <v>1515</v>
      </c>
    </row>
    <row r="28" spans="1:7" s="213" customFormat="1" ht="13.5" customHeight="1">
      <c r="A28" s="776" t="s">
        <v>346</v>
      </c>
      <c r="B28" s="247" t="s">
        <v>1516</v>
      </c>
      <c r="C28" s="248">
        <f ca="1">ROUND((C5+C19+C20)*F27*'数据-取费表'!B21/'数据-取费表'!B20,0)</f>
        <v>308</v>
      </c>
      <c r="D28" s="234"/>
      <c r="E28" s="235"/>
      <c r="F28" s="245"/>
      <c r="G28" s="246"/>
    </row>
    <row r="29" spans="1:7" s="213" customFormat="1" ht="13.5" customHeight="1">
      <c r="A29" s="776" t="s">
        <v>347</v>
      </c>
      <c r="B29" s="247" t="s">
        <v>1517</v>
      </c>
      <c r="C29" s="237">
        <f ca="1">ROUND(C21*F27*'数据-取费表'!B21/'数据-取费表'!B20,4)</f>
        <v>1.2999999999999999E-3</v>
      </c>
      <c r="D29" s="234"/>
      <c r="E29" s="235"/>
      <c r="F29" s="245"/>
      <c r="G29" s="246"/>
    </row>
    <row r="30" spans="1:7" s="213" customFormat="1" ht="13.5" customHeight="1">
      <c r="A30" s="254" t="s">
        <v>1518</v>
      </c>
      <c r="B30" s="209" t="s">
        <v>1519</v>
      </c>
      <c r="C30" s="234">
        <f>ROUND(F30/(1+'数据-取费表'!C42),4)</f>
        <v>5.2400000000000002E-2</v>
      </c>
      <c r="D30" s="235" t="s">
        <v>1498</v>
      </c>
      <c r="E30" s="240"/>
      <c r="F30" s="236">
        <f>'数据-取费表'!B41</f>
        <v>5.5000000000000007E-2</v>
      </c>
      <c r="G30" s="233" t="s">
        <v>1520</v>
      </c>
    </row>
    <row r="31" spans="1:7" ht="16.5" customHeight="1">
      <c r="A31" s="208">
        <v>1</v>
      </c>
      <c r="B31" s="209" t="s">
        <v>1521</v>
      </c>
      <c r="C31" s="210">
        <f ca="1">ROUND((C5+C19+C20+C22+C27)/(1-C21-D22-D27-C30),0)</f>
        <v>7677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33329</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29108</v>
      </c>
      <c r="D34" s="216"/>
      <c r="E34" s="219"/>
      <c r="F34" s="256">
        <f ca="1">IF('数据-取费表'!B24=0,1,IF(B1="",'数据-取费表'!N16,INDIRECT("'数据-取费表'!n"&amp;$G$1)))</f>
        <v>1</v>
      </c>
      <c r="G34" s="218" t="s">
        <v>1526</v>
      </c>
    </row>
    <row r="35" spans="1:7" ht="13.5" customHeight="1">
      <c r="A35" s="776" t="s">
        <v>351</v>
      </c>
      <c r="B35" s="214" t="s">
        <v>1527</v>
      </c>
      <c r="C35" s="219">
        <f ca="1">ROUND(C34*F35,0)</f>
        <v>2329</v>
      </c>
      <c r="D35" s="219"/>
      <c r="E35" s="219"/>
      <c r="F35" s="258">
        <f>'数据-取费表'!B33</f>
        <v>0.08</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0.1</v>
      </c>
      <c r="G36" s="259" t="s">
        <v>1530</v>
      </c>
    </row>
    <row r="37" spans="1:7" s="257" customFormat="1" ht="13.5" customHeight="1">
      <c r="A37" s="776" t="s">
        <v>353</v>
      </c>
      <c r="B37" s="214" t="s">
        <v>1531</v>
      </c>
      <c r="C37" s="248">
        <f ca="1">ROUND(E37*D37*F34/10000,0)</f>
        <v>1455</v>
      </c>
      <c r="D37" s="216">
        <f ca="1">D19</f>
        <v>72769</v>
      </c>
      <c r="E37" s="248">
        <f>'数据-取费表'!B35</f>
        <v>200</v>
      </c>
      <c r="F37" s="258"/>
      <c r="G37" s="260" t="s">
        <v>1532</v>
      </c>
    </row>
    <row r="38" spans="1:7" ht="13.5" customHeight="1">
      <c r="A38" s="776" t="s">
        <v>354</v>
      </c>
      <c r="B38" s="214" t="s">
        <v>1533</v>
      </c>
      <c r="C38" s="219">
        <f ca="1">ROUND(C34*F38,0)</f>
        <v>437</v>
      </c>
      <c r="D38" s="219"/>
      <c r="E38" s="219"/>
      <c r="F38" s="258">
        <f>'数据-取费表'!B36</f>
        <v>1.4999999999999999E-2</v>
      </c>
      <c r="G38" s="218" t="s">
        <v>1528</v>
      </c>
    </row>
    <row r="39" spans="1:7" s="213" customFormat="1" ht="13.5" customHeight="1">
      <c r="A39" s="254" t="s">
        <v>1491</v>
      </c>
      <c r="B39" s="209" t="s">
        <v>1494</v>
      </c>
      <c r="C39" s="231">
        <f ca="1">ROUND(C33*F20,0)</f>
        <v>833</v>
      </c>
      <c r="D39" s="231"/>
      <c r="E39" s="231"/>
      <c r="F39" s="232">
        <f>F20</f>
        <v>2.5000000000000001E-2</v>
      </c>
      <c r="G39" s="233" t="s">
        <v>1536</v>
      </c>
    </row>
    <row r="40" spans="1:7" s="213" customFormat="1" ht="13.5" customHeight="1">
      <c r="A40" s="254" t="s">
        <v>1493</v>
      </c>
      <c r="B40" s="209" t="s">
        <v>1497</v>
      </c>
      <c r="C40" s="1323">
        <f>F21</f>
        <v>2.5000000000000001E-2</v>
      </c>
      <c r="D40" s="235" t="s">
        <v>1539</v>
      </c>
      <c r="E40" s="231"/>
      <c r="F40" s="232">
        <f>F21</f>
        <v>2.5000000000000001E-2</v>
      </c>
      <c r="G40" s="233" t="s">
        <v>1540</v>
      </c>
    </row>
    <row r="41" spans="1:7" s="213" customFormat="1" ht="13.5" customHeight="1">
      <c r="A41" s="254" t="s">
        <v>1496</v>
      </c>
      <c r="B41" s="209" t="s">
        <v>1501</v>
      </c>
      <c r="C41" s="231">
        <f ca="1">ROUND(SUM(C42:C43),0)</f>
        <v>1623</v>
      </c>
      <c r="D41" s="234">
        <f ca="1">C44</f>
        <v>1.1999999999999999E-3</v>
      </c>
      <c r="E41" s="235" t="s">
        <v>1539</v>
      </c>
      <c r="F41" s="236">
        <f ca="1">F22</f>
        <v>4.7500000000000001E-2</v>
      </c>
      <c r="G41" s="233" t="str">
        <f>IF('数据-取费表'!B22&lt;=1,"单利计息","复利计息")</f>
        <v>复利计息</v>
      </c>
    </row>
    <row r="42" spans="1:7" ht="13.5" customHeight="1">
      <c r="A42" s="776" t="s">
        <v>346</v>
      </c>
      <c r="B42" s="214" t="s">
        <v>1503</v>
      </c>
      <c r="C42" s="237">
        <f ca="1">ROUND(IF('数据-取费表'!B22&lt;=1,C33*F22*'数据-取费表'!B21/2,C33*(POWER((1+F22),'数据-取费表'!B21/2)-1)),0)</f>
        <v>1583</v>
      </c>
      <c r="D42" s="237"/>
      <c r="E42" s="237"/>
      <c r="F42" s="238"/>
      <c r="G42" s="3802" t="s">
        <v>1544</v>
      </c>
    </row>
    <row r="43" spans="1:7" ht="13.5" customHeight="1">
      <c r="A43" s="776" t="s">
        <v>347</v>
      </c>
      <c r="B43" s="214" t="s">
        <v>1506</v>
      </c>
      <c r="C43" s="237">
        <f ca="1">ROUND(IF('数据-取费表'!B22&lt;=1,C39*F22*'数据-取费表'!B21/2,C39*(POWER((1+F22),'数据-取费表'!B21/2)-1)),0)</f>
        <v>40</v>
      </c>
      <c r="D43" s="237"/>
      <c r="E43" s="237"/>
      <c r="F43" s="238"/>
      <c r="G43" s="3803"/>
    </row>
    <row r="44" spans="1:7" ht="13.5" customHeight="1">
      <c r="A44" s="776" t="s">
        <v>348</v>
      </c>
      <c r="B44" s="214" t="s">
        <v>1509</v>
      </c>
      <c r="C44" s="237">
        <f ca="1">ROUND(IF('数据-取费表'!B22&lt;=1,C40*F22*'数据-取费表'!B21/2,C40*(POWER((1+F22),'数据-取费表'!B21/2)-1)),4)</f>
        <v>1.1999999999999999E-3</v>
      </c>
      <c r="D44" s="237"/>
      <c r="E44" s="237"/>
      <c r="F44" s="238"/>
      <c r="G44" s="3804"/>
    </row>
    <row r="45" spans="1:7" s="213" customFormat="1" ht="13.5" customHeight="1">
      <c r="A45" s="254" t="s">
        <v>1500</v>
      </c>
      <c r="B45" s="243" t="s">
        <v>1513</v>
      </c>
      <c r="C45" s="244">
        <f ca="1">C46</f>
        <v>1708</v>
      </c>
      <c r="D45" s="234">
        <f ca="1">C47</f>
        <v>1.2999999999999999E-3</v>
      </c>
      <c r="E45" s="235" t="s">
        <v>1539</v>
      </c>
      <c r="F45" s="245">
        <f ca="1">F27</f>
        <v>0.05</v>
      </c>
      <c r="G45" s="246" t="s">
        <v>1548</v>
      </c>
    </row>
    <row r="46" spans="1:7" s="213" customFormat="1" ht="13.5" customHeight="1">
      <c r="A46" s="776" t="s">
        <v>346</v>
      </c>
      <c r="B46" s="247" t="s">
        <v>1549</v>
      </c>
      <c r="C46" s="248">
        <f ca="1">ROUND((C33+C39)*F27,0)</f>
        <v>1708</v>
      </c>
      <c r="D46" s="262"/>
      <c r="E46" s="235"/>
      <c r="F46" s="245"/>
      <c r="G46" s="246"/>
    </row>
    <row r="47" spans="1:7" s="213" customFormat="1" ht="13.5" customHeight="1">
      <c r="A47" s="776" t="s">
        <v>347</v>
      </c>
      <c r="B47" s="247" t="s">
        <v>1550</v>
      </c>
      <c r="C47" s="237">
        <f ca="1">ROUND(C40*F27,4)</f>
        <v>1.2999999999999999E-3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40749</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39934</v>
      </c>
      <c r="D51" s="231"/>
      <c r="E51" s="231"/>
      <c r="F51" s="263"/>
      <c r="G51" s="233" t="s">
        <v>1560</v>
      </c>
    </row>
    <row r="52" spans="1:7" s="207" customFormat="1" ht="16.5" thickBot="1">
      <c r="A52" s="264" t="s">
        <v>1561</v>
      </c>
      <c r="B52" s="265"/>
      <c r="C52" s="266">
        <f ca="1">C31+C51</f>
        <v>47611</v>
      </c>
      <c r="D52" s="265"/>
      <c r="E52" s="265"/>
      <c r="F52" s="265"/>
      <c r="G52" s="267"/>
    </row>
    <row r="55" spans="1:7" ht="15">
      <c r="B55" s="269" t="s">
        <v>1562</v>
      </c>
      <c r="C55" s="270"/>
    </row>
    <row r="56" spans="1:7">
      <c r="B56" s="272" t="s">
        <v>802</v>
      </c>
      <c r="C56" s="274">
        <f ca="1">1-C57</f>
        <v>0.16100000000000003</v>
      </c>
    </row>
    <row r="57" spans="1:7">
      <c r="B57" s="272" t="s">
        <v>803</v>
      </c>
      <c r="C57" s="273">
        <f ca="1">ROUND(C51/C52,3)</f>
        <v>0.83899999999999997</v>
      </c>
    </row>
  </sheetData>
  <sheetProtection algorithmName="SHA-512" hashValue="A7h8NliqiJMSJRHb2Zeictb6sd8CoCXZUC2cCs15E+hDNtKPx5PlFN3C3sRkr29nolxxRGJ/vzzJHzVYb3KYQg==" saltValue="aiK1BEYGiCQt4cAktOSXbg==" spinCount="100000"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K83"/>
  <sheetViews>
    <sheetView view="pageBreakPreview" zoomScale="90" zoomScaleNormal="70" zoomScaleSheetLayoutView="90" workbookViewId="0">
      <selection activeCell="E24" sqref="E2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3400</v>
      </c>
      <c r="D1" s="1358" t="s">
        <v>43</v>
      </c>
      <c r="E1" s="1359" t="s">
        <v>678</v>
      </c>
      <c r="F1" s="1058">
        <f ca="1">J53</f>
        <v>43.97</v>
      </c>
      <c r="G1" s="1374">
        <f>MATCH(C1,'数据-取费表'!A6:A16,0)+5</f>
        <v>11</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2266</v>
      </c>
      <c r="C2" s="1383" t="s">
        <v>805</v>
      </c>
      <c r="D2" s="1383"/>
      <c r="E2" s="1384"/>
      <c r="F2" s="1385"/>
      <c r="G2" s="2702"/>
      <c r="H2" s="2691"/>
      <c r="I2" s="2691"/>
      <c r="J2" s="2691"/>
      <c r="K2" s="2692"/>
      <c r="L2" s="2691"/>
      <c r="M2" s="2691"/>
    </row>
    <row r="3" spans="1:37" ht="18" customHeight="1" thickBot="1">
      <c r="A3" s="1386" t="s">
        <v>806</v>
      </c>
      <c r="B3" s="1387">
        <f ca="1">IF(ISERROR(B2*10000/F43),0,ROUND(B2*10000/F43,0))</f>
        <v>311</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1196</v>
      </c>
      <c r="D5" s="1360" t="s">
        <v>693</v>
      </c>
      <c r="E5" s="1067"/>
      <c r="F5" s="1068"/>
      <c r="G5" s="1380"/>
      <c r="H5" s="298">
        <v>1</v>
      </c>
      <c r="I5" s="299" t="s">
        <v>692</v>
      </c>
      <c r="J5" s="1066">
        <f ca="1">J6+J10+J12</f>
        <v>0</v>
      </c>
      <c r="K5" s="1360" t="s">
        <v>693</v>
      </c>
      <c r="L5" s="1067"/>
      <c r="M5" s="1068"/>
    </row>
    <row r="6" spans="1:37" ht="18" customHeight="1">
      <c r="A6" s="1065" t="s">
        <v>398</v>
      </c>
      <c r="B6" s="3831" t="s">
        <v>694</v>
      </c>
      <c r="C6" s="1070">
        <f ca="1">ROUND(F6*F8*F7*(1-F9)/10000,0)</f>
        <v>1195</v>
      </c>
      <c r="D6" s="154" t="s">
        <v>2109</v>
      </c>
      <c r="E6" s="301" t="s">
        <v>696</v>
      </c>
      <c r="F6" s="302">
        <f ca="1">INDIRECT("'数据-取费表'!u"&amp;$G$1)</f>
        <v>0.5</v>
      </c>
      <c r="G6" s="1380"/>
      <c r="H6" s="1065" t="s">
        <v>398</v>
      </c>
      <c r="I6" s="3831" t="s">
        <v>694</v>
      </c>
      <c r="J6" s="300">
        <f ca="1">ROUND(M6*M8*M7*(1-M9)/10000,0)</f>
        <v>0</v>
      </c>
      <c r="K6" s="154" t="s">
        <v>2108</v>
      </c>
      <c r="L6" s="301" t="s">
        <v>696</v>
      </c>
      <c r="M6" s="302">
        <f ca="1">INDIRECT("'数据-取费表'!z"&amp;$G$1)</f>
        <v>0</v>
      </c>
    </row>
    <row r="7" spans="1:37" ht="18" customHeight="1">
      <c r="A7" s="1069"/>
      <c r="B7" s="3832"/>
      <c r="C7" s="1071"/>
      <c r="D7" s="306"/>
      <c r="E7" s="3468" t="s">
        <v>697</v>
      </c>
      <c r="F7" s="302">
        <f ca="1">IF(INDIRECT("'数据-取费表'!ah"&amp;$G$1)="",INDIRECT("'数据-取费表'!k"&amp;$G$1),INDIRECT("'数据-取费表'!ah"&amp;$G$1))</f>
        <v>72769</v>
      </c>
      <c r="G7" s="1380"/>
      <c r="H7" s="303"/>
      <c r="I7" s="3832"/>
      <c r="J7" s="305"/>
      <c r="K7" s="306"/>
      <c r="L7" s="301" t="s">
        <v>697</v>
      </c>
      <c r="M7" s="302">
        <f ca="1">F7</f>
        <v>72769</v>
      </c>
    </row>
    <row r="8" spans="1:37" ht="18" customHeight="1">
      <c r="A8" s="303"/>
      <c r="B8" s="3832"/>
      <c r="C8" s="305"/>
      <c r="D8" s="306"/>
      <c r="E8" s="301" t="s">
        <v>698</v>
      </c>
      <c r="F8" s="302">
        <f ca="1">INDIRECT("'数据-取费表'!ai"&amp;$G$1)</f>
        <v>365</v>
      </c>
      <c r="G8" s="1380"/>
      <c r="H8" s="303"/>
      <c r="I8" s="3832"/>
      <c r="J8" s="305"/>
      <c r="K8" s="306"/>
      <c r="L8" s="301" t="s">
        <v>698</v>
      </c>
      <c r="M8" s="302">
        <f ca="1">INDIRECT("'数据-取费表'!ai"&amp;$G$1)</f>
        <v>365</v>
      </c>
    </row>
    <row r="9" spans="1:37" ht="18" customHeight="1">
      <c r="A9" s="303"/>
      <c r="B9" s="3833"/>
      <c r="C9" s="305"/>
      <c r="D9" s="306"/>
      <c r="E9" s="301" t="s">
        <v>699</v>
      </c>
      <c r="F9" s="311">
        <f ca="1">INDIRECT("'数据-取费表'!w"&amp;$G$1)</f>
        <v>0.1</v>
      </c>
      <c r="G9" s="1380"/>
      <c r="H9" s="303"/>
      <c r="I9" s="3833"/>
      <c r="J9" s="305"/>
      <c r="K9" s="306"/>
      <c r="L9" s="312" t="s">
        <v>699</v>
      </c>
      <c r="M9" s="313">
        <f ca="1">INDIRECT("'数据-取费表'!ab"&amp;$G$1)</f>
        <v>0</v>
      </c>
    </row>
    <row r="10" spans="1:37" ht="18" customHeight="1">
      <c r="A10" s="1065" t="s">
        <v>402</v>
      </c>
      <c r="B10" s="1361" t="s">
        <v>700</v>
      </c>
      <c r="C10" s="315">
        <f ca="1">ROUND(IF(F10="押一",C6/12*F11,IF(F10="押二",C6/12*2*F11,IF(F10="押三",C6/12*3*F11,C11*F11))),0)</f>
        <v>1</v>
      </c>
      <c r="D10" s="1362" t="s">
        <v>2116</v>
      </c>
      <c r="E10" s="312" t="s">
        <v>701</v>
      </c>
      <c r="F10" s="1112" t="s">
        <v>8713</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39934</v>
      </c>
      <c r="D13" s="3445" t="s">
        <v>705</v>
      </c>
      <c r="E13" s="3445" t="s">
        <v>706</v>
      </c>
      <c r="F13" s="1078">
        <f ca="1">INDIRECT("'数据-取费表'!y"&amp;$G$1)</f>
        <v>0.98</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29108</v>
      </c>
      <c r="D14" s="3457" t="s">
        <v>708</v>
      </c>
      <c r="E14" s="3449"/>
      <c r="F14" s="318"/>
      <c r="G14" s="1380"/>
      <c r="H14" s="978" t="s">
        <v>398</v>
      </c>
      <c r="I14" s="301" t="s">
        <v>709</v>
      </c>
      <c r="J14" s="21">
        <f ca="1">C29</f>
        <v>40749</v>
      </c>
      <c r="K14" s="3466"/>
      <c r="L14" s="803"/>
      <c r="M14" s="804"/>
    </row>
    <row r="15" spans="1:37" s="1393" customFormat="1" ht="18" customHeight="1" thickBot="1">
      <c r="A15" s="978" t="s">
        <v>399</v>
      </c>
      <c r="B15" s="301" t="s">
        <v>710</v>
      </c>
      <c r="C15" s="21">
        <f ca="1">ROUND(C14*F15,0)</f>
        <v>2329</v>
      </c>
      <c r="D15" s="3446" t="s">
        <v>711</v>
      </c>
      <c r="E15" s="3446"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822</v>
      </c>
      <c r="K16" s="1083" t="s">
        <v>715</v>
      </c>
      <c r="L16" s="3460"/>
      <c r="M16" s="1068"/>
    </row>
    <row r="17" spans="1:37" s="1393" customFormat="1" ht="18" customHeight="1">
      <c r="A17" s="978" t="s">
        <v>681</v>
      </c>
      <c r="B17" s="301" t="s">
        <v>716</v>
      </c>
      <c r="C17" s="21">
        <f ca="1">ROUND(F17*(F43+INDIRECT("'数据-取费表'!S"&amp;$G$1))/10000,0)</f>
        <v>1455</v>
      </c>
      <c r="D17" s="301" t="s">
        <v>717</v>
      </c>
      <c r="E17" s="301" t="s">
        <v>718</v>
      </c>
      <c r="F17" s="23">
        <f>'数据-取费表'!B35</f>
        <v>200</v>
      </c>
      <c r="G17" s="1392"/>
      <c r="H17" s="978" t="s">
        <v>398</v>
      </c>
      <c r="I17" s="301" t="s">
        <v>719</v>
      </c>
      <c r="J17" s="2312">
        <f ca="1">ROUND(IF(AND(项目基本情况!B11="自然人",项目基本情况!B10="北京市"),J6*M17/(1+'数据-取费表'!C42),J18+J19+J20),2)</f>
        <v>6.82</v>
      </c>
      <c r="K17" s="3457" t="s">
        <v>720</v>
      </c>
      <c r="L17" s="3455"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437</v>
      </c>
      <c r="D18" s="301" t="s">
        <v>711</v>
      </c>
      <c r="E18" s="301" t="s">
        <v>712</v>
      </c>
      <c r="F18" s="321">
        <f>'数据-取费表'!B36</f>
        <v>1.4999999999999999E-2</v>
      </c>
      <c r="G18" s="1392"/>
      <c r="H18" s="978" t="s">
        <v>397</v>
      </c>
      <c r="I18" s="301" t="s">
        <v>723</v>
      </c>
      <c r="J18" s="21">
        <f ca="1">ROUND(J6*M18/(1+'数据-取费表'!C42),2)</f>
        <v>0</v>
      </c>
      <c r="K18" s="3455"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33329</v>
      </c>
      <c r="D19" s="130" t="s">
        <v>726</v>
      </c>
      <c r="E19" s="3474"/>
      <c r="F19" s="23"/>
      <c r="G19" s="1380"/>
      <c r="H19" s="978" t="s">
        <v>399</v>
      </c>
      <c r="I19" s="301" t="s">
        <v>727</v>
      </c>
      <c r="J19" s="21">
        <f ca="1">IF(K19="按租金收入计税",ROUND(J6*M19/(1+'数据-取费表'!C42),2),ROUND(C29*M19*0.7,2))</f>
        <v>0</v>
      </c>
      <c r="K19" s="1366" t="s">
        <v>3340</v>
      </c>
      <c r="L19" s="301" t="s">
        <v>712</v>
      </c>
      <c r="M19" s="321">
        <f>IF(K19="按租金收入计税",'数据-取费表'!B51,'数据-取费表'!B50)</f>
        <v>0.12</v>
      </c>
    </row>
    <row r="20" spans="1:37" s="1393" customFormat="1" ht="18" customHeight="1">
      <c r="A20" s="978" t="s">
        <v>402</v>
      </c>
      <c r="B20" s="301" t="s">
        <v>728</v>
      </c>
      <c r="C20" s="21">
        <f ca="1">ROUND(C19*F20,0)</f>
        <v>833</v>
      </c>
      <c r="D20" s="2424" t="s">
        <v>729</v>
      </c>
      <c r="E20" s="301" t="s">
        <v>712</v>
      </c>
      <c r="F20" s="321">
        <f>'数据-取费表'!B37</f>
        <v>2.5000000000000001E-2</v>
      </c>
      <c r="G20" s="1392"/>
      <c r="H20" s="978" t="s">
        <v>680</v>
      </c>
      <c r="I20" s="154" t="s">
        <v>730</v>
      </c>
      <c r="J20" s="22">
        <f ca="1">ROUND(M20*M21/10000,2)</f>
        <v>6.82</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2424" t="s">
        <v>734</v>
      </c>
      <c r="E21" s="301" t="s">
        <v>735</v>
      </c>
      <c r="F21" s="321">
        <f>'数据-取费表'!B38</f>
        <v>2.5000000000000001E-2</v>
      </c>
      <c r="G21" s="1392"/>
      <c r="H21" s="325"/>
      <c r="I21" s="310"/>
      <c r="J21" s="26"/>
      <c r="K21" s="326"/>
      <c r="L21" s="301" t="s">
        <v>736</v>
      </c>
      <c r="M21" s="302">
        <f ca="1">INDIRECT("'数据-取费表'!r"&amp;$G$1)</f>
        <v>45480.63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74"/>
      <c r="F22" s="23"/>
      <c r="G22" s="1380"/>
      <c r="H22" s="978" t="s">
        <v>402</v>
      </c>
      <c r="I22" s="301" t="s">
        <v>738</v>
      </c>
      <c r="J22" s="21">
        <f ca="1">ROUND(J14*M22,2)</f>
        <v>814.98</v>
      </c>
      <c r="K22" s="3455" t="s">
        <v>739</v>
      </c>
      <c r="L22" s="301" t="s">
        <v>712</v>
      </c>
      <c r="M22" s="327">
        <f ca="1">INDIRECT("'数据-取费表'!Ak"&amp;$G$1)</f>
        <v>0.02</v>
      </c>
    </row>
    <row r="23" spans="1:37" s="1393" customFormat="1" ht="18" customHeight="1">
      <c r="A23" s="978" t="s">
        <v>397</v>
      </c>
      <c r="B23" s="301" t="s">
        <v>740</v>
      </c>
      <c r="C23" s="21">
        <f ca="1">IF('数据-取费表'!B22&lt;=1,ROUND(C19*F24*F23/2,0)+ROUND(C20*F24*F23/2,0),ROUND(C19*(POWER((1+F24),F23/2)-1),0)+ROUND(C20*(POWER((1+F24),F23/2)-1),0))</f>
        <v>1623</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3455" t="s">
        <v>743</v>
      </c>
      <c r="L23" s="301" t="s">
        <v>712</v>
      </c>
      <c r="M23" s="329">
        <f ca="1">INDIRECT("'数据-取费表'!Al"&amp;$G$1)</f>
        <v>2E-3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4.7500000000000001E-2</v>
      </c>
      <c r="G24" s="1392"/>
      <c r="H24" s="1085" t="s">
        <v>683</v>
      </c>
      <c r="I24" s="1086" t="s">
        <v>728</v>
      </c>
      <c r="J24" s="1087">
        <f ca="1">ROUND(J5*M24,2)</f>
        <v>0</v>
      </c>
      <c r="K24" s="1088" t="s">
        <v>748</v>
      </c>
      <c r="L24" s="1086" t="s">
        <v>712</v>
      </c>
      <c r="M24" s="1082">
        <f ca="1">INDIRECT("'数据-取费表'!Am"&amp;$G$1)</f>
        <v>0.02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3474"/>
      <c r="F25" s="23"/>
      <c r="G25" s="1380"/>
      <c r="H25" s="1075" t="s">
        <v>394</v>
      </c>
      <c r="I25" s="1090" t="s">
        <v>752</v>
      </c>
      <c r="J25" s="309">
        <f ca="1">J5-J16</f>
        <v>-822</v>
      </c>
      <c r="K25" s="1091" t="s">
        <v>753</v>
      </c>
      <c r="L25" s="1092"/>
      <c r="M25" s="1093"/>
    </row>
    <row r="26" spans="1:37">
      <c r="A26" s="978" t="s">
        <v>397</v>
      </c>
      <c r="B26" s="301" t="s">
        <v>754</v>
      </c>
      <c r="C26" s="21">
        <f ca="1">ROUND((C19+C20)*F26,0)</f>
        <v>1708</v>
      </c>
      <c r="D26" s="2424" t="s">
        <v>755</v>
      </c>
      <c r="E26" s="312" t="s">
        <v>756</v>
      </c>
      <c r="F26" s="311">
        <f ca="1">INDIRECT("'数据-取费表'!q"&amp;$G$1)</f>
        <v>0.05</v>
      </c>
      <c r="G26" s="1380"/>
      <c r="H26" s="298" t="s">
        <v>395</v>
      </c>
      <c r="I26" s="299" t="s">
        <v>757</v>
      </c>
      <c r="J26" s="300">
        <f ca="1">IF(J5&lt;&gt;0,ROUND(J25*(1-((1+M28)/(1+M26))^M27)/(M26-M28),0),0)</f>
        <v>0</v>
      </c>
      <c r="K26" s="323" t="s">
        <v>758</v>
      </c>
      <c r="L26" s="301" t="s">
        <v>759</v>
      </c>
      <c r="M26" s="311">
        <f ca="1">INDIRECT("'数据-取费表'!I"&amp;$G$1)</f>
        <v>0.04</v>
      </c>
    </row>
    <row r="27" spans="1:37" ht="18" customHeight="1">
      <c r="A27" s="978" t="s">
        <v>399</v>
      </c>
      <c r="B27" s="301" t="s">
        <v>760</v>
      </c>
      <c r="C27" s="21">
        <f ca="1">ROUND(F21*F26,4)</f>
        <v>1.2999999999999999E-3</v>
      </c>
      <c r="D27" s="2424" t="s">
        <v>761</v>
      </c>
      <c r="E27" s="3446"/>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5.2400000000000002E-2</v>
      </c>
      <c r="D28" s="2424"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40749</v>
      </c>
      <c r="D29" s="1088"/>
      <c r="E29" s="1086"/>
      <c r="F29" s="1089"/>
      <c r="G29" s="1392"/>
      <c r="H29" s="333" t="s">
        <v>396</v>
      </c>
      <c r="I29" s="334" t="s">
        <v>768</v>
      </c>
      <c r="J29" s="335">
        <f ca="1">ROUND(J26/(1+F40)^F41,0)</f>
        <v>0</v>
      </c>
      <c r="K29" s="336" t="s">
        <v>769</v>
      </c>
      <c r="L29" s="337"/>
      <c r="M29" s="338">
        <f ca="1">INDIRECT("'数据-取费表'!k"&amp;$G$1)</f>
        <v>72769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1125</v>
      </c>
      <c r="D30" s="1083" t="s">
        <v>715</v>
      </c>
      <c r="E30" s="3460"/>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205.99</v>
      </c>
      <c r="D31" s="3457" t="s">
        <v>720</v>
      </c>
      <c r="E31" s="3455"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62.6</v>
      </c>
      <c r="D32" s="3455" t="s">
        <v>724</v>
      </c>
      <c r="E32" s="301" t="s">
        <v>712</v>
      </c>
      <c r="F32" s="330">
        <f>'数据-取费表'!B41</f>
        <v>5.5000000000000007E-2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136.57</v>
      </c>
      <c r="D33" s="1366" t="s">
        <v>3340</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6.82</v>
      </c>
      <c r="D34" s="323" t="s">
        <v>731</v>
      </c>
      <c r="E34" s="301" t="s">
        <v>732</v>
      </c>
      <c r="F34" s="324">
        <f>'数据-取费表'!B52</f>
        <v>1.5</v>
      </c>
      <c r="G34" s="1380"/>
      <c r="H34" s="2693"/>
      <c r="I34" s="1394"/>
      <c r="J34" s="1395"/>
      <c r="K34" s="2698"/>
      <c r="L34" s="2699"/>
      <c r="M34" s="2699"/>
    </row>
    <row r="35" spans="1:18" ht="18" customHeight="1">
      <c r="A35" s="1099"/>
      <c r="B35" s="1097"/>
      <c r="C35" s="26"/>
      <c r="D35" s="326"/>
      <c r="E35" s="301" t="s">
        <v>736</v>
      </c>
      <c r="F35" s="302">
        <f ca="1">INDIRECT("'数据-取费表'!r"&amp;$G$1)</f>
        <v>45480.63</v>
      </c>
      <c r="G35" s="1380"/>
      <c r="H35" s="2693"/>
      <c r="I35" s="1394"/>
      <c r="J35" s="1395"/>
      <c r="K35" s="2697"/>
      <c r="L35" s="2696"/>
      <c r="M35" s="2696"/>
    </row>
    <row r="36" spans="1:18" ht="18" customHeight="1">
      <c r="A36" s="1098" t="s">
        <v>402</v>
      </c>
      <c r="B36" s="301" t="s">
        <v>738</v>
      </c>
      <c r="C36" s="21">
        <f ca="1">ROUND(C29*F36,2)</f>
        <v>814.98</v>
      </c>
      <c r="D36" s="3455" t="s">
        <v>771</v>
      </c>
      <c r="E36" s="301" t="s">
        <v>712</v>
      </c>
      <c r="F36" s="327">
        <f ca="1">INDIRECT("'数据-取费表'!Ak"&amp;$G$1)</f>
        <v>0.02</v>
      </c>
      <c r="G36" s="1380"/>
      <c r="H36" s="2696"/>
      <c r="I36" s="1394"/>
      <c r="J36" s="1395"/>
      <c r="K36" s="2540"/>
      <c r="L36" s="2696"/>
      <c r="M36" s="2696"/>
    </row>
    <row r="37" spans="1:18" ht="18" customHeight="1">
      <c r="A37" s="978" t="s">
        <v>437</v>
      </c>
      <c r="B37" s="301" t="s">
        <v>742</v>
      </c>
      <c r="C37" s="21">
        <f ca="1">ROUND(C13*F37,2)</f>
        <v>79.87</v>
      </c>
      <c r="D37" s="3455" t="s">
        <v>743</v>
      </c>
      <c r="E37" s="301" t="s">
        <v>712</v>
      </c>
      <c r="F37" s="329">
        <f ca="1">INDIRECT("'数据-取费表'!Al"&amp;$G$1)</f>
        <v>2E-3</v>
      </c>
      <c r="G37" s="1380"/>
      <c r="H37" s="2696"/>
      <c r="I37" s="1394"/>
      <c r="J37" s="1395"/>
      <c r="K37" s="2540"/>
      <c r="L37" s="2696"/>
      <c r="M37" s="2696"/>
    </row>
    <row r="38" spans="1:18" ht="18" customHeight="1" thickBot="1">
      <c r="A38" s="1085" t="s">
        <v>683</v>
      </c>
      <c r="B38" s="1086" t="s">
        <v>728</v>
      </c>
      <c r="C38" s="1087">
        <f ca="1">ROUND(C5*F38,2)</f>
        <v>23.92</v>
      </c>
      <c r="D38" s="1088" t="s">
        <v>748</v>
      </c>
      <c r="E38" s="1086" t="s">
        <v>712</v>
      </c>
      <c r="F38" s="1082">
        <f ca="1">INDIRECT("'数据-取费表'!Am"&amp;$G$1)</f>
        <v>0.02</v>
      </c>
      <c r="G38" s="1380"/>
      <c r="H38" s="2696"/>
      <c r="I38" s="1394"/>
      <c r="J38" s="1395"/>
      <c r="K38" s="2700"/>
      <c r="L38" s="2696"/>
      <c r="M38" s="2696"/>
    </row>
    <row r="39" spans="1:18" ht="24.6" customHeight="1" thickTop="1">
      <c r="A39" s="1075" t="s">
        <v>394</v>
      </c>
      <c r="B39" s="1090" t="s">
        <v>752</v>
      </c>
      <c r="C39" s="309">
        <f ca="1">C5-C30</f>
        <v>71</v>
      </c>
      <c r="D39" s="1091" t="s">
        <v>753</v>
      </c>
      <c r="E39" s="1092"/>
      <c r="F39" s="1093"/>
      <c r="G39" s="1380"/>
      <c r="H39" s="2696"/>
      <c r="I39" s="1394"/>
      <c r="J39" s="1395"/>
      <c r="K39" s="2700"/>
      <c r="L39" s="2696"/>
      <c r="M39" s="2696"/>
    </row>
    <row r="40" spans="1:18" ht="18" customHeight="1">
      <c r="A40" s="298" t="s">
        <v>395</v>
      </c>
      <c r="B40" s="299" t="s">
        <v>774</v>
      </c>
      <c r="C40" s="300">
        <f ca="1">ROUND(C39*(1-((1+F42)/(1+F40))^F41)/(F40-F42),0)</f>
        <v>1713</v>
      </c>
      <c r="D40" s="323" t="s">
        <v>758</v>
      </c>
      <c r="E40" s="301" t="s">
        <v>759</v>
      </c>
      <c r="F40" s="311">
        <f ca="1">INDIRECT("'数据-取费表'!I"&amp;$G$1)</f>
        <v>0.04</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43.97</v>
      </c>
      <c r="G41" s="1380"/>
      <c r="H41" s="1187"/>
      <c r="I41" s="1394"/>
      <c r="J41" s="1395"/>
      <c r="K41" s="2540"/>
      <c r="L41" s="1187"/>
      <c r="M41" s="1187"/>
    </row>
    <row r="42" spans="1:18" ht="18" customHeight="1">
      <c r="A42" s="307"/>
      <c r="B42" s="308"/>
      <c r="C42" s="309"/>
      <c r="D42" s="326"/>
      <c r="E42" s="301" t="s">
        <v>766</v>
      </c>
      <c r="F42" s="311">
        <f ca="1">INDIRECT("'数据-取费表'!v"&amp;$G$1)</f>
        <v>0.01</v>
      </c>
      <c r="G42" s="1380"/>
      <c r="H42" s="1187"/>
      <c r="I42" s="1394"/>
      <c r="J42" s="1395"/>
      <c r="K42" s="2540"/>
      <c r="L42" s="1187"/>
      <c r="M42" s="1187"/>
    </row>
    <row r="43" spans="1:18" ht="18" customHeight="1" thickBot="1">
      <c r="A43" s="333" t="s">
        <v>396</v>
      </c>
      <c r="B43" s="334" t="s">
        <v>776</v>
      </c>
      <c r="C43" s="335">
        <f ca="1">ROUND(C40*10000/F43,0)</f>
        <v>235</v>
      </c>
      <c r="D43" s="336" t="s">
        <v>777</v>
      </c>
      <c r="E43" s="337" t="s">
        <v>778</v>
      </c>
      <c r="F43" s="338">
        <f ca="1">INDIRECT("'数据-取费表'!k"&amp;$G$1)</f>
        <v>72769</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f ca="1">C68-C40</f>
        <v>-20243</v>
      </c>
      <c r="D46" s="1402" t="str">
        <f>C2</f>
        <v>万元</v>
      </c>
      <c r="E46" s="1396"/>
      <c r="F46" s="1396"/>
      <c r="I46" s="1403" t="s">
        <v>810</v>
      </c>
      <c r="J46" s="1404"/>
      <c r="K46" s="1405"/>
      <c r="L46" s="1406">
        <f ca="1">IF(M47="住宅",0,IF(L48&gt;J51,L60,J60))</f>
        <v>553</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t="s">
        <v>8714</v>
      </c>
      <c r="K47" s="1412" t="s">
        <v>816</v>
      </c>
      <c r="L47" s="1413">
        <f ca="1">INDIRECT("'数据-取费表'!d"&amp;$G$1)</f>
        <v>50</v>
      </c>
      <c r="M47" s="1376" t="str">
        <f>IF(ISNUMBER(FIND("住宅",C1)),"住宅","非住宅")</f>
        <v>非住宅</v>
      </c>
      <c r="O47" s="1414" t="s">
        <v>403</v>
      </c>
      <c r="P47" s="1415" t="s">
        <v>817</v>
      </c>
      <c r="Q47" s="1416">
        <f ca="1">C40+J29</f>
        <v>1713</v>
      </c>
      <c r="R47" s="1416" t="s">
        <v>818</v>
      </c>
    </row>
    <row r="48" spans="1:18" s="1380" customFormat="1" ht="28.5" thickBot="1">
      <c r="A48" s="1106" t="s">
        <v>438</v>
      </c>
      <c r="B48" s="299" t="s">
        <v>692</v>
      </c>
      <c r="C48" s="3473">
        <f ca="1">C49+C53+C55</f>
        <v>0</v>
      </c>
      <c r="D48" s="1108"/>
      <c r="E48" s="1109"/>
      <c r="F48" s="958"/>
      <c r="G48" s="720"/>
      <c r="H48" s="721"/>
      <c r="I48" s="1417" t="s">
        <v>819</v>
      </c>
      <c r="J48" s="1418" t="s">
        <v>8715</v>
      </c>
      <c r="K48" s="1419" t="s">
        <v>820</v>
      </c>
      <c r="L48" s="1420">
        <f ca="1">INDIRECT("'数据-取费表'!f"&amp;$G$1)</f>
        <v>43.97</v>
      </c>
      <c r="O48" s="1414" t="s">
        <v>404</v>
      </c>
      <c r="P48" s="1415" t="s">
        <v>821</v>
      </c>
      <c r="Q48" s="1416">
        <f ca="1">J60</f>
        <v>553</v>
      </c>
      <c r="R48" s="1416" t="s">
        <v>822</v>
      </c>
    </row>
    <row r="49" spans="1:18" s="1380" customFormat="1" ht="13.5" thickBot="1">
      <c r="A49" s="971" t="s">
        <v>439</v>
      </c>
      <c r="B49" s="1367" t="s">
        <v>779</v>
      </c>
      <c r="C49" s="1110">
        <f ca="1">ROUND(F49*F51*F50*(1-F52)/10000,0)</f>
        <v>0</v>
      </c>
      <c r="D49" s="1051" t="s">
        <v>2108</v>
      </c>
      <c r="E49" s="1368" t="s">
        <v>780</v>
      </c>
      <c r="F49" s="1056"/>
      <c r="G49" s="1421"/>
      <c r="H49" s="721"/>
      <c r="I49" s="1417" t="s">
        <v>823</v>
      </c>
      <c r="J49" s="1422">
        <v>2022</v>
      </c>
      <c r="K49" s="1419" t="s">
        <v>824</v>
      </c>
      <c r="L49" s="1423"/>
      <c r="O49" s="1424" t="s">
        <v>405</v>
      </c>
      <c r="P49" s="1415" t="s">
        <v>825</v>
      </c>
      <c r="Q49" s="1416">
        <f ca="1">C29</f>
        <v>40749</v>
      </c>
      <c r="R49" s="1416" t="s">
        <v>818</v>
      </c>
    </row>
    <row r="50" spans="1:18" s="1380" customFormat="1" ht="13.5" thickBot="1">
      <c r="A50" s="972"/>
      <c r="B50" s="975"/>
      <c r="C50" s="1114"/>
      <c r="D50" s="949"/>
      <c r="E50" s="1052" t="s">
        <v>697</v>
      </c>
      <c r="F50" s="1053">
        <f ca="1">F7</f>
        <v>72769</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2">
        <f ca="1">F8</f>
        <v>365</v>
      </c>
      <c r="I51" s="1428" t="s">
        <v>829</v>
      </c>
      <c r="J51" s="1429">
        <f>IF(J49="",J50,J49+J50-YEAR('数据-取费表'!B2))</f>
        <v>59</v>
      </c>
      <c r="K51" s="1430" t="s">
        <v>830</v>
      </c>
      <c r="L51" s="1431">
        <f ca="1">ROUND(-PV(INDIRECT("'数据-取费表'!h"&amp;$G$1),J51,(C39-C13*C76),0),0)</f>
        <v>-65874</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43.97</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43.97</v>
      </c>
      <c r="K53" s="3834" t="s">
        <v>837</v>
      </c>
      <c r="L53" s="3835"/>
      <c r="O53" s="1414" t="s">
        <v>409</v>
      </c>
      <c r="P53" s="1415" t="s">
        <v>838</v>
      </c>
      <c r="Q53" s="1416">
        <f ca="1">Q47+Q48</f>
        <v>2266</v>
      </c>
      <c r="R53" s="1416" t="s">
        <v>410</v>
      </c>
    </row>
    <row r="54" spans="1:18" s="1380" customFormat="1" ht="13.5" thickBot="1">
      <c r="A54" s="1149"/>
      <c r="B54" s="1363" t="s">
        <v>679</v>
      </c>
      <c r="C54" s="955"/>
      <c r="D54" s="1362"/>
      <c r="E54" s="3462"/>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62"/>
      <c r="F55" s="1436"/>
      <c r="I55" s="1439" t="s">
        <v>840</v>
      </c>
      <c r="J55" s="1440">
        <f ca="1">ROUND(IF(J47="钢混",J57/J50,1-(1-2%)*(J50-J57)/J50),3)</f>
        <v>0.251</v>
      </c>
      <c r="K55" s="1441" t="s">
        <v>841</v>
      </c>
      <c r="L55" s="1442" t="s">
        <v>8716</v>
      </c>
      <c r="O55" s="1407" t="s">
        <v>811</v>
      </c>
      <c r="P55" s="1408" t="s">
        <v>812</v>
      </c>
      <c r="Q55" s="1409" t="s">
        <v>813</v>
      </c>
      <c r="R55" s="1409" t="s">
        <v>814</v>
      </c>
    </row>
    <row r="56" spans="1:18" s="1380" customFormat="1" ht="25.5" thickTop="1" thickBot="1">
      <c r="A56" s="953">
        <v>2</v>
      </c>
      <c r="B56" s="954" t="s">
        <v>704</v>
      </c>
      <c r="C56" s="231">
        <f ca="1">C13</f>
        <v>39934</v>
      </c>
      <c r="D56" s="1443"/>
      <c r="E56" s="1444"/>
      <c r="F56" s="1436"/>
      <c r="I56" s="1445" t="s">
        <v>842</v>
      </c>
      <c r="J56" s="1446" t="s">
        <v>8717</v>
      </c>
      <c r="K56" s="1417" t="s">
        <v>843</v>
      </c>
      <c r="L56" s="1420" t="str">
        <f ca="1">IF(L48&lt;J51,"——",L48-J53)</f>
        <v>——</v>
      </c>
      <c r="O56" s="1414" t="s">
        <v>403</v>
      </c>
      <c r="P56" s="1415" t="s">
        <v>817</v>
      </c>
      <c r="Q56" s="1416">
        <f ca="1">C40+J29</f>
        <v>1713</v>
      </c>
      <c r="R56" s="1416" t="s">
        <v>818</v>
      </c>
    </row>
    <row r="57" spans="1:18" s="1380" customFormat="1" ht="24.75" thickBot="1">
      <c r="A57" s="1447"/>
      <c r="B57" s="946" t="s">
        <v>767</v>
      </c>
      <c r="C57" s="237">
        <f ca="1">C29</f>
        <v>40749</v>
      </c>
      <c r="D57" s="1448"/>
      <c r="E57" s="1449"/>
      <c r="F57" s="1450"/>
      <c r="I57" s="1451" t="s">
        <v>844</v>
      </c>
      <c r="J57" s="1452">
        <f ca="1">IF(OR(M47="住宅",J51&lt;L48,J56="是"),"——",J51-L48)</f>
        <v>15.030000000000001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902</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7</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16300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4" t="s">
        <v>853</v>
      </c>
      <c r="J60" s="1455">
        <f ca="1">IF(OR(M47="住宅",J51&lt;L48,J56="是"),"0",ROUND(J59/(1+J52)^J53,0))</f>
        <v>553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3340</v>
      </c>
      <c r="E61" s="946" t="s">
        <v>712</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6.82</v>
      </c>
      <c r="D62" s="961" t="s">
        <v>731</v>
      </c>
      <c r="E62" s="946" t="s">
        <v>732</v>
      </c>
      <c r="F62" s="324">
        <f t="shared" si="0"/>
        <v>1.5</v>
      </c>
      <c r="I62" s="1458" t="s">
        <v>858</v>
      </c>
      <c r="J62" s="1459" t="s">
        <v>859</v>
      </c>
      <c r="K62" s="1459" t="s">
        <v>860</v>
      </c>
      <c r="L62" s="1459" t="s">
        <v>861</v>
      </c>
      <c r="M62" s="1460" t="s">
        <v>862</v>
      </c>
      <c r="O62" s="1414" t="s">
        <v>409</v>
      </c>
      <c r="P62" s="1415" t="s">
        <v>838</v>
      </c>
      <c r="Q62" s="1416">
        <f ca="1">Q56+Q57</f>
        <v>1713</v>
      </c>
      <c r="R62" s="1416" t="s">
        <v>410</v>
      </c>
    </row>
    <row r="63" spans="1:18" s="1380" customFormat="1" ht="13.5" thickBot="1">
      <c r="A63" s="325"/>
      <c r="B63" s="952"/>
      <c r="C63" s="26"/>
      <c r="D63" s="962"/>
      <c r="E63" s="946" t="s">
        <v>736</v>
      </c>
      <c r="F63" s="302">
        <f t="shared" ca="1" si="0"/>
        <v>45480.63</v>
      </c>
      <c r="I63" s="1458" t="s">
        <v>864</v>
      </c>
      <c r="J63" s="1459">
        <v>70</v>
      </c>
      <c r="K63" s="1459">
        <v>50</v>
      </c>
      <c r="L63" s="1459">
        <v>80</v>
      </c>
      <c r="M63" s="1461">
        <v>0.02</v>
      </c>
      <c r="O63" s="1399" t="s">
        <v>865</v>
      </c>
      <c r="P63" s="1377"/>
      <c r="Q63" s="1377"/>
      <c r="R63" s="1377"/>
    </row>
    <row r="64" spans="1:18" s="1380" customFormat="1" ht="13.5" thickBot="1">
      <c r="A64" s="978" t="s">
        <v>402</v>
      </c>
      <c r="B64" s="946" t="s">
        <v>738</v>
      </c>
      <c r="C64" s="21">
        <f ca="1">ROUND(C57*F64,2)</f>
        <v>814.98</v>
      </c>
      <c r="D64" s="960" t="s">
        <v>771</v>
      </c>
      <c r="E64" s="946" t="s">
        <v>712</v>
      </c>
      <c r="F64" s="327">
        <f t="shared" ca="1" si="0"/>
        <v>0.02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79.87</v>
      </c>
      <c r="D65" s="960" t="s">
        <v>743</v>
      </c>
      <c r="E65" s="946" t="s">
        <v>712</v>
      </c>
      <c r="F65" s="329">
        <f t="shared" ca="1" si="0"/>
        <v>2E-3</v>
      </c>
      <c r="I65" s="1458" t="s">
        <v>867</v>
      </c>
      <c r="J65" s="1459">
        <v>40</v>
      </c>
      <c r="K65" s="1459">
        <v>30</v>
      </c>
      <c r="L65" s="1459">
        <v>50</v>
      </c>
      <c r="M65" s="1461">
        <v>0.02</v>
      </c>
      <c r="O65" s="1414" t="s">
        <v>403</v>
      </c>
      <c r="P65" s="1415" t="s">
        <v>817</v>
      </c>
      <c r="Q65" s="1416">
        <f ca="1">C40+J29</f>
        <v>1713</v>
      </c>
      <c r="R65" s="1416" t="s">
        <v>818</v>
      </c>
    </row>
    <row r="66" spans="1:18" s="1380" customFormat="1" ht="16.5" thickBot="1">
      <c r="A66" s="978" t="s">
        <v>793</v>
      </c>
      <c r="B66" s="946" t="s">
        <v>728</v>
      </c>
      <c r="C66" s="21">
        <f ca="1">ROUND(C48*F66,2)</f>
        <v>0</v>
      </c>
      <c r="D66" s="960" t="s">
        <v>748</v>
      </c>
      <c r="E66" s="946" t="s">
        <v>712</v>
      </c>
      <c r="F66" s="311">
        <f t="shared" ca="1" si="0"/>
        <v>0.02</v>
      </c>
      <c r="O66" s="1414" t="s">
        <v>404</v>
      </c>
      <c r="P66" s="1415" t="s">
        <v>846</v>
      </c>
      <c r="Q66" s="1416">
        <f ca="1">L60</f>
        <v>0</v>
      </c>
      <c r="R66" s="1416" t="s">
        <v>869</v>
      </c>
    </row>
    <row r="67" spans="1:18" s="1380" customFormat="1" ht="16.5" thickBot="1">
      <c r="A67" s="953" t="s">
        <v>394</v>
      </c>
      <c r="B67" s="963" t="s">
        <v>752</v>
      </c>
      <c r="C67" s="315">
        <f ca="1">C48-C58</f>
        <v>-902</v>
      </c>
      <c r="D67" s="959" t="s">
        <v>753</v>
      </c>
      <c r="E67" s="964"/>
      <c r="F67" s="965"/>
      <c r="O67" s="1424" t="s">
        <v>405</v>
      </c>
      <c r="P67" s="1415" t="s">
        <v>850</v>
      </c>
      <c r="Q67" s="1462">
        <f ca="1">L51</f>
        <v>-65874</v>
      </c>
      <c r="R67" s="1416" t="s">
        <v>870</v>
      </c>
    </row>
    <row r="68" spans="1:18" s="1380" customFormat="1" ht="16.5" thickBot="1">
      <c r="A68" s="943" t="s">
        <v>395</v>
      </c>
      <c r="B68" s="944" t="s">
        <v>774</v>
      </c>
      <c r="C68" s="300">
        <f ca="1">ROUND(C67*(1-((1+F70)/(1+F68))^F69)/(F68-F70),0)</f>
        <v>-18530</v>
      </c>
      <c r="D68" s="961" t="s">
        <v>758</v>
      </c>
      <c r="E68" s="946" t="s">
        <v>759</v>
      </c>
      <c r="F68" s="311">
        <f ca="1">F40</f>
        <v>0.04</v>
      </c>
      <c r="O68" s="1424" t="s">
        <v>406</v>
      </c>
      <c r="P68" s="1463" t="s">
        <v>871</v>
      </c>
      <c r="Q68" s="1416">
        <f ca="1">ROUND(Q69-Q70*Q71,0)</f>
        <v>-2924</v>
      </c>
      <c r="R68" s="1416" t="s">
        <v>414</v>
      </c>
    </row>
    <row r="69" spans="1:18" s="1380" customFormat="1" ht="13.5" thickBot="1">
      <c r="A69" s="947"/>
      <c r="B69" s="948"/>
      <c r="C69" s="305"/>
      <c r="D69" s="966" t="s">
        <v>762</v>
      </c>
      <c r="E69" s="946" t="s">
        <v>763</v>
      </c>
      <c r="F69" s="332">
        <f ca="1">F41</f>
        <v>43.97</v>
      </c>
      <c r="O69" s="1424" t="s">
        <v>411</v>
      </c>
      <c r="P69" s="1463" t="s">
        <v>872</v>
      </c>
      <c r="Q69" s="1416">
        <f ca="1">C39</f>
        <v>71</v>
      </c>
      <c r="R69" s="1416" t="s">
        <v>818</v>
      </c>
    </row>
    <row r="70" spans="1:18" s="1380" customFormat="1" ht="13.5" thickBot="1">
      <c r="A70" s="950"/>
      <c r="B70" s="951"/>
      <c r="C70" s="309"/>
      <c r="D70" s="962"/>
      <c r="E70" s="946" t="s">
        <v>766</v>
      </c>
      <c r="F70" s="1050"/>
      <c r="O70" s="1424" t="s">
        <v>412</v>
      </c>
      <c r="P70" s="1463" t="s">
        <v>873</v>
      </c>
      <c r="Q70" s="1416">
        <f ca="1">C13</f>
        <v>39934</v>
      </c>
      <c r="R70" s="1416" t="s">
        <v>818</v>
      </c>
    </row>
    <row r="71" spans="1:18" s="1380" customFormat="1" ht="13.5" thickBot="1">
      <c r="A71" s="967" t="s">
        <v>396</v>
      </c>
      <c r="B71" s="968" t="s">
        <v>776</v>
      </c>
      <c r="C71" s="335">
        <f ca="1">ROUND(C68*10000/F71,0)</f>
        <v>-2546</v>
      </c>
      <c r="D71" s="969" t="s">
        <v>777</v>
      </c>
      <c r="E71" s="970" t="s">
        <v>778</v>
      </c>
      <c r="F71" s="338">
        <f ca="1">F43</f>
        <v>72769</v>
      </c>
      <c r="O71" s="1424" t="s">
        <v>413</v>
      </c>
      <c r="P71" s="1463" t="s">
        <v>874</v>
      </c>
      <c r="Q71" s="1427">
        <f ca="1">C76</f>
        <v>7.4999999999999997E-2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2995</v>
      </c>
      <c r="D75" s="1380"/>
      <c r="E75" s="1380"/>
      <c r="F75" s="1380"/>
      <c r="K75" s="1398"/>
      <c r="L75" s="1380"/>
      <c r="O75" s="1414" t="s">
        <v>409</v>
      </c>
      <c r="P75" s="1415" t="s">
        <v>838</v>
      </c>
      <c r="Q75" s="1416">
        <f ca="1">Q65+Q66</f>
        <v>1713</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-41.183</v>
      </c>
    </row>
    <row r="80" spans="1:18">
      <c r="B80" s="339" t="s">
        <v>800</v>
      </c>
      <c r="C80" s="273">
        <f ca="1">ROUND(C75/C39,3)</f>
        <v>42.183</v>
      </c>
    </row>
    <row r="81" spans="2:3">
      <c r="B81" s="269" t="s">
        <v>801</v>
      </c>
      <c r="C81" s="237"/>
    </row>
    <row r="82" spans="2:3">
      <c r="B82" s="272" t="s">
        <v>802</v>
      </c>
      <c r="C82" s="274">
        <f ca="1">1-C83</f>
        <v>-22.312000000000001</v>
      </c>
    </row>
    <row r="83" spans="2:3">
      <c r="B83" s="272" t="s">
        <v>803</v>
      </c>
      <c r="C83" s="273">
        <f ca="1">ROUND(C13/C40,3)</f>
        <v>23.312000000000001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45159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IF(B5=D14,'结果表-洋房'!H102,ROUND(B5*10000/$B$1,0))</f>
        <v>0</v>
      </c>
      <c r="D5" s="2508" t="e">
        <f>ROUND(B5*10000/$B$2,0)</f>
        <v>#DIV/0!</v>
      </c>
      <c r="E5" s="2682"/>
      <c r="F5" s="2683"/>
      <c r="G5" s="2683"/>
      <c r="H5" s="2684"/>
      <c r="I5" s="2684"/>
      <c r="J5" s="2684"/>
      <c r="K5" s="2684"/>
    </row>
    <row r="6" spans="1:11" ht="16.5">
      <c r="A6" s="2508" t="s">
        <v>656</v>
      </c>
      <c r="B6" s="2508">
        <f>SUM(G14:G23)</f>
        <v>0</v>
      </c>
      <c r="C6" s="2508">
        <f ca="1">IF(B6=G14,'结果表-洋房'!H108,ROUND(B6*10000/$B$1,0))</f>
        <v>0</v>
      </c>
      <c r="D6" s="2508" t="e">
        <f>ROUND(B6*10000/$B$2,0)</f>
        <v>#DIV/0!</v>
      </c>
      <c r="E6" s="2682"/>
      <c r="F6" s="2683"/>
      <c r="G6" s="2683"/>
      <c r="H6" s="2684"/>
      <c r="I6" s="2684"/>
      <c r="J6" s="2684"/>
      <c r="K6" s="2684"/>
    </row>
    <row r="7" spans="1:11" ht="16.5">
      <c r="A7" s="2508" t="s">
        <v>664</v>
      </c>
      <c r="B7" s="2508">
        <f>SUM(H14:H23)</f>
        <v>0</v>
      </c>
      <c r="C7" s="2508" t="str">
        <f>IF(B7=H14,'结果表-洋房'!H110,ROUND(B7*10000/$B$1,0))</f>
        <v>——</v>
      </c>
      <c r="D7" s="2508" t="e">
        <f>ROUND(B7*10000/$B$2,0)</f>
        <v>#DIV/0!</v>
      </c>
      <c r="E7" s="2682"/>
      <c r="F7" s="2683"/>
      <c r="G7" s="2683"/>
      <c r="H7" s="2684"/>
      <c r="I7" s="2684"/>
      <c r="J7" s="2684"/>
      <c r="K7" s="2684"/>
    </row>
    <row r="8" spans="1:11" ht="16.5">
      <c r="A8" s="2508" t="s">
        <v>587</v>
      </c>
      <c r="B8" s="2508">
        <f>SUM(I14:I23)</f>
        <v>0</v>
      </c>
      <c r="C8" s="2508" t="str">
        <f>IF(B8=I14,'结果表-洋房'!H112,ROUND(B8*10000/$B$1,0))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6"/>
      <c r="F10" s="3440" t="s">
        <v>3362</v>
      </c>
      <c r="G10" s="3437"/>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6"/>
      <c r="C2" s="3566"/>
      <c r="D2" s="3566"/>
      <c r="E2" s="3566"/>
    </row>
    <row r="3" spans="1:5" ht="18">
      <c r="A3" s="3567" t="str">
        <f>IF(项目基本情况!B9="房地产市场价值","估价结果一览表（市场价值不需“结果表-1”）","估价结果一览表")</f>
        <v>估价结果一览表（市场价值不需“结果表-1”）</v>
      </c>
      <c r="B3" s="3567"/>
      <c r="C3" s="3567"/>
      <c r="D3" s="3567"/>
      <c r="E3" s="3567"/>
    </row>
    <row r="4" spans="1:5" ht="19.5" thickBot="1">
      <c r="A4" s="1489"/>
      <c r="B4" s="3565" t="s">
        <v>917</v>
      </c>
      <c r="C4" s="3565"/>
      <c r="D4" s="3565"/>
      <c r="E4" s="1489"/>
    </row>
    <row r="5" spans="1:5" ht="16.5" thickTop="1">
      <c r="A5" s="1487"/>
      <c r="B5" s="3563" t="s">
        <v>909</v>
      </c>
      <c r="C5" s="1490" t="s">
        <v>910</v>
      </c>
      <c r="D5" s="846" t="e">
        <f ca="1">'结果表-洋房'!H101</f>
        <v>#REF!</v>
      </c>
      <c r="E5" s="1487"/>
    </row>
    <row r="6" spans="1:5" ht="15.75">
      <c r="A6" s="1487"/>
      <c r="B6" s="3563"/>
      <c r="C6" s="1490" t="s">
        <v>911</v>
      </c>
      <c r="D6" s="846" t="e">
        <f ca="1">NUMBERSTRING(INT(D5*10000),2)&amp;"元整"</f>
        <v>#REF!</v>
      </c>
      <c r="E6" s="1487"/>
    </row>
    <row r="7" spans="1:5" ht="15.75">
      <c r="A7" s="1487"/>
      <c r="B7" s="3568"/>
      <c r="C7" s="1491" t="s">
        <v>912</v>
      </c>
      <c r="D7" s="847" t="e">
        <f ca="1">'结果表-洋房'!H102</f>
        <v>#REF!</v>
      </c>
      <c r="E7" s="1487"/>
    </row>
    <row r="8" spans="1:5" ht="15.75">
      <c r="A8" s="1487"/>
      <c r="B8" s="3569" t="str">
        <f>'结果表-洋房'!E103</f>
        <v>2.估价师知悉的法定优先受偿款</v>
      </c>
      <c r="C8" s="1492" t="s">
        <v>913</v>
      </c>
      <c r="D8" s="847">
        <f>'结果表-洋房'!H103</f>
        <v>0</v>
      </c>
      <c r="E8" s="1487"/>
    </row>
    <row r="9" spans="1:5" ht="15.75">
      <c r="A9" s="1487"/>
      <c r="B9" s="3571"/>
      <c r="C9" s="1490" t="s">
        <v>911</v>
      </c>
      <c r="D9" s="846" t="str">
        <f>NUMBERSTRING(INT(D8*10000),2)&amp;"元整"</f>
        <v>零元整</v>
      </c>
      <c r="E9" s="1487"/>
    </row>
    <row r="10" spans="1:5" ht="15">
      <c r="A10" s="1487"/>
      <c r="B10" s="1493" t="s">
        <v>916</v>
      </c>
      <c r="C10" s="1494" t="s">
        <v>914</v>
      </c>
      <c r="D10" s="848">
        <f>'结果表-洋房'!H104</f>
        <v>0</v>
      </c>
      <c r="E10" s="1487"/>
    </row>
    <row r="11" spans="1:5" ht="15">
      <c r="A11" s="1487"/>
      <c r="B11" s="1493" t="s">
        <v>918</v>
      </c>
      <c r="C11" s="1494" t="s">
        <v>919</v>
      </c>
      <c r="D11" s="848">
        <f>'结果表-洋房'!H105</f>
        <v>0</v>
      </c>
      <c r="E11" s="1487"/>
    </row>
    <row r="12" spans="1:5" ht="15">
      <c r="A12" s="1487"/>
      <c r="B12" s="1493" t="s">
        <v>920</v>
      </c>
      <c r="C12" s="1494" t="s">
        <v>919</v>
      </c>
      <c r="D12" s="848">
        <f>'结果表-洋房'!H106</f>
        <v>0</v>
      </c>
      <c r="E12" s="1487"/>
    </row>
    <row r="13" spans="1:5" ht="15.75">
      <c r="A13" s="1487"/>
      <c r="B13" s="3562" t="str">
        <f>'结果表-洋房'!E107</f>
        <v>3.房地产抵押价值</v>
      </c>
      <c r="C13" s="1495" t="s">
        <v>910</v>
      </c>
      <c r="D13" s="849" t="e">
        <f ca="1">'结果表-洋房'!H107</f>
        <v>#REF!</v>
      </c>
      <c r="E13" s="1487"/>
    </row>
    <row r="14" spans="1:5" ht="15.75">
      <c r="A14" s="1487"/>
      <c r="B14" s="3563"/>
      <c r="C14" s="1490" t="s">
        <v>911</v>
      </c>
      <c r="D14" s="846" t="e">
        <f ca="1">NUMBERSTRING(INT(D13*10000),2)&amp;"元整"</f>
        <v>#REF!</v>
      </c>
      <c r="E14" s="1487"/>
    </row>
    <row r="15" spans="1:5" ht="15">
      <c r="A15" s="1487"/>
      <c r="B15" s="3568"/>
      <c r="C15" s="1491" t="s">
        <v>921</v>
      </c>
      <c r="D15" s="855" t="e">
        <f ca="1">'结果表-洋房'!H108</f>
        <v>#REF!</v>
      </c>
      <c r="E15" s="1487"/>
    </row>
    <row r="16" spans="1:5" ht="15">
      <c r="A16" s="1487"/>
      <c r="B16" s="3569" t="str">
        <f>'结果表-洋房'!E109</f>
        <v>——</v>
      </c>
      <c r="C16" s="1495" t="s">
        <v>922</v>
      </c>
      <c r="D16" s="1496" t="str">
        <f>'结果表-洋房'!H109</f>
        <v>——</v>
      </c>
      <c r="E16" s="1487"/>
    </row>
    <row r="17" spans="1:5" ht="15.75">
      <c r="A17" s="1487"/>
      <c r="B17" s="3570"/>
      <c r="C17" s="1490" t="s">
        <v>923</v>
      </c>
      <c r="D17" s="846" t="e">
        <f>NUMBERSTRING(INT(D16*10000),2)&amp;"元整"</f>
        <v>#VALUE!</v>
      </c>
      <c r="E17" s="1487"/>
    </row>
    <row r="18" spans="1:5" ht="15">
      <c r="A18" s="1487"/>
      <c r="B18" s="3571"/>
      <c r="C18" s="1491" t="s">
        <v>912</v>
      </c>
      <c r="D18" s="855" t="str">
        <f>'结果表-洋房'!H110</f>
        <v>——</v>
      </c>
      <c r="E18" s="1487"/>
    </row>
    <row r="19" spans="1:5" ht="15.75">
      <c r="A19" s="1487"/>
      <c r="B19" s="3562" t="str">
        <f>'结果表-洋房'!E111</f>
        <v>——</v>
      </c>
      <c r="C19" s="1495" t="s">
        <v>910</v>
      </c>
      <c r="D19" s="847" t="str">
        <f>'结果表-洋房'!H111</f>
        <v>——</v>
      </c>
      <c r="E19" s="1487"/>
    </row>
    <row r="20" spans="1:5" ht="15.75">
      <c r="A20" s="1487"/>
      <c r="B20" s="3563"/>
      <c r="C20" s="1490" t="s">
        <v>923</v>
      </c>
      <c r="D20" s="846" t="e">
        <f>NUMBERSTRING(INT(D19*10000),2)&amp;"元整"</f>
        <v>#VALUE!</v>
      </c>
      <c r="E20" s="1487"/>
    </row>
    <row r="21" spans="1:5" ht="15.75" thickBot="1">
      <c r="A21" s="1487"/>
      <c r="B21" s="3564"/>
      <c r="C21" s="1497" t="s">
        <v>921</v>
      </c>
      <c r="D21" s="856" t="str">
        <f>'结果表-洋房'!H112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0"/>
  <sheetViews>
    <sheetView workbookViewId="0">
      <selection activeCell="A9" sqref="A9:E9"/>
    </sheetView>
  </sheetViews>
  <sheetFormatPr defaultColWidth="11.625" defaultRowHeight="13.5"/>
  <cols>
    <col min="1" max="1" width="21" style="1235" customWidth="1"/>
    <col min="2" max="16384" width="11.625" style="1235"/>
  </cols>
  <sheetData>
    <row r="1" spans="1:10">
      <c r="A1" s="1235" t="s">
        <v>6470</v>
      </c>
      <c r="B1" s="1235" t="s">
        <v>6471</v>
      </c>
      <c r="C1" s="1235" t="s">
        <v>6472</v>
      </c>
      <c r="D1" s="1235" t="s">
        <v>6407</v>
      </c>
      <c r="E1" s="1235" t="s">
        <v>6473</v>
      </c>
      <c r="F1" s="1235" t="s">
        <v>6408</v>
      </c>
      <c r="G1" s="1235" t="s">
        <v>6474</v>
      </c>
      <c r="H1" s="1235" t="s">
        <v>6475</v>
      </c>
      <c r="I1" s="1235" t="s">
        <v>6476</v>
      </c>
      <c r="J1" s="1235" t="s">
        <v>6477</v>
      </c>
    </row>
    <row r="2" spans="1:10">
      <c r="A2" s="1235" t="s">
        <v>6478</v>
      </c>
      <c r="B2" s="1235" t="s">
        <v>633</v>
      </c>
      <c r="C2" s="1235">
        <v>1984</v>
      </c>
      <c r="D2" s="1235">
        <v>184469</v>
      </c>
      <c r="E2" s="1235">
        <v>27591</v>
      </c>
      <c r="F2" s="1235">
        <v>508965.38</v>
      </c>
      <c r="G2" s="1235">
        <v>1755</v>
      </c>
      <c r="H2" s="1235">
        <v>156829</v>
      </c>
      <c r="I2" s="1235">
        <v>1828</v>
      </c>
      <c r="J2" s="1235">
        <v>177357</v>
      </c>
    </row>
    <row r="3" spans="1:10">
      <c r="A3" s="1235" t="s">
        <v>6479</v>
      </c>
      <c r="B3" s="1235" t="s">
        <v>6480</v>
      </c>
      <c r="C3" s="1235">
        <v>665</v>
      </c>
      <c r="D3" s="1235">
        <v>58999</v>
      </c>
      <c r="E3" s="1235">
        <v>26749</v>
      </c>
      <c r="F3" s="1235">
        <v>157817.35999999999</v>
      </c>
      <c r="G3" s="1235" t="s">
        <v>633</v>
      </c>
      <c r="H3" s="1235" t="s">
        <v>633</v>
      </c>
      <c r="I3" s="1235">
        <v>19</v>
      </c>
      <c r="J3" s="1235">
        <v>1652</v>
      </c>
    </row>
    <row r="4" spans="1:10">
      <c r="A4" s="1235" t="s">
        <v>6481</v>
      </c>
      <c r="B4" s="1235" t="s">
        <v>6480</v>
      </c>
      <c r="C4" s="1235">
        <v>524</v>
      </c>
      <c r="D4" s="1235">
        <v>44620</v>
      </c>
      <c r="E4" s="1235">
        <v>25566</v>
      </c>
      <c r="F4" s="1235">
        <v>114074.08</v>
      </c>
      <c r="G4" s="1235">
        <v>875</v>
      </c>
      <c r="H4" s="1235">
        <v>75958</v>
      </c>
      <c r="I4" s="1235">
        <v>554</v>
      </c>
      <c r="J4" s="1235">
        <v>48201</v>
      </c>
    </row>
    <row r="5" spans="1:10" s="3487" customFormat="1">
      <c r="A5" s="3487" t="s">
        <v>6482</v>
      </c>
      <c r="B5" s="3487" t="s">
        <v>6483</v>
      </c>
      <c r="C5" s="3487">
        <v>523</v>
      </c>
      <c r="D5" s="3487">
        <v>47793</v>
      </c>
      <c r="E5" s="3487">
        <v>29509</v>
      </c>
      <c r="F5" s="3487">
        <v>141029.63</v>
      </c>
      <c r="G5" s="3487">
        <v>576</v>
      </c>
      <c r="H5" s="3487">
        <v>53840</v>
      </c>
      <c r="I5" s="3487">
        <v>634</v>
      </c>
      <c r="J5" s="3487">
        <v>61113</v>
      </c>
    </row>
    <row r="6" spans="1:10">
      <c r="A6" s="1235" t="s">
        <v>6484</v>
      </c>
      <c r="B6" s="1235" t="s">
        <v>6485</v>
      </c>
      <c r="C6" s="1235">
        <v>62</v>
      </c>
      <c r="D6" s="1235">
        <v>5594</v>
      </c>
      <c r="E6" s="1235">
        <v>21087</v>
      </c>
      <c r="F6" s="1235">
        <v>11796.13</v>
      </c>
      <c r="G6" s="1235" t="s">
        <v>633</v>
      </c>
      <c r="H6" s="1235" t="s">
        <v>633</v>
      </c>
      <c r="I6" s="1235">
        <v>190</v>
      </c>
      <c r="J6" s="1235">
        <v>18878</v>
      </c>
    </row>
    <row r="7" spans="1:10" s="3487" customFormat="1">
      <c r="A7" s="3506" t="s">
        <v>8685</v>
      </c>
      <c r="B7" s="3487" t="s">
        <v>6483</v>
      </c>
      <c r="C7" s="3487">
        <v>59</v>
      </c>
      <c r="D7" s="3487">
        <v>4811</v>
      </c>
      <c r="E7" s="3487">
        <v>33111</v>
      </c>
      <c r="F7" s="3487">
        <v>15930.34</v>
      </c>
      <c r="G7" s="3487" t="s">
        <v>633</v>
      </c>
      <c r="H7" s="3487" t="s">
        <v>633</v>
      </c>
      <c r="I7" s="3487">
        <v>4</v>
      </c>
      <c r="J7" s="3487">
        <v>272</v>
      </c>
    </row>
    <row r="8" spans="1:10" s="3487" customFormat="1">
      <c r="A8" s="3506" t="s">
        <v>8736</v>
      </c>
      <c r="B8" s="3487" t="s">
        <v>6483</v>
      </c>
      <c r="C8" s="3487">
        <v>38</v>
      </c>
      <c r="D8" s="3487">
        <v>8620</v>
      </c>
      <c r="E8" s="3487">
        <v>28626</v>
      </c>
      <c r="F8" s="3487">
        <v>24675.5</v>
      </c>
      <c r="G8" s="3487" t="s">
        <v>633</v>
      </c>
      <c r="H8" s="3487" t="s">
        <v>633</v>
      </c>
      <c r="I8" s="3487">
        <v>20</v>
      </c>
      <c r="J8" s="3487">
        <v>4284</v>
      </c>
    </row>
    <row r="9" spans="1:10">
      <c r="A9" s="1235" t="s">
        <v>6486</v>
      </c>
      <c r="B9" s="1235" t="s">
        <v>6487</v>
      </c>
      <c r="C9" s="1235">
        <v>33</v>
      </c>
      <c r="D9" s="1235">
        <v>4449</v>
      </c>
      <c r="E9" s="1235">
        <v>36952</v>
      </c>
      <c r="F9" s="1235">
        <v>16440.939999999999</v>
      </c>
      <c r="G9" s="1235" t="s">
        <v>633</v>
      </c>
      <c r="H9" s="1235" t="s">
        <v>633</v>
      </c>
      <c r="I9" s="1235">
        <v>78</v>
      </c>
      <c r="J9" s="1235">
        <v>12549</v>
      </c>
    </row>
    <row r="10" spans="1:10">
      <c r="A10" s="1235" t="s">
        <v>6488</v>
      </c>
      <c r="B10" s="1235" t="s">
        <v>6487</v>
      </c>
      <c r="C10" s="1235">
        <v>27</v>
      </c>
      <c r="D10" s="1235">
        <v>2598</v>
      </c>
      <c r="E10" s="1235">
        <v>20754</v>
      </c>
      <c r="F10" s="1235">
        <v>5391.3</v>
      </c>
      <c r="G10" s="1235" t="s">
        <v>633</v>
      </c>
      <c r="H10" s="1235" t="s">
        <v>633</v>
      </c>
      <c r="I10" s="1235" t="s">
        <v>633</v>
      </c>
      <c r="J10" s="1235" t="s">
        <v>633</v>
      </c>
    </row>
    <row r="11" spans="1:10">
      <c r="A11" s="1235" t="s">
        <v>6489</v>
      </c>
      <c r="B11" s="1235" t="s">
        <v>6490</v>
      </c>
      <c r="C11" s="1235">
        <v>25</v>
      </c>
      <c r="D11" s="1235">
        <v>1932</v>
      </c>
      <c r="E11" s="1235">
        <v>21775</v>
      </c>
      <c r="F11" s="1235">
        <v>4206.3</v>
      </c>
      <c r="G11" s="1235">
        <v>288</v>
      </c>
      <c r="H11" s="1235">
        <v>23919</v>
      </c>
      <c r="I11" s="1235">
        <v>234</v>
      </c>
      <c r="J11" s="1235">
        <v>19432</v>
      </c>
    </row>
    <row r="12" spans="1:10">
      <c r="A12" s="1235" t="s">
        <v>6491</v>
      </c>
      <c r="B12" s="1235" t="s">
        <v>6487</v>
      </c>
      <c r="C12" s="1235">
        <v>16</v>
      </c>
      <c r="D12" s="1235">
        <v>3296</v>
      </c>
      <c r="E12" s="1235">
        <v>38857</v>
      </c>
      <c r="F12" s="1235">
        <v>12807.73</v>
      </c>
      <c r="G12" s="1235">
        <v>16</v>
      </c>
      <c r="H12" s="1235">
        <v>3111</v>
      </c>
      <c r="I12" s="1235" t="s">
        <v>633</v>
      </c>
      <c r="J12" s="1235" t="s">
        <v>633</v>
      </c>
    </row>
    <row r="13" spans="1:10">
      <c r="A13" s="1235" t="s">
        <v>6492</v>
      </c>
      <c r="B13" s="1235" t="s">
        <v>6485</v>
      </c>
      <c r="C13" s="1235">
        <v>5</v>
      </c>
      <c r="D13" s="1235">
        <v>759</v>
      </c>
      <c r="E13" s="1235">
        <v>25984</v>
      </c>
      <c r="F13" s="1235">
        <v>1972.73</v>
      </c>
      <c r="G13" s="1235" t="s">
        <v>633</v>
      </c>
      <c r="H13" s="1235" t="s">
        <v>633</v>
      </c>
      <c r="I13" s="1235">
        <v>53</v>
      </c>
      <c r="J13" s="1235">
        <v>7534</v>
      </c>
    </row>
    <row r="14" spans="1:10">
      <c r="A14" s="1235" t="s">
        <v>6493</v>
      </c>
      <c r="B14" s="1235" t="s">
        <v>6494</v>
      </c>
      <c r="C14" s="1235">
        <v>2</v>
      </c>
      <c r="D14" s="1235">
        <v>189</v>
      </c>
      <c r="E14" s="1235">
        <v>21471</v>
      </c>
      <c r="F14" s="1235">
        <v>406.57</v>
      </c>
      <c r="G14" s="1235" t="s">
        <v>633</v>
      </c>
      <c r="H14" s="1235" t="s">
        <v>633</v>
      </c>
      <c r="I14" s="1235" t="s">
        <v>633</v>
      </c>
      <c r="J14" s="1235" t="s">
        <v>633</v>
      </c>
    </row>
    <row r="15" spans="1:10" s="3487" customFormat="1">
      <c r="A15" s="3487" t="s">
        <v>6495</v>
      </c>
      <c r="B15" s="3487" t="s">
        <v>6483</v>
      </c>
      <c r="C15" s="3487">
        <v>2</v>
      </c>
      <c r="D15" s="3487">
        <v>460</v>
      </c>
      <c r="E15" s="3487">
        <v>34159</v>
      </c>
      <c r="F15" s="3487">
        <v>1572.33</v>
      </c>
      <c r="G15" s="3487" t="s">
        <v>633</v>
      </c>
      <c r="H15" s="3487" t="s">
        <v>633</v>
      </c>
      <c r="I15" s="3487" t="s">
        <v>633</v>
      </c>
      <c r="J15" s="3487" t="s">
        <v>633</v>
      </c>
    </row>
    <row r="16" spans="1:10">
      <c r="A16" s="1235" t="s">
        <v>6496</v>
      </c>
      <c r="B16" s="1235" t="s">
        <v>6490</v>
      </c>
      <c r="C16" s="1235">
        <v>1</v>
      </c>
      <c r="D16" s="1235">
        <v>105</v>
      </c>
      <c r="E16" s="1235">
        <v>20100</v>
      </c>
      <c r="F16" s="1235">
        <v>210.13</v>
      </c>
      <c r="G16" s="1235" t="s">
        <v>633</v>
      </c>
      <c r="H16" s="1235" t="s">
        <v>633</v>
      </c>
      <c r="I16" s="1235">
        <v>1</v>
      </c>
      <c r="J16" s="1235">
        <v>103</v>
      </c>
    </row>
    <row r="17" spans="1:10">
      <c r="A17" s="1235" t="s">
        <v>6497</v>
      </c>
      <c r="B17" s="1235" t="s">
        <v>6494</v>
      </c>
      <c r="C17" s="1235">
        <v>1</v>
      </c>
      <c r="D17" s="1235">
        <v>167</v>
      </c>
      <c r="E17" s="1235">
        <v>25667</v>
      </c>
      <c r="F17" s="1235">
        <v>428.76</v>
      </c>
      <c r="G17" s="1235" t="s">
        <v>633</v>
      </c>
      <c r="H17" s="1235" t="s">
        <v>633</v>
      </c>
      <c r="I17" s="1235" t="s">
        <v>633</v>
      </c>
      <c r="J17" s="1235" t="s">
        <v>633</v>
      </c>
    </row>
    <row r="18" spans="1:10">
      <c r="A18" s="1235" t="s">
        <v>6498</v>
      </c>
      <c r="B18" s="1235" t="s">
        <v>6487</v>
      </c>
      <c r="C18" s="1235">
        <v>1</v>
      </c>
      <c r="D18" s="1235">
        <v>76</v>
      </c>
      <c r="E18" s="1235">
        <v>27000</v>
      </c>
      <c r="F18" s="1235">
        <v>205.52</v>
      </c>
      <c r="G18" s="1235" t="s">
        <v>633</v>
      </c>
      <c r="H18" s="1235" t="s">
        <v>633</v>
      </c>
      <c r="I18" s="1235" t="s">
        <v>633</v>
      </c>
      <c r="J18" s="1235" t="s">
        <v>633</v>
      </c>
    </row>
    <row r="19" spans="1:10">
      <c r="A19" s="1235" t="s">
        <v>6499</v>
      </c>
      <c r="B19" s="1235" t="s">
        <v>6500</v>
      </c>
      <c r="C19" s="1235" t="s">
        <v>633</v>
      </c>
      <c r="D19" s="1235" t="s">
        <v>633</v>
      </c>
      <c r="E19" s="1235" t="s">
        <v>633</v>
      </c>
      <c r="F19" s="1235" t="s">
        <v>633</v>
      </c>
      <c r="G19" s="1235" t="s">
        <v>633</v>
      </c>
      <c r="H19" s="1235" t="s">
        <v>633</v>
      </c>
      <c r="I19" s="1235">
        <v>1</v>
      </c>
      <c r="J19" s="1235">
        <v>148</v>
      </c>
    </row>
    <row r="20" spans="1:10">
      <c r="A20" s="1235" t="s">
        <v>6501</v>
      </c>
      <c r="B20" s="1235" t="s">
        <v>6490</v>
      </c>
      <c r="C20" s="1235" t="s">
        <v>633</v>
      </c>
      <c r="D20" s="1235" t="s">
        <v>633</v>
      </c>
      <c r="E20" s="1235" t="s">
        <v>633</v>
      </c>
      <c r="F20" s="1235" t="s">
        <v>633</v>
      </c>
      <c r="G20" s="1235" t="s">
        <v>633</v>
      </c>
      <c r="H20" s="1235" t="s">
        <v>633</v>
      </c>
      <c r="I20" s="1235">
        <v>40</v>
      </c>
      <c r="J20" s="1235">
        <v>3189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21" sqref="J2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3395</v>
      </c>
      <c r="D1" s="1358" t="s">
        <v>43</v>
      </c>
      <c r="E1" s="1359" t="s">
        <v>678</v>
      </c>
      <c r="F1" s="1058">
        <f ca="1">J53</f>
        <v>0</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0"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7920158</v>
      </c>
      <c r="D5" s="1360" t="s">
        <v>889</v>
      </c>
      <c r="E5" s="1067"/>
      <c r="F5" s="1068"/>
      <c r="G5" s="1380"/>
      <c r="H5" s="298">
        <v>1</v>
      </c>
      <c r="I5" s="299" t="s">
        <v>888</v>
      </c>
      <c r="J5" s="1066">
        <f ca="1">J6+J10+J12</f>
        <v>0</v>
      </c>
      <c r="K5" s="1360" t="s">
        <v>889</v>
      </c>
      <c r="L5" s="1067"/>
      <c r="M5" s="1068"/>
    </row>
    <row r="6" spans="1:37" ht="18" customHeight="1">
      <c r="A6" s="1065" t="s">
        <v>398</v>
      </c>
      <c r="B6" s="3831" t="s">
        <v>694</v>
      </c>
      <c r="C6" s="1070">
        <f ca="1">ROUND(F6*F8*F7*(1-F9),0)</f>
        <v>7920158</v>
      </c>
      <c r="D6" s="154" t="s">
        <v>2106</v>
      </c>
      <c r="E6" s="301" t="s">
        <v>696</v>
      </c>
      <c r="F6" s="302">
        <f ca="1">INDIRECT("'数据-取费表'!u"&amp;$G$1)</f>
        <v>44</v>
      </c>
      <c r="G6" s="1380"/>
      <c r="H6" s="1065" t="s">
        <v>398</v>
      </c>
      <c r="I6" s="3831" t="s">
        <v>694</v>
      </c>
      <c r="J6" s="300">
        <f ca="1">ROUND(M6*M8*M7*(1-M9),0)</f>
        <v>0</v>
      </c>
      <c r="K6" s="1372" t="s">
        <v>2107</v>
      </c>
      <c r="L6" s="301" t="s">
        <v>696</v>
      </c>
      <c r="M6" s="302">
        <f ca="1">INDIRECT("'数据-取费表'!z"&amp;$G$1)</f>
        <v>0</v>
      </c>
    </row>
    <row r="7" spans="1:37" ht="18" customHeight="1">
      <c r="A7" s="1069"/>
      <c r="B7" s="3832"/>
      <c r="C7" s="1071"/>
      <c r="D7" s="306"/>
      <c r="E7" s="1072" t="s">
        <v>697</v>
      </c>
      <c r="F7" s="302">
        <f ca="1">IF(INDIRECT("'数据-取费表'!ah"&amp;$G$1)="",INDIRECT("'数据-取费表'!k"&amp;$G$1),INDIRECT("'数据-取费表'!ah"&amp;$G$1))</f>
        <v>16667</v>
      </c>
      <c r="G7" s="1380"/>
      <c r="H7" s="303"/>
      <c r="I7" s="3832"/>
      <c r="J7" s="305"/>
      <c r="K7" s="306"/>
      <c r="L7" s="301" t="s">
        <v>697</v>
      </c>
      <c r="M7" s="302">
        <f ca="1">F7</f>
        <v>16667</v>
      </c>
    </row>
    <row r="8" spans="1:37" ht="18" customHeight="1">
      <c r="A8" s="303"/>
      <c r="B8" s="3832"/>
      <c r="C8" s="305"/>
      <c r="D8" s="306"/>
      <c r="E8" s="301" t="s">
        <v>698</v>
      </c>
      <c r="F8" s="302">
        <f ca="1">INDIRECT("'数据-取费表'!ai"&amp;$G$1)</f>
        <v>12</v>
      </c>
      <c r="G8" s="1380"/>
      <c r="H8" s="303"/>
      <c r="I8" s="3832"/>
      <c r="J8" s="305"/>
      <c r="K8" s="306"/>
      <c r="L8" s="301" t="s">
        <v>698</v>
      </c>
      <c r="M8" s="302">
        <f ca="1">INDIRECT("'数据-取费表'!ai"&amp;$G$1)</f>
        <v>12</v>
      </c>
    </row>
    <row r="9" spans="1:37" ht="18" customHeight="1">
      <c r="A9" s="303"/>
      <c r="B9" s="3833"/>
      <c r="C9" s="305"/>
      <c r="D9" s="306"/>
      <c r="E9" s="301" t="s">
        <v>699</v>
      </c>
      <c r="F9" s="311">
        <f ca="1">INDIRECT("'数据-取费表'!w"&amp;$G$1)</f>
        <v>0.1</v>
      </c>
      <c r="G9" s="1380"/>
      <c r="H9" s="303"/>
      <c r="I9" s="3833"/>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c r="G10" s="1380"/>
      <c r="H10" s="1065" t="s">
        <v>402</v>
      </c>
      <c r="I10" s="1361" t="s">
        <v>700</v>
      </c>
      <c r="J10" s="300">
        <f ca="1">ROUND(IF(M10="押一",J6/12*M11,IF(M10="押二",J6/12*2*M11,IF(M10="押三",J6/12*3*M11,J11*M11))),0)</f>
        <v>0</v>
      </c>
      <c r="K10" s="1373" t="s">
        <v>2118</v>
      </c>
      <c r="L10" s="312" t="s">
        <v>701</v>
      </c>
      <c r="M10" s="1112"/>
    </row>
    <row r="11" spans="1:37" ht="18" customHeight="1">
      <c r="A11" s="307"/>
      <c r="B11" s="1363" t="s">
        <v>890</v>
      </c>
      <c r="C11" s="955"/>
      <c r="D11" s="306"/>
      <c r="E11" s="312" t="s">
        <v>702</v>
      </c>
      <c r="F11" s="313">
        <f ca="1">'数据-取费表'!B39</f>
        <v>1.4999999999999999E-2</v>
      </c>
      <c r="G11" s="1380"/>
      <c r="H11" s="1073"/>
      <c r="I11" s="1363" t="s">
        <v>891</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146582845</v>
      </c>
      <c r="D13" s="1077" t="s">
        <v>705</v>
      </c>
      <c r="E13" s="1077" t="s">
        <v>706</v>
      </c>
      <c r="F13" s="1078">
        <f ca="1">INDIRECT("'数据-取费表'!y"&amp;$G$1)</f>
        <v>0.98</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83335000</v>
      </c>
      <c r="D14" s="1341" t="s">
        <v>708</v>
      </c>
      <c r="E14" s="1338"/>
      <c r="F14" s="318"/>
      <c r="G14" s="1380"/>
      <c r="H14" s="978" t="s">
        <v>398</v>
      </c>
      <c r="I14" s="301" t="s">
        <v>709</v>
      </c>
      <c r="J14" s="21">
        <f ca="1">C29</f>
        <v>149574332</v>
      </c>
      <c r="K14" s="12"/>
      <c r="L14" s="803"/>
      <c r="M14" s="804"/>
    </row>
    <row r="15" spans="1:37" s="1393" customFormat="1" ht="18" customHeight="1" thickBot="1">
      <c r="A15" s="978" t="s">
        <v>399</v>
      </c>
      <c r="B15" s="301" t="s">
        <v>710</v>
      </c>
      <c r="C15" s="21">
        <f ca="1">ROUND(C14*F15,0)</f>
        <v>6666800</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8333500</v>
      </c>
      <c r="D16" s="301" t="s">
        <v>711</v>
      </c>
      <c r="E16" s="301" t="s">
        <v>712</v>
      </c>
      <c r="F16" s="321">
        <f ca="1">IF(INDIRECT("'数据-取费表'!c"&amp;$G$1)="住宅",'数据-取费表'!B34,0)</f>
        <v>0.1</v>
      </c>
      <c r="G16" s="1380"/>
      <c r="H16" s="1075" t="s">
        <v>393</v>
      </c>
      <c r="I16" s="1076" t="s">
        <v>714</v>
      </c>
      <c r="J16" s="309">
        <f ca="1">ROUND(J17+J22+J23+J24,0)</f>
        <v>3007112</v>
      </c>
      <c r="K16" s="1083" t="s">
        <v>715</v>
      </c>
      <c r="L16" s="1084"/>
      <c r="M16" s="1068"/>
    </row>
    <row r="17" spans="1:37" s="1393" customFormat="1" ht="18" customHeight="1">
      <c r="A17" s="978" t="s">
        <v>681</v>
      </c>
      <c r="B17" s="301" t="s">
        <v>716</v>
      </c>
      <c r="C17" s="21">
        <f ca="1">ROUND(F17*(F43+INDIRECT("'数据-取费表'!S"&amp;$G$1)),0)</f>
        <v>3333400</v>
      </c>
      <c r="D17" s="301" t="s">
        <v>717</v>
      </c>
      <c r="E17" s="301" t="s">
        <v>718</v>
      </c>
      <c r="F17" s="23">
        <f>'数据-取费表'!B35</f>
        <v>200</v>
      </c>
      <c r="G17" s="1392"/>
      <c r="H17" s="978" t="s">
        <v>398</v>
      </c>
      <c r="I17" s="301" t="s">
        <v>719</v>
      </c>
      <c r="J17" s="2312">
        <f ca="1">ROUND(IF(AND(项目基本情况!B11="自然人",项目基本情况!B10="北京市"),J6*M17/(1+'数据-取费表'!C42),J18+J19+J20),0)</f>
        <v>15625</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1250025</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102918725</v>
      </c>
      <c r="D19" s="130" t="s">
        <v>726</v>
      </c>
      <c r="E19" s="1356"/>
      <c r="F19" s="23"/>
      <c r="G19" s="1380"/>
      <c r="H19" s="978" t="s">
        <v>399</v>
      </c>
      <c r="I19" s="301" t="s">
        <v>727</v>
      </c>
      <c r="J19" s="21">
        <f ca="1">IF(K19="按租金收入计税",ROUND(J6*M19/(1+'数据-取费表'!C42),0),ROUND(C29*M19*0.7,0))</f>
        <v>0</v>
      </c>
      <c r="K19" s="1366" t="s">
        <v>3340</v>
      </c>
      <c r="L19" s="301" t="s">
        <v>712</v>
      </c>
      <c r="M19" s="321">
        <f>IF(K19="按租金收入计税",'数据-取费表'!B51,'数据-取费表'!B50)</f>
        <v>0.12</v>
      </c>
    </row>
    <row r="20" spans="1:37" s="1393" customFormat="1" ht="18" customHeight="1">
      <c r="A20" s="978" t="s">
        <v>402</v>
      </c>
      <c r="B20" s="301" t="s">
        <v>728</v>
      </c>
      <c r="C20" s="21">
        <f ca="1">ROUND(C19*F20,0)</f>
        <v>2572968</v>
      </c>
      <c r="D20" s="322" t="s">
        <v>729</v>
      </c>
      <c r="E20" s="301" t="s">
        <v>712</v>
      </c>
      <c r="F20" s="321">
        <f>'数据-取费表'!B37</f>
        <v>2.5000000000000001E-2</v>
      </c>
      <c r="G20" s="1392"/>
      <c r="H20" s="978" t="s">
        <v>680</v>
      </c>
      <c r="I20" s="154" t="s">
        <v>730</v>
      </c>
      <c r="J20" s="22">
        <f ca="1">ROUND(M20*M21,0)</f>
        <v>15625</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2.5000000000000001E-2</v>
      </c>
      <c r="G21" s="1392"/>
      <c r="H21" s="325"/>
      <c r="I21" s="310"/>
      <c r="J21" s="26"/>
      <c r="K21" s="326"/>
      <c r="L21" s="301" t="s">
        <v>736</v>
      </c>
      <c r="M21" s="302">
        <f ca="1">INDIRECT("'数据-取费表'!r"&amp;$G$1)</f>
        <v>10416.879999999999</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ROUND(J14*M22,0)</f>
        <v>2991487</v>
      </c>
      <c r="K22" s="1340" t="s">
        <v>739</v>
      </c>
      <c r="L22" s="301" t="s">
        <v>712</v>
      </c>
      <c r="M22" s="327">
        <f ca="1">INDIRECT("'数据-取费表'!Ak"&amp;$G$1)</f>
        <v>0.02</v>
      </c>
    </row>
    <row r="23" spans="1:37" s="1393" customFormat="1" ht="18" customHeight="1">
      <c r="A23" s="978" t="s">
        <v>397</v>
      </c>
      <c r="B23" s="301" t="s">
        <v>740</v>
      </c>
      <c r="C23" s="21">
        <f ca="1">IF('数据-取费表'!B22&lt;=1,ROUND(C19*F24*F23/2,0)+ROUND(C20*F24*F23/2,0),ROUND(C19*(POWER((1+F24),F23/2)-1),0)+ROUND(C20*(POWER((1+F24),F23/2)-1),0))</f>
        <v>5010855</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ROUND(J13*M23,0)</f>
        <v>0</v>
      </c>
      <c r="K23" s="1340" t="s">
        <v>743</v>
      </c>
      <c r="L23" s="301" t="s">
        <v>744</v>
      </c>
      <c r="M23" s="329">
        <f ca="1">INDIRECT("'数据-取费表'!Al"&amp;$G$1)</f>
        <v>2E-3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4.7500000000000001E-2</v>
      </c>
      <c r="G24" s="1392"/>
      <c r="H24" s="1085" t="s">
        <v>684</v>
      </c>
      <c r="I24" s="1086" t="s">
        <v>728</v>
      </c>
      <c r="J24" s="1087">
        <f ca="1">ROUND(J5*M24,0)</f>
        <v>0</v>
      </c>
      <c r="K24" s="1088" t="s">
        <v>748</v>
      </c>
      <c r="L24" s="1086" t="s">
        <v>744</v>
      </c>
      <c r="M24" s="1082">
        <f ca="1">INDIRECT("'数据-取费表'!Am"&amp;$G$1)</f>
        <v>0.02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0" t="s">
        <v>751</v>
      </c>
      <c r="E25" s="1356"/>
      <c r="F25" s="23"/>
      <c r="G25" s="1380"/>
      <c r="H25" s="1075" t="s">
        <v>394</v>
      </c>
      <c r="I25" s="1090" t="s">
        <v>752</v>
      </c>
      <c r="J25" s="309">
        <f ca="1">J5-J16</f>
        <v>-3007112</v>
      </c>
      <c r="K25" s="1091" t="s">
        <v>753</v>
      </c>
      <c r="L25" s="1092"/>
      <c r="M25" s="1093"/>
    </row>
    <row r="26" spans="1:37" ht="18" customHeight="1">
      <c r="A26" s="978" t="s">
        <v>397</v>
      </c>
      <c r="B26" s="301" t="s">
        <v>754</v>
      </c>
      <c r="C26" s="21">
        <f ca="1">ROUND((C19+C20)*F26,0)</f>
        <v>26372923</v>
      </c>
      <c r="D26" s="322" t="s">
        <v>755</v>
      </c>
      <c r="E26" s="312" t="s">
        <v>756</v>
      </c>
      <c r="F26" s="311">
        <f ca="1">INDIRECT("'数据-取费表'!q"&amp;$G$1)</f>
        <v>0.25</v>
      </c>
      <c r="G26" s="1380"/>
      <c r="H26" s="298" t="s">
        <v>395</v>
      </c>
      <c r="I26" s="299" t="s">
        <v>757</v>
      </c>
      <c r="J26" s="300">
        <f ca="1">IF(J5&lt;&gt;0,ROUND(J25*(1-((1+M28)/(1+M26))^M27)/(M26-M28),0),0)</f>
        <v>0</v>
      </c>
      <c r="K26" s="323" t="s">
        <v>758</v>
      </c>
      <c r="L26" s="301" t="s">
        <v>759</v>
      </c>
      <c r="M26" s="311">
        <f ca="1">INDIRECT("'数据-取费表'!I"&amp;$G$1)</f>
        <v>4.4999999999999998E-2</v>
      </c>
    </row>
    <row r="27" spans="1:37" ht="18" customHeight="1">
      <c r="A27" s="978" t="s">
        <v>399</v>
      </c>
      <c r="B27" s="301" t="s">
        <v>760</v>
      </c>
      <c r="C27" s="21">
        <f ca="1">ROUND(F21*F26,4)</f>
        <v>6.3E-3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149574332</v>
      </c>
      <c r="D29" s="1088"/>
      <c r="E29" s="1086"/>
      <c r="F29" s="1089"/>
      <c r="G29" s="1392"/>
      <c r="H29" s="333" t="s">
        <v>396</v>
      </c>
      <c r="I29" s="334" t="s">
        <v>768</v>
      </c>
      <c r="J29" s="335">
        <f ca="1">ROUND(J26/(1+F40)^F41,0)</f>
        <v>0</v>
      </c>
      <c r="K29" s="336" t="s">
        <v>769</v>
      </c>
      <c r="L29" s="337"/>
      <c r="M29" s="338">
        <f ca="1">INDIRECT("'数据-取费表'!k"&amp;$G$1)</f>
        <v>16667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4778707</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ROUND(IF(AND(项目基本情况!B11="自然人",项目基本情况!B10="北京市"),C6*F31/(1+'数据-取费表'!C42),C32+C33+C34),0)</f>
        <v>1335651</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IF(项目基本情况!B11="自然人","——",ROUND(C6*F32/(1+'数据-取费表'!C42),0))</f>
        <v>414865</v>
      </c>
      <c r="D32" s="1340" t="s">
        <v>724</v>
      </c>
      <c r="E32" s="301" t="s">
        <v>712</v>
      </c>
      <c r="F32" s="330">
        <f>'数据-取费表'!B41</f>
        <v>5.5000000000000007E-2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IF(项目基本情况!B11="自然人","——",IF(D33="按租金收入计税",ROUND(C6*F33/(1+'数据-取费表'!C42),0),IF(D33="按房产原值计税",ROUND(C29*F33*0.7,0),INDIRECT("'数据-取费表'!Aj"&amp;$G$1))))</f>
        <v>905161</v>
      </c>
      <c r="D33" s="1366" t="s">
        <v>3340</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IF(项目基本情况!B11="自然人","——",ROUND(F34*F35,0))</f>
        <v>15625</v>
      </c>
      <c r="D34" s="323" t="s">
        <v>731</v>
      </c>
      <c r="E34" s="301" t="s">
        <v>732</v>
      </c>
      <c r="F34" s="324">
        <f>'数据-取费表'!B52</f>
        <v>1.5</v>
      </c>
      <c r="G34" s="1380"/>
      <c r="H34" s="2693"/>
      <c r="I34" s="1394"/>
      <c r="J34" s="1395"/>
      <c r="K34" s="2698"/>
      <c r="L34" s="2699"/>
      <c r="M34" s="2699"/>
    </row>
    <row r="35" spans="1:18" ht="18" customHeight="1">
      <c r="A35" s="1099"/>
      <c r="B35" s="1097"/>
      <c r="C35" s="26"/>
      <c r="D35" s="326"/>
      <c r="E35" s="301" t="s">
        <v>736</v>
      </c>
      <c r="F35" s="302">
        <f ca="1">INDIRECT("'数据-取费表'!r"&amp;$G$1)</f>
        <v>10416.879999999999</v>
      </c>
      <c r="G35" s="1380"/>
      <c r="H35" s="2693"/>
      <c r="I35" s="1394"/>
      <c r="J35" s="1395"/>
      <c r="K35" s="2697"/>
      <c r="L35" s="2696"/>
      <c r="M35" s="2696"/>
    </row>
    <row r="36" spans="1:18" ht="18" customHeight="1">
      <c r="A36" s="1098" t="s">
        <v>402</v>
      </c>
      <c r="B36" s="301" t="s">
        <v>738</v>
      </c>
      <c r="C36" s="21">
        <f ca="1">ROUND(C29*F36,0)</f>
        <v>2991487</v>
      </c>
      <c r="D36" s="1340" t="s">
        <v>771</v>
      </c>
      <c r="E36" s="301" t="s">
        <v>712</v>
      </c>
      <c r="F36" s="327">
        <f ca="1">INDIRECT("'数据-取费表'!Ak"&amp;$G$1)</f>
        <v>0.02</v>
      </c>
      <c r="G36" s="1380"/>
      <c r="H36" s="2696"/>
      <c r="I36" s="1394"/>
      <c r="J36" s="1395"/>
      <c r="K36" s="2540"/>
      <c r="L36" s="2696"/>
      <c r="M36" s="2696"/>
    </row>
    <row r="37" spans="1:18" ht="18" customHeight="1">
      <c r="A37" s="978" t="s">
        <v>437</v>
      </c>
      <c r="B37" s="301" t="s">
        <v>742</v>
      </c>
      <c r="C37" s="21">
        <f ca="1">ROUND(C13*F37,0)</f>
        <v>293166</v>
      </c>
      <c r="D37" s="1340" t="s">
        <v>743</v>
      </c>
      <c r="E37" s="301" t="s">
        <v>744</v>
      </c>
      <c r="F37" s="329">
        <f ca="1">INDIRECT("'数据-取费表'!Al"&amp;$G$1)</f>
        <v>2E-3</v>
      </c>
      <c r="G37" s="1380"/>
      <c r="H37" s="2696"/>
      <c r="I37" s="1394"/>
      <c r="J37" s="1395"/>
      <c r="K37" s="2540"/>
      <c r="L37" s="2696"/>
      <c r="M37" s="2696"/>
    </row>
    <row r="38" spans="1:18" ht="18" customHeight="1" thickBot="1">
      <c r="A38" s="1085" t="s">
        <v>684</v>
      </c>
      <c r="B38" s="1086" t="s">
        <v>728</v>
      </c>
      <c r="C38" s="1087">
        <f ca="1">ROUND(C5*F38,0)</f>
        <v>158403</v>
      </c>
      <c r="D38" s="1088" t="s">
        <v>748</v>
      </c>
      <c r="E38" s="1086" t="s">
        <v>744</v>
      </c>
      <c r="F38" s="1082">
        <f ca="1">INDIRECT("'数据-取费表'!Am"&amp;$G$1)</f>
        <v>0.02</v>
      </c>
      <c r="G38" s="1380"/>
      <c r="H38" s="2696"/>
      <c r="I38" s="1394"/>
      <c r="J38" s="1395"/>
      <c r="K38" s="2700"/>
      <c r="L38" s="2696"/>
      <c r="M38" s="2696"/>
    </row>
    <row r="39" spans="1:18" ht="24.6" customHeight="1" thickTop="1">
      <c r="A39" s="1075" t="s">
        <v>394</v>
      </c>
      <c r="B39" s="1090" t="s">
        <v>772</v>
      </c>
      <c r="C39" s="309">
        <f ca="1">C5-C30</f>
        <v>3141451</v>
      </c>
      <c r="D39" s="1091" t="s">
        <v>773</v>
      </c>
      <c r="E39" s="1092"/>
      <c r="F39" s="1093"/>
      <c r="G39" s="1380"/>
      <c r="H39" s="2696"/>
      <c r="I39" s="1394"/>
      <c r="J39" s="1395"/>
      <c r="K39" s="2700"/>
      <c r="L39" s="2696"/>
      <c r="M39" s="2696"/>
    </row>
    <row r="40" spans="1:18" ht="18" customHeight="1">
      <c r="A40" s="298" t="s">
        <v>395</v>
      </c>
      <c r="B40" s="299" t="s">
        <v>774</v>
      </c>
      <c r="C40" s="300">
        <f ca="1">ROUND(C39*(1-((1+F42)/(1+F40))^F41)/(F40-F42),0)</f>
        <v>98960320</v>
      </c>
      <c r="D40" s="323" t="s">
        <v>758</v>
      </c>
      <c r="E40" s="301" t="s">
        <v>759</v>
      </c>
      <c r="F40" s="311">
        <f ca="1">INDIRECT("'数据-取费表'!I"&amp;$G$1)</f>
        <v>4.4999999999999998E-2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63.97</v>
      </c>
      <c r="G41" s="1380"/>
      <c r="H41" s="1187"/>
      <c r="I41" s="1394"/>
      <c r="J41" s="1395"/>
      <c r="K41" s="2540"/>
      <c r="L41" s="1187"/>
      <c r="M41" s="1187"/>
    </row>
    <row r="42" spans="1:18" ht="18" customHeight="1">
      <c r="A42" s="307"/>
      <c r="B42" s="308"/>
      <c r="C42" s="309"/>
      <c r="D42" s="326"/>
      <c r="E42" s="301" t="s">
        <v>766</v>
      </c>
      <c r="F42" s="311">
        <f ca="1">INDIRECT("'数据-取费表'!v"&amp;$G$1)</f>
        <v>0.02</v>
      </c>
      <c r="G42" s="1380"/>
      <c r="H42" s="1187"/>
      <c r="I42" s="1394"/>
      <c r="J42" s="1395"/>
      <c r="K42" s="2540"/>
      <c r="L42" s="1187"/>
      <c r="M42" s="1187"/>
    </row>
    <row r="43" spans="1:18" ht="18" customHeight="1" thickBot="1">
      <c r="A43" s="333" t="s">
        <v>396</v>
      </c>
      <c r="B43" s="334" t="s">
        <v>776</v>
      </c>
      <c r="C43" s="335">
        <f ca="1">ROUND(C40/F43,0)</f>
        <v>5938</v>
      </c>
      <c r="D43" s="336" t="s">
        <v>777</v>
      </c>
      <c r="E43" s="337" t="s">
        <v>778</v>
      </c>
      <c r="F43" s="338">
        <f ca="1">INDIRECT("'数据-取费表'!k"&amp;$G$1)</f>
        <v>16667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3356</v>
      </c>
      <c r="B45" s="1396"/>
      <c r="C45" s="1468">
        <f ca="1">ROUND((C68-C40)/10000,4)</f>
        <v>-16790.9787</v>
      </c>
      <c r="D45" s="3427" t="s">
        <v>3357</v>
      </c>
      <c r="E45" s="1396"/>
      <c r="F45" s="1396"/>
      <c r="O45" s="1399" t="s">
        <v>808</v>
      </c>
      <c r="P45" s="1457"/>
      <c r="Q45" s="1457"/>
      <c r="R45" s="1457"/>
    </row>
    <row r="46" spans="1:18" s="1380" customFormat="1" ht="13.5" thickBot="1">
      <c r="A46" s="1400" t="s">
        <v>809</v>
      </c>
      <c r="C46" s="1401">
        <f ca="1">ROUND(C45,0)</f>
        <v>-16791</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c r="K47" s="1412" t="s">
        <v>816</v>
      </c>
      <c r="L47" s="1413">
        <f ca="1">INDIRECT("'数据-取费表'!d"&amp;$G$1)</f>
        <v>70</v>
      </c>
      <c r="M47" s="1376" t="str">
        <f>IF(ISNUMBER(FIND("住宅",C1)),"住宅","非住宅")</f>
        <v>非住宅</v>
      </c>
      <c r="O47" s="1414" t="s">
        <v>403</v>
      </c>
      <c r="P47" s="1415" t="s">
        <v>817</v>
      </c>
      <c r="Q47" s="1416">
        <f ca="1">C40+J29</f>
        <v>98960320</v>
      </c>
      <c r="R47" s="1416" t="s">
        <v>818</v>
      </c>
    </row>
    <row r="48" spans="1:18" s="1380" customFormat="1" ht="28.5" thickBot="1">
      <c r="A48" s="1106" t="s">
        <v>438</v>
      </c>
      <c r="B48" s="299" t="s">
        <v>692</v>
      </c>
      <c r="C48" s="1355">
        <f ca="1">C49+C53+C55</f>
        <v>0</v>
      </c>
      <c r="D48" s="1108"/>
      <c r="E48" s="1109"/>
      <c r="F48" s="958"/>
      <c r="G48" s="720"/>
      <c r="H48" s="721"/>
      <c r="I48" s="1417" t="s">
        <v>819</v>
      </c>
      <c r="J48" s="1418"/>
      <c r="K48" s="1419" t="s">
        <v>820</v>
      </c>
      <c r="L48" s="1420">
        <f ca="1">INDIRECT("'数据-取费表'!f"&amp;$G$1)</f>
        <v>63.97</v>
      </c>
      <c r="O48" s="1414" t="s">
        <v>404</v>
      </c>
      <c r="P48" s="1415" t="s">
        <v>821</v>
      </c>
      <c r="Q48" s="1416" t="str">
        <f ca="1">J60</f>
        <v>0</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c r="K49" s="1419" t="s">
        <v>824</v>
      </c>
      <c r="L49" s="1423"/>
      <c r="O49" s="1424" t="s">
        <v>405</v>
      </c>
      <c r="P49" s="1415" t="s">
        <v>825</v>
      </c>
      <c r="Q49" s="1416">
        <f ca="1">C29</f>
        <v>149574332</v>
      </c>
      <c r="R49" s="1416" t="s">
        <v>818</v>
      </c>
    </row>
    <row r="50" spans="1:18" s="1380" customFormat="1" ht="13.5" thickBot="1">
      <c r="A50" s="972"/>
      <c r="B50" s="975"/>
      <c r="C50" s="976"/>
      <c r="D50" s="949"/>
      <c r="E50" s="1052" t="s">
        <v>697</v>
      </c>
      <c r="F50" s="1053">
        <f ca="1">F7</f>
        <v>16667</v>
      </c>
      <c r="H50" s="721"/>
      <c r="I50" s="1417" t="s">
        <v>826</v>
      </c>
      <c r="J50" s="1425">
        <f>SUMPRODUCT((I63:I65=J47)*(J62:L62=J48)*(J63:L65))</f>
        <v>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12</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2119</v>
      </c>
      <c r="E53" s="312" t="s">
        <v>701</v>
      </c>
      <c r="F53" s="1112"/>
      <c r="I53" s="1435" t="s">
        <v>836</v>
      </c>
      <c r="J53" s="2164">
        <f ca="1">IF(M47="住宅",IF(D1="——",MAX(J51,L48),MAX(J51,L48-'数据-取费表'!B24)),IF(D1="——",MIN(J51,L48),MIN(J51,L48-'数据-取费表'!B24)))</f>
        <v>0</v>
      </c>
      <c r="K53" s="3834" t="s">
        <v>837</v>
      </c>
      <c r="L53" s="3835"/>
      <c r="O53" s="1414" t="s">
        <v>409</v>
      </c>
      <c r="P53" s="1415" t="s">
        <v>838</v>
      </c>
      <c r="Q53" s="1416">
        <f ca="1">Q47+Q48</f>
        <v>98960320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146582845</v>
      </c>
      <c r="D56" s="1443"/>
      <c r="E56" s="1444"/>
      <c r="F56" s="1436"/>
      <c r="I56" s="1445" t="s">
        <v>842</v>
      </c>
      <c r="J56" s="1446"/>
      <c r="K56" s="1417" t="s">
        <v>843</v>
      </c>
      <c r="L56" s="1420">
        <f ca="1">IF(L48&lt;J51,"——",L48-J51)</f>
        <v>63.97</v>
      </c>
      <c r="O56" s="1414" t="s">
        <v>403</v>
      </c>
      <c r="P56" s="1415" t="s">
        <v>817</v>
      </c>
      <c r="Q56" s="1416">
        <f ca="1">C40+J29</f>
        <v>98960320</v>
      </c>
      <c r="R56" s="1416" t="s">
        <v>818</v>
      </c>
    </row>
    <row r="57" spans="1:18" s="1380" customFormat="1" ht="24.75" thickBot="1">
      <c r="A57" s="1447"/>
      <c r="B57" s="946" t="s">
        <v>767</v>
      </c>
      <c r="C57" s="237">
        <f ca="1">C29</f>
        <v>149574332</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4" t="s">
        <v>393</v>
      </c>
      <c r="B58" s="954" t="s">
        <v>714</v>
      </c>
      <c r="C58" s="315">
        <f ca="1">ROUND(C59+C64+C65+C66,0)</f>
        <v>3300278</v>
      </c>
      <c r="D58" s="956" t="s">
        <v>715</v>
      </c>
      <c r="E58" s="957"/>
      <c r="F58" s="958"/>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15625</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0">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15625</v>
      </c>
      <c r="D62" s="961" t="s">
        <v>786</v>
      </c>
      <c r="E62" s="946" t="s">
        <v>787</v>
      </c>
      <c r="F62" s="324">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10416.879999999999</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2991487</v>
      </c>
      <c r="D64" s="960" t="s">
        <v>791</v>
      </c>
      <c r="E64" s="946" t="s">
        <v>783</v>
      </c>
      <c r="F64" s="327">
        <f t="shared" ca="1" si="0"/>
        <v>0.02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293166</v>
      </c>
      <c r="D65" s="960" t="s">
        <v>743</v>
      </c>
      <c r="E65" s="946" t="s">
        <v>744</v>
      </c>
      <c r="F65" s="329">
        <f t="shared" ca="1" si="0"/>
        <v>2E-3</v>
      </c>
      <c r="I65" s="1458" t="s">
        <v>867</v>
      </c>
      <c r="J65" s="1459">
        <v>40</v>
      </c>
      <c r="K65" s="1459">
        <v>30</v>
      </c>
      <c r="L65" s="1459">
        <v>50</v>
      </c>
      <c r="M65" s="1461">
        <v>0.02</v>
      </c>
      <c r="O65" s="1414" t="s">
        <v>403</v>
      </c>
      <c r="P65" s="1415" t="s">
        <v>868</v>
      </c>
      <c r="Q65" s="1416">
        <f ca="1">C40+J29</f>
        <v>98960320</v>
      </c>
      <c r="R65" s="1416" t="s">
        <v>818</v>
      </c>
    </row>
    <row r="66" spans="1:18" s="1380" customFormat="1" ht="16.5" thickBot="1">
      <c r="A66" s="978" t="s">
        <v>793</v>
      </c>
      <c r="B66" s="946" t="s">
        <v>728</v>
      </c>
      <c r="C66" s="21">
        <f ca="1">ROUND(C48*F66,0)</f>
        <v>0</v>
      </c>
      <c r="D66" s="960" t="s">
        <v>794</v>
      </c>
      <c r="E66" s="946" t="s">
        <v>712</v>
      </c>
      <c r="F66" s="311">
        <f t="shared" ca="1" si="0"/>
        <v>0.02</v>
      </c>
      <c r="O66" s="1414" t="s">
        <v>404</v>
      </c>
      <c r="P66" s="1415" t="s">
        <v>846</v>
      </c>
      <c r="Q66" s="1416" t="e">
        <f ca="1">L60</f>
        <v>#DIV/0!</v>
      </c>
      <c r="R66" s="1416" t="s">
        <v>869</v>
      </c>
    </row>
    <row r="67" spans="1:18" s="1380" customFormat="1" ht="16.5" thickBot="1">
      <c r="A67" s="953" t="s">
        <v>394</v>
      </c>
      <c r="B67" s="963" t="s">
        <v>752</v>
      </c>
      <c r="C67" s="315">
        <f ca="1">C48-C58</f>
        <v>-3300278</v>
      </c>
      <c r="D67" s="959" t="s">
        <v>753</v>
      </c>
      <c r="E67" s="964"/>
      <c r="F67" s="965"/>
      <c r="O67" s="1424" t="s">
        <v>405</v>
      </c>
      <c r="P67" s="1415" t="s">
        <v>850</v>
      </c>
      <c r="Q67" s="1462">
        <f ca="1">L51</f>
        <v>0</v>
      </c>
      <c r="R67" s="1416" t="s">
        <v>870</v>
      </c>
    </row>
    <row r="68" spans="1:18" s="1380" customFormat="1" ht="16.5" thickBot="1">
      <c r="A68" s="943" t="s">
        <v>395</v>
      </c>
      <c r="B68" s="944" t="s">
        <v>774</v>
      </c>
      <c r="C68" s="300">
        <f ca="1">ROUND(C67*(1-((1+F70)/(1+F68))^F69)/(F68-F70),0)</f>
        <v>-68949467</v>
      </c>
      <c r="D68" s="961" t="s">
        <v>758</v>
      </c>
      <c r="E68" s="946" t="s">
        <v>759</v>
      </c>
      <c r="F68" s="311">
        <f ca="1">F40</f>
        <v>4.4999999999999998E-2</v>
      </c>
      <c r="O68" s="1424" t="s">
        <v>406</v>
      </c>
      <c r="P68" s="1463" t="s">
        <v>871</v>
      </c>
      <c r="Q68" s="1416">
        <f ca="1">ROUND(Q69-Q70*Q71,0)</f>
        <v>-7852262</v>
      </c>
      <c r="R68" s="1416" t="s">
        <v>414</v>
      </c>
    </row>
    <row r="69" spans="1:18" s="1380" customFormat="1" ht="13.5" thickBot="1">
      <c r="A69" s="947"/>
      <c r="B69" s="948"/>
      <c r="C69" s="305"/>
      <c r="D69" s="966" t="s">
        <v>762</v>
      </c>
      <c r="E69" s="946" t="s">
        <v>763</v>
      </c>
      <c r="F69" s="332">
        <f ca="1">F41</f>
        <v>63.97</v>
      </c>
      <c r="O69" s="1424" t="s">
        <v>411</v>
      </c>
      <c r="P69" s="1463" t="s">
        <v>872</v>
      </c>
      <c r="Q69" s="1416">
        <f ca="1">C39</f>
        <v>3141451</v>
      </c>
      <c r="R69" s="1416" t="s">
        <v>818</v>
      </c>
    </row>
    <row r="70" spans="1:18" s="1380" customFormat="1" ht="13.5" thickBot="1">
      <c r="A70" s="950"/>
      <c r="B70" s="951"/>
      <c r="C70" s="309"/>
      <c r="D70" s="962"/>
      <c r="E70" s="946" t="s">
        <v>766</v>
      </c>
      <c r="F70" s="1050"/>
      <c r="O70" s="1424" t="s">
        <v>412</v>
      </c>
      <c r="P70" s="1463" t="s">
        <v>873</v>
      </c>
      <c r="Q70" s="1416">
        <f ca="1">C13</f>
        <v>146582845</v>
      </c>
      <c r="R70" s="1416" t="s">
        <v>818</v>
      </c>
    </row>
    <row r="71" spans="1:18" s="1380" customFormat="1" ht="13.5" thickBot="1">
      <c r="A71" s="967" t="s">
        <v>396</v>
      </c>
      <c r="B71" s="968" t="s">
        <v>776</v>
      </c>
      <c r="C71" s="335">
        <f ca="1">ROUND(C68/F71,0)</f>
        <v>-4137</v>
      </c>
      <c r="D71" s="969" t="s">
        <v>777</v>
      </c>
      <c r="E71" s="970" t="s">
        <v>778</v>
      </c>
      <c r="F71" s="338">
        <f ca="1">F43</f>
        <v>16667</v>
      </c>
      <c r="O71" s="1424" t="s">
        <v>413</v>
      </c>
      <c r="P71" s="1463" t="s">
        <v>874</v>
      </c>
      <c r="Q71" s="1427">
        <f ca="1">C76</f>
        <v>7.4999999999999997E-2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10993713</v>
      </c>
      <c r="D75" s="1380"/>
      <c r="E75" s="1380"/>
      <c r="F75" s="1380"/>
      <c r="K75" s="1398"/>
      <c r="L75" s="1380"/>
      <c r="O75" s="1414" t="s">
        <v>409</v>
      </c>
      <c r="P75" s="1415" t="s">
        <v>838</v>
      </c>
      <c r="Q75" s="1416" t="e">
        <f ca="1">Q65+Q66</f>
        <v>#DIV/0!</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-2.5</v>
      </c>
    </row>
    <row r="80" spans="1:18">
      <c r="B80" s="339" t="s">
        <v>800</v>
      </c>
      <c r="C80" s="273">
        <f ca="1">ROUND(C75/C39,3)</f>
        <v>3.5</v>
      </c>
    </row>
    <row r="81" spans="2:3">
      <c r="B81" s="269" t="s">
        <v>801</v>
      </c>
      <c r="C81" s="237"/>
    </row>
    <row r="82" spans="2:3">
      <c r="B82" s="272" t="s">
        <v>802</v>
      </c>
      <c r="C82" s="274">
        <f ca="1">1-C83</f>
        <v>-0.48100000000000009</v>
      </c>
    </row>
    <row r="83" spans="2:3">
      <c r="B83" s="272" t="s">
        <v>803</v>
      </c>
      <c r="C83" s="273">
        <f ca="1">ROUND(C13/C40,3)</f>
        <v>1.4810000000000001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1" t="s">
        <v>2318</v>
      </c>
      <c r="B2" s="2839" t="e">
        <f>IF(D2="——",C40,C40+E2)</f>
        <v>#DIV/0!</v>
      </c>
      <c r="C2" s="2840" t="s">
        <v>2319</v>
      </c>
      <c r="D2" s="3438" t="s">
        <v>3363</v>
      </c>
      <c r="E2" s="3439"/>
      <c r="F2" s="2842"/>
      <c r="G2" s="2843"/>
      <c r="H2" s="2844"/>
      <c r="I2" s="2845"/>
      <c r="J2" s="3836" t="s">
        <v>2320</v>
      </c>
      <c r="K2" s="3837"/>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838" t="s">
        <v>2330</v>
      </c>
      <c r="K3" s="3839"/>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838" t="s">
        <v>2332</v>
      </c>
      <c r="K4" s="3839"/>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840" t="s">
        <v>2336</v>
      </c>
      <c r="B6" s="3841"/>
      <c r="C6" s="3842"/>
      <c r="D6" s="2866"/>
      <c r="E6" s="2867"/>
      <c r="F6" s="2868"/>
      <c r="G6" s="2869"/>
      <c r="H6" s="2844"/>
      <c r="I6" s="2845"/>
      <c r="J6" s="3843">
        <v>1</v>
      </c>
      <c r="K6" s="3844"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843"/>
      <c r="K7" s="3845"/>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847" t="s">
        <v>2350</v>
      </c>
      <c r="C8" s="3848"/>
      <c r="D8" s="2885" t="s">
        <v>2351</v>
      </c>
      <c r="E8" s="2886" t="s">
        <v>2352</v>
      </c>
      <c r="F8" s="2887" t="s">
        <v>2353</v>
      </c>
      <c r="G8" s="2888"/>
      <c r="H8" s="2844"/>
      <c r="I8" s="2845"/>
      <c r="J8" s="3843"/>
      <c r="K8" s="3845"/>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847" t="s">
        <v>2356</v>
      </c>
      <c r="C9" s="3848"/>
      <c r="D9" s="2885">
        <f>ROUND(D6*E9,0)</f>
        <v>0</v>
      </c>
      <c r="E9" s="2889"/>
      <c r="F9" s="2890" t="s">
        <v>2357</v>
      </c>
      <c r="G9" s="2869"/>
      <c r="H9" s="2844"/>
      <c r="I9" s="2845"/>
      <c r="J9" s="3843"/>
      <c r="K9" s="3845"/>
      <c r="L9" s="2879" t="s">
        <v>2358</v>
      </c>
      <c r="M9" s="2880"/>
      <c r="N9" s="2856"/>
      <c r="O9" s="2881"/>
      <c r="P9" s="2881"/>
      <c r="Q9" s="2882">
        <v>365</v>
      </c>
      <c r="R9" s="2883">
        <f t="shared" si="0"/>
        <v>0</v>
      </c>
      <c r="S9" s="2837"/>
      <c r="T9" s="2837"/>
      <c r="U9" s="2837"/>
      <c r="V9" s="2845"/>
    </row>
    <row r="10" spans="1:22" s="2849" customFormat="1" ht="13.15" customHeight="1">
      <c r="A10" s="2884">
        <v>2</v>
      </c>
      <c r="B10" s="3847" t="s">
        <v>2359</v>
      </c>
      <c r="C10" s="3848"/>
      <c r="D10" s="2885">
        <f>ROUND(D6*E10,0)</f>
        <v>0</v>
      </c>
      <c r="E10" s="2889"/>
      <c r="F10" s="2890" t="s">
        <v>2360</v>
      </c>
      <c r="G10" s="2869"/>
      <c r="H10" s="2844"/>
      <c r="I10" s="2845"/>
      <c r="J10" s="3843"/>
      <c r="K10" s="3845"/>
      <c r="L10" s="2879" t="s">
        <v>2361</v>
      </c>
      <c r="M10" s="2880"/>
      <c r="N10" s="2856"/>
      <c r="O10" s="2881"/>
      <c r="P10" s="2881"/>
      <c r="Q10" s="2882">
        <v>365</v>
      </c>
      <c r="R10" s="2883">
        <f t="shared" si="0"/>
        <v>0</v>
      </c>
      <c r="S10" s="2837"/>
      <c r="T10" s="2837"/>
      <c r="U10" s="2837"/>
      <c r="V10" s="2845"/>
    </row>
    <row r="11" spans="1:22" s="2849" customFormat="1" ht="13.15" customHeight="1">
      <c r="A11" s="2884">
        <v>3</v>
      </c>
      <c r="B11" s="3847" t="s">
        <v>2362</v>
      </c>
      <c r="C11" s="3848"/>
      <c r="D11" s="2885">
        <f>D12+D14+D15+D16</f>
        <v>0</v>
      </c>
      <c r="E11" s="2891" t="e">
        <f>D11/D6</f>
        <v>#DIV/0!</v>
      </c>
      <c r="F11" s="2887"/>
      <c r="G11" s="2888"/>
      <c r="H11" s="2844"/>
      <c r="I11" s="2845"/>
      <c r="J11" s="3843"/>
      <c r="K11" s="3845"/>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849" t="s">
        <v>2365</v>
      </c>
      <c r="C12" s="3850"/>
      <c r="D12" s="2893">
        <f>ROUND(D13*1.2%*(1-30%),0)</f>
        <v>0</v>
      </c>
      <c r="E12" s="2894">
        <v>1.2E-2</v>
      </c>
      <c r="F12" s="2887" t="s">
        <v>2366</v>
      </c>
      <c r="G12" s="2888"/>
      <c r="H12" s="2844"/>
      <c r="I12" s="2845"/>
      <c r="J12" s="3843"/>
      <c r="K12" s="3845"/>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843"/>
      <c r="K13" s="3845"/>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849" t="s">
        <v>2371</v>
      </c>
      <c r="C14" s="3850"/>
      <c r="D14" s="2893">
        <f>ROUND(E14*B5/10000,0)</f>
        <v>0</v>
      </c>
      <c r="E14" s="2882"/>
      <c r="F14" s="2887" t="s">
        <v>2372</v>
      </c>
      <c r="G14" s="2888"/>
      <c r="H14" s="2844"/>
      <c r="I14" s="2845"/>
      <c r="J14" s="3843"/>
      <c r="K14" s="3846"/>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849" t="s">
        <v>2375</v>
      </c>
      <c r="C15" s="3850"/>
      <c r="D15" s="2893">
        <f>ROUND(D6*E15,0)</f>
        <v>0</v>
      </c>
      <c r="E15" s="2894">
        <v>5.5E-2</v>
      </c>
      <c r="F15" s="2887" t="s">
        <v>2376</v>
      </c>
      <c r="G15" s="2869"/>
      <c r="H15" s="2844"/>
      <c r="I15" s="2845"/>
      <c r="J15" s="3843">
        <v>2</v>
      </c>
      <c r="K15" s="3844"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849" t="s">
        <v>2384</v>
      </c>
      <c r="C16" s="3850"/>
      <c r="D16" s="2904">
        <f>D6*E16</f>
        <v>0</v>
      </c>
      <c r="E16" s="2905"/>
      <c r="F16" s="2890" t="s">
        <v>2385</v>
      </c>
      <c r="G16" s="2869"/>
      <c r="H16" s="2844"/>
      <c r="I16" s="2845"/>
      <c r="J16" s="3843"/>
      <c r="K16" s="3845"/>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851" t="s">
        <v>2387</v>
      </c>
      <c r="C17" s="3852"/>
      <c r="D17" s="2907">
        <f>ROUND(D6*E17,0)</f>
        <v>0</v>
      </c>
      <c r="E17" s="2908"/>
      <c r="F17" s="2909" t="s">
        <v>2388</v>
      </c>
      <c r="G17" s="2869"/>
      <c r="H17" s="2844"/>
      <c r="I17" s="2845"/>
      <c r="J17" s="3843"/>
      <c r="K17" s="3845"/>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843"/>
      <c r="K18" s="3845"/>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843"/>
      <c r="K19" s="3846"/>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43">
        <v>3</v>
      </c>
      <c r="K20" s="3844"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843"/>
      <c r="K21" s="3845"/>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843"/>
      <c r="K22" s="3845"/>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843"/>
      <c r="K23" s="3845"/>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843"/>
      <c r="K24" s="3846"/>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853">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85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836" t="s">
        <v>2320</v>
      </c>
      <c r="K32" s="3837"/>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838" t="s">
        <v>2330</v>
      </c>
      <c r="K33" s="3839"/>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838" t="s">
        <v>2332</v>
      </c>
      <c r="K34" s="383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843">
        <v>1</v>
      </c>
      <c r="K36" s="3844"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843"/>
      <c r="K37" s="3845"/>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43"/>
      <c r="K38" s="3845"/>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843"/>
      <c r="K39" s="3845"/>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843"/>
      <c r="K40" s="3846"/>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853">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85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t="e">
        <f ca="1">SUMIF(B6:B13,"&lt;&gt;#ref!",B6:B13)</f>
        <v>#DIV/0!</v>
      </c>
      <c r="C2" s="1868" t="s">
        <v>1651</v>
      </c>
      <c r="D2" s="1869" t="s">
        <v>1652</v>
      </c>
      <c r="E2" s="2603">
        <f>SUM(E6:E13)</f>
        <v>16667</v>
      </c>
      <c r="F2" s="2703"/>
      <c r="G2" s="1485"/>
      <c r="H2" s="1485"/>
      <c r="I2" s="1485"/>
      <c r="J2" s="1485"/>
      <c r="K2" s="1485"/>
      <c r="L2" s="1485"/>
      <c r="M2" s="1485"/>
      <c r="N2" s="1485"/>
      <c r="O2" s="1485"/>
      <c r="P2" s="1485"/>
      <c r="Q2" s="1485"/>
      <c r="R2" s="1485"/>
      <c r="S2" s="1485"/>
    </row>
    <row r="3" spans="1:22" ht="15.75">
      <c r="A3" s="1866" t="s">
        <v>686</v>
      </c>
      <c r="B3" s="2597" t="e">
        <f ca="1">ROUND(B2*10000/E2,0)</f>
        <v>#DIV/0!</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855" t="s">
        <v>1654</v>
      </c>
      <c r="C5" s="3856"/>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t="e">
        <f ca="1">IF(F6="是",'数据-取费表'!AO6,0)</f>
        <v>#DIV/0!</v>
      </c>
      <c r="C6" s="1868" t="s">
        <v>1651</v>
      </c>
      <c r="D6" s="2705"/>
      <c r="E6" s="2602">
        <f>IF(OR(A6=0,F6="否"),0,'数据-取费表'!K6+'数据-取费表'!S6)</f>
        <v>16667</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6" zoomScale="90" zoomScaleNormal="90" workbookViewId="0">
      <selection activeCell="Q1" sqref="Q1:T17"/>
    </sheetView>
  </sheetViews>
  <sheetFormatPr defaultRowHeight="13.5"/>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L101"/>
  <sheetViews>
    <sheetView workbookViewId="0">
      <selection activeCell="K53" sqref="K53"/>
    </sheetView>
  </sheetViews>
  <sheetFormatPr defaultColWidth="9.625" defaultRowHeight="13.5"/>
  <cols>
    <col min="1" max="2" width="9.625" style="1235"/>
    <col min="3" max="5" width="7.5" style="1235" customWidth="1"/>
    <col min="6" max="6" width="10.75" style="1235" customWidth="1"/>
    <col min="7" max="7" width="18.625" style="1235" customWidth="1"/>
    <col min="8" max="8" width="12.875" style="1235" customWidth="1"/>
    <col min="9" max="9" width="5.875" style="1235" customWidth="1"/>
    <col min="10" max="16384" width="9.625" style="1235"/>
  </cols>
  <sheetData>
    <row r="1" spans="1:12">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2" hidden="1">
      <c r="A2" s="3486">
        <v>45151.333831018521</v>
      </c>
      <c r="B2" s="1235" t="s">
        <v>6410</v>
      </c>
      <c r="C2" s="1235" t="s">
        <v>633</v>
      </c>
      <c r="D2" s="1235" t="s">
        <v>633</v>
      </c>
      <c r="E2" s="1235">
        <v>3</v>
      </c>
      <c r="F2" s="1235" t="s">
        <v>6411</v>
      </c>
      <c r="G2" s="1235" t="s">
        <v>6412</v>
      </c>
      <c r="H2" s="1235" t="s">
        <v>6413</v>
      </c>
      <c r="I2" s="1235" t="s">
        <v>6414</v>
      </c>
      <c r="J2" s="1235">
        <v>84</v>
      </c>
      <c r="K2" s="1235">
        <v>246</v>
      </c>
      <c r="L2" s="1235">
        <v>29461</v>
      </c>
    </row>
    <row r="3" spans="1:12" hidden="1">
      <c r="A3" s="3486">
        <v>45151.333831018521</v>
      </c>
      <c r="B3" s="1235" t="s">
        <v>6415</v>
      </c>
      <c r="C3" s="1235" t="s">
        <v>633</v>
      </c>
      <c r="D3" s="1235" t="s">
        <v>633</v>
      </c>
      <c r="E3" s="1235">
        <v>3</v>
      </c>
      <c r="F3" s="1235" t="s">
        <v>6416</v>
      </c>
      <c r="G3" s="1235" t="s">
        <v>6417</v>
      </c>
      <c r="H3" s="1235" t="s">
        <v>6413</v>
      </c>
      <c r="I3" s="1235" t="s">
        <v>6414</v>
      </c>
      <c r="J3" s="1235">
        <v>86</v>
      </c>
      <c r="K3" s="1235">
        <v>242</v>
      </c>
      <c r="L3" s="1235">
        <v>28268</v>
      </c>
    </row>
    <row r="4" spans="1:12" hidden="1">
      <c r="A4" s="3486">
        <v>45151.333831018521</v>
      </c>
      <c r="B4" s="1235" t="s">
        <v>6418</v>
      </c>
      <c r="C4" s="1235" t="s">
        <v>633</v>
      </c>
      <c r="D4" s="1235" t="s">
        <v>633</v>
      </c>
      <c r="E4" s="1235">
        <v>5</v>
      </c>
      <c r="F4" s="1235" t="s">
        <v>6419</v>
      </c>
      <c r="G4" s="1235" t="s">
        <v>6420</v>
      </c>
      <c r="H4" s="1235" t="s">
        <v>6413</v>
      </c>
      <c r="I4" s="1235" t="s">
        <v>6414</v>
      </c>
      <c r="J4" s="1235">
        <v>83</v>
      </c>
      <c r="K4" s="1235">
        <v>234.34</v>
      </c>
      <c r="L4" s="1235">
        <v>28068</v>
      </c>
    </row>
    <row r="5" spans="1:12" hidden="1">
      <c r="A5" s="3486">
        <v>45151.333831018521</v>
      </c>
      <c r="B5" s="1235" t="s">
        <v>6418</v>
      </c>
      <c r="C5" s="1235" t="s">
        <v>633</v>
      </c>
      <c r="D5" s="1235" t="s">
        <v>633</v>
      </c>
      <c r="E5" s="1235">
        <v>3</v>
      </c>
      <c r="F5" s="1235" t="s">
        <v>6421</v>
      </c>
      <c r="G5" s="1235" t="s">
        <v>6420</v>
      </c>
      <c r="H5" s="1235" t="s">
        <v>6413</v>
      </c>
      <c r="I5" s="1235" t="s">
        <v>6414</v>
      </c>
      <c r="J5" s="1235">
        <v>83</v>
      </c>
      <c r="K5" s="1235">
        <v>238.59</v>
      </c>
      <c r="L5" s="1235">
        <v>28577</v>
      </c>
    </row>
    <row r="6" spans="1:12" hidden="1">
      <c r="A6" s="3486">
        <v>45149.333831018521</v>
      </c>
      <c r="B6" s="1235" t="s">
        <v>6422</v>
      </c>
      <c r="C6" s="1235" t="s">
        <v>633</v>
      </c>
      <c r="D6" s="1235" t="s">
        <v>633</v>
      </c>
      <c r="E6" s="1235">
        <v>5</v>
      </c>
      <c r="F6" s="1235" t="s">
        <v>6423</v>
      </c>
      <c r="G6" s="1235" t="s">
        <v>6424</v>
      </c>
      <c r="H6" s="1235" t="s">
        <v>6413</v>
      </c>
      <c r="I6" s="1235" t="s">
        <v>6414</v>
      </c>
      <c r="J6" s="1235">
        <v>83</v>
      </c>
      <c r="K6" s="1235">
        <v>233</v>
      </c>
      <c r="L6" s="1235">
        <v>27918</v>
      </c>
    </row>
    <row r="7" spans="1:12" hidden="1">
      <c r="A7" s="3486">
        <v>45149.333831018521</v>
      </c>
      <c r="B7" s="1235" t="s">
        <v>6410</v>
      </c>
      <c r="C7" s="1235" t="s">
        <v>633</v>
      </c>
      <c r="D7" s="1235" t="s">
        <v>633</v>
      </c>
      <c r="E7" s="1235">
        <v>5</v>
      </c>
      <c r="F7" s="1235" t="s">
        <v>6425</v>
      </c>
      <c r="G7" s="1235" t="s">
        <v>6412</v>
      </c>
      <c r="H7" s="1235" t="s">
        <v>6413</v>
      </c>
      <c r="I7" s="1235" t="s">
        <v>6414</v>
      </c>
      <c r="J7" s="1235">
        <v>84</v>
      </c>
      <c r="K7" s="1235">
        <v>235</v>
      </c>
      <c r="L7" s="1235">
        <v>28144</v>
      </c>
    </row>
    <row r="8" spans="1:12" hidden="1">
      <c r="A8" s="3486">
        <v>45148.333831018521</v>
      </c>
      <c r="B8" s="1235" t="s">
        <v>6426</v>
      </c>
      <c r="C8" s="1235" t="s">
        <v>633</v>
      </c>
      <c r="D8" s="1235" t="s">
        <v>633</v>
      </c>
      <c r="E8" s="1235">
        <v>4</v>
      </c>
      <c r="F8" s="1235" t="s">
        <v>6427</v>
      </c>
      <c r="G8" s="1235" t="s">
        <v>6428</v>
      </c>
      <c r="H8" s="1235" t="s">
        <v>6413</v>
      </c>
      <c r="I8" s="1235" t="s">
        <v>6414</v>
      </c>
      <c r="J8" s="1235">
        <v>86</v>
      </c>
      <c r="K8" s="1235">
        <v>243.5</v>
      </c>
      <c r="L8" s="1235">
        <v>28460</v>
      </c>
    </row>
    <row r="9" spans="1:12" hidden="1">
      <c r="A9" s="3486">
        <v>45148.333831018521</v>
      </c>
      <c r="B9" s="1235" t="s">
        <v>6429</v>
      </c>
      <c r="C9" s="1235" t="s">
        <v>633</v>
      </c>
      <c r="D9" s="1235" t="s">
        <v>633</v>
      </c>
      <c r="E9" s="1235">
        <v>5</v>
      </c>
      <c r="F9" s="1235" t="s">
        <v>6430</v>
      </c>
      <c r="G9" s="1235" t="s">
        <v>6431</v>
      </c>
      <c r="H9" s="1235" t="s">
        <v>6413</v>
      </c>
      <c r="I9" s="1235" t="s">
        <v>6414</v>
      </c>
      <c r="J9" s="1235">
        <v>84</v>
      </c>
      <c r="K9" s="1235">
        <v>232</v>
      </c>
      <c r="L9" s="1235">
        <v>27774</v>
      </c>
    </row>
    <row r="10" spans="1:12">
      <c r="A10" s="3486">
        <v>45148.333831018521</v>
      </c>
      <c r="B10" s="1235" t="s">
        <v>6410</v>
      </c>
      <c r="C10" s="1235" t="s">
        <v>633</v>
      </c>
      <c r="D10" s="1235" t="s">
        <v>633</v>
      </c>
      <c r="E10" s="1235">
        <v>6</v>
      </c>
      <c r="F10" s="1235" t="s">
        <v>6432</v>
      </c>
      <c r="G10" s="1235" t="s">
        <v>6412</v>
      </c>
      <c r="H10" s="1235" t="s">
        <v>6413</v>
      </c>
      <c r="I10" s="1235" t="s">
        <v>6433</v>
      </c>
      <c r="J10" s="1235">
        <v>74</v>
      </c>
      <c r="K10" s="1235">
        <v>230</v>
      </c>
      <c r="L10" s="1235">
        <v>31006</v>
      </c>
    </row>
    <row r="11" spans="1:12" hidden="1">
      <c r="A11" s="3486">
        <v>45148.333831018521</v>
      </c>
      <c r="B11" s="1235" t="s">
        <v>6422</v>
      </c>
      <c r="C11" s="1235" t="s">
        <v>633</v>
      </c>
      <c r="D11" s="1235" t="s">
        <v>633</v>
      </c>
      <c r="E11" s="1235">
        <v>4</v>
      </c>
      <c r="F11" s="1235" t="s">
        <v>6434</v>
      </c>
      <c r="G11" s="1235" t="s">
        <v>6424</v>
      </c>
      <c r="H11" s="1235" t="s">
        <v>6413</v>
      </c>
      <c r="I11" s="1235" t="s">
        <v>6414</v>
      </c>
      <c r="J11" s="1235">
        <v>83</v>
      </c>
      <c r="K11" s="1235">
        <v>237.37</v>
      </c>
      <c r="L11" s="1235">
        <v>28442</v>
      </c>
    </row>
    <row r="12" spans="1:12">
      <c r="A12" s="3486">
        <v>45147.333831018521</v>
      </c>
      <c r="B12" s="1235" t="s">
        <v>6435</v>
      </c>
      <c r="C12" s="1235" t="s">
        <v>633</v>
      </c>
      <c r="D12" s="1235" t="s">
        <v>633</v>
      </c>
      <c r="E12" s="1235">
        <v>1</v>
      </c>
      <c r="F12" s="1235" t="s">
        <v>6436</v>
      </c>
      <c r="G12" s="1235" t="s">
        <v>6437</v>
      </c>
      <c r="H12" s="1235" t="s">
        <v>6413</v>
      </c>
      <c r="I12" s="1235" t="s">
        <v>6438</v>
      </c>
      <c r="J12" s="1235">
        <v>73</v>
      </c>
      <c r="K12" s="1235">
        <v>270</v>
      </c>
      <c r="L12" s="1235">
        <v>36981</v>
      </c>
    </row>
    <row r="13" spans="1:12" hidden="1">
      <c r="A13" s="3486">
        <v>45144.333831018521</v>
      </c>
      <c r="B13" s="1235" t="s">
        <v>6439</v>
      </c>
      <c r="C13" s="1235" t="s">
        <v>633</v>
      </c>
      <c r="D13" s="1235" t="s">
        <v>633</v>
      </c>
      <c r="E13" s="1235">
        <v>5</v>
      </c>
      <c r="F13" s="1235" t="s">
        <v>6425</v>
      </c>
      <c r="G13" s="1235" t="s">
        <v>6440</v>
      </c>
      <c r="H13" s="1235" t="s">
        <v>6413</v>
      </c>
      <c r="I13" s="1235" t="s">
        <v>6414</v>
      </c>
      <c r="J13" s="1235">
        <v>84</v>
      </c>
      <c r="K13" s="1235">
        <v>232</v>
      </c>
      <c r="L13" s="1235">
        <v>27771</v>
      </c>
    </row>
    <row r="14" spans="1:12" hidden="1">
      <c r="A14" s="3486">
        <v>45144.333831018521</v>
      </c>
      <c r="B14" s="1235" t="s">
        <v>6415</v>
      </c>
      <c r="C14" s="1235" t="s">
        <v>633</v>
      </c>
      <c r="D14" s="1235" t="s">
        <v>633</v>
      </c>
      <c r="E14" s="1235">
        <v>3</v>
      </c>
      <c r="F14" s="1235" t="s">
        <v>6441</v>
      </c>
      <c r="G14" s="1235" t="s">
        <v>6417</v>
      </c>
      <c r="H14" s="1235" t="s">
        <v>6413</v>
      </c>
      <c r="I14" s="1235" t="s">
        <v>6414</v>
      </c>
      <c r="J14" s="1235">
        <v>86</v>
      </c>
      <c r="K14" s="1235">
        <v>238</v>
      </c>
      <c r="L14" s="1235">
        <v>27800</v>
      </c>
    </row>
    <row r="15" spans="1:12" hidden="1">
      <c r="A15" s="3486">
        <v>45144.333831018521</v>
      </c>
      <c r="B15" s="1235" t="s">
        <v>6429</v>
      </c>
      <c r="C15" s="1235" t="s">
        <v>633</v>
      </c>
      <c r="D15" s="1235" t="s">
        <v>633</v>
      </c>
      <c r="E15" s="1235">
        <v>5</v>
      </c>
      <c r="F15" s="1235" t="s">
        <v>6425</v>
      </c>
      <c r="G15" s="1235" t="s">
        <v>6431</v>
      </c>
      <c r="H15" s="1235" t="s">
        <v>6413</v>
      </c>
      <c r="I15" s="1235" t="s">
        <v>6414</v>
      </c>
      <c r="J15" s="1235">
        <v>84</v>
      </c>
      <c r="K15" s="1235">
        <v>231.5</v>
      </c>
      <c r="L15" s="1235">
        <v>27715</v>
      </c>
    </row>
    <row r="16" spans="1:12" hidden="1">
      <c r="A16" s="3486">
        <v>45144.333831018521</v>
      </c>
      <c r="B16" s="1235" t="s">
        <v>6442</v>
      </c>
      <c r="C16" s="1235" t="s">
        <v>633</v>
      </c>
      <c r="D16" s="1235" t="s">
        <v>633</v>
      </c>
      <c r="E16" s="1235">
        <v>3</v>
      </c>
      <c r="F16" s="1235" t="s">
        <v>6443</v>
      </c>
      <c r="G16" s="1235" t="s">
        <v>6444</v>
      </c>
      <c r="H16" s="1235" t="s">
        <v>6413</v>
      </c>
      <c r="I16" s="1235" t="s">
        <v>6414</v>
      </c>
      <c r="J16" s="1235">
        <v>86</v>
      </c>
      <c r="K16" s="1235">
        <v>240</v>
      </c>
      <c r="L16" s="1235">
        <v>28050</v>
      </c>
    </row>
    <row r="17" spans="1:12" hidden="1">
      <c r="A17" s="3486">
        <v>45143.333831018521</v>
      </c>
      <c r="B17" s="1235" t="s">
        <v>6429</v>
      </c>
      <c r="C17" s="1235" t="s">
        <v>633</v>
      </c>
      <c r="D17" s="1235" t="s">
        <v>633</v>
      </c>
      <c r="E17" s="1235">
        <v>5</v>
      </c>
      <c r="F17" s="1235" t="s">
        <v>6445</v>
      </c>
      <c r="G17" s="1235" t="s">
        <v>6431</v>
      </c>
      <c r="H17" s="1235" t="s">
        <v>6413</v>
      </c>
      <c r="I17" s="1235" t="s">
        <v>6414</v>
      </c>
      <c r="J17" s="1235">
        <v>84</v>
      </c>
      <c r="K17" s="1235">
        <v>232</v>
      </c>
      <c r="L17" s="1235">
        <v>27774</v>
      </c>
    </row>
    <row r="18" spans="1:12" hidden="1">
      <c r="A18" s="3486">
        <v>45143.333831018521</v>
      </c>
      <c r="B18" s="1235" t="s">
        <v>6429</v>
      </c>
      <c r="C18" s="1235" t="s">
        <v>633</v>
      </c>
      <c r="D18" s="1235" t="s">
        <v>633</v>
      </c>
      <c r="E18" s="1235">
        <v>4</v>
      </c>
      <c r="F18" s="1235" t="s">
        <v>6446</v>
      </c>
      <c r="G18" s="1235" t="s">
        <v>6431</v>
      </c>
      <c r="H18" s="1235" t="s">
        <v>6413</v>
      </c>
      <c r="I18" s="1235" t="s">
        <v>6414</v>
      </c>
      <c r="J18" s="1235">
        <v>84</v>
      </c>
      <c r="K18" s="1235">
        <v>245.8</v>
      </c>
      <c r="L18" s="1235">
        <v>29427</v>
      </c>
    </row>
    <row r="19" spans="1:12">
      <c r="A19" s="3486">
        <v>45142.333831018521</v>
      </c>
      <c r="B19" s="1235" t="s">
        <v>6447</v>
      </c>
      <c r="C19" s="1235" t="s">
        <v>633</v>
      </c>
      <c r="D19" s="1235" t="s">
        <v>633</v>
      </c>
      <c r="E19" s="1235">
        <v>1</v>
      </c>
      <c r="F19" s="1235" t="s">
        <v>6448</v>
      </c>
      <c r="G19" s="1235" t="s">
        <v>6449</v>
      </c>
      <c r="H19" s="1235" t="s">
        <v>6413</v>
      </c>
      <c r="I19" s="1235" t="s">
        <v>6438</v>
      </c>
      <c r="J19" s="1235">
        <v>73</v>
      </c>
      <c r="K19" s="1235">
        <v>270</v>
      </c>
      <c r="L19" s="1235">
        <v>36770</v>
      </c>
    </row>
    <row r="20" spans="1:12" hidden="1">
      <c r="A20" s="3486">
        <v>45142.333831018521</v>
      </c>
      <c r="B20" s="1235" t="s">
        <v>6429</v>
      </c>
      <c r="C20" s="1235" t="s">
        <v>633</v>
      </c>
      <c r="D20" s="1235" t="s">
        <v>633</v>
      </c>
      <c r="E20" s="1235">
        <v>4</v>
      </c>
      <c r="F20" s="1235" t="s">
        <v>6450</v>
      </c>
      <c r="G20" s="1235" t="s">
        <v>6431</v>
      </c>
      <c r="H20" s="1235" t="s">
        <v>6413</v>
      </c>
      <c r="I20" s="1235" t="s">
        <v>6414</v>
      </c>
      <c r="J20" s="1235">
        <v>84</v>
      </c>
      <c r="K20" s="1235">
        <v>240.83</v>
      </c>
      <c r="L20" s="1235">
        <v>28702</v>
      </c>
    </row>
    <row r="21" spans="1:12" hidden="1">
      <c r="A21" s="3486">
        <v>45142.333831018521</v>
      </c>
      <c r="B21" s="1235" t="s">
        <v>6451</v>
      </c>
      <c r="C21" s="1235" t="s">
        <v>633</v>
      </c>
      <c r="D21" s="1235" t="s">
        <v>633</v>
      </c>
      <c r="E21" s="1235">
        <v>4</v>
      </c>
      <c r="F21" s="1235" t="s">
        <v>6452</v>
      </c>
      <c r="G21" s="1235" t="s">
        <v>6453</v>
      </c>
      <c r="H21" s="1235" t="s">
        <v>6413</v>
      </c>
      <c r="I21" s="1235" t="s">
        <v>6414</v>
      </c>
      <c r="J21" s="1235">
        <v>83</v>
      </c>
      <c r="K21" s="1235">
        <v>240.5</v>
      </c>
      <c r="L21" s="1235">
        <v>28805</v>
      </c>
    </row>
    <row r="22" spans="1:12" hidden="1">
      <c r="A22" s="3486">
        <v>45142.333831018521</v>
      </c>
      <c r="B22" s="1235" t="s">
        <v>6454</v>
      </c>
      <c r="C22" s="1235" t="s">
        <v>633</v>
      </c>
      <c r="D22" s="1235" t="s">
        <v>633</v>
      </c>
      <c r="E22" s="1235">
        <v>3</v>
      </c>
      <c r="F22" s="1235" t="s">
        <v>6455</v>
      </c>
      <c r="G22" s="1235" t="s">
        <v>6456</v>
      </c>
      <c r="H22" s="1235" t="s">
        <v>6413</v>
      </c>
      <c r="I22" s="1235" t="s">
        <v>6414</v>
      </c>
      <c r="J22" s="1235">
        <v>84</v>
      </c>
      <c r="K22" s="1235">
        <v>285.73</v>
      </c>
      <c r="L22" s="1235">
        <v>34048</v>
      </c>
    </row>
    <row r="23" spans="1:12">
      <c r="A23" s="3486">
        <v>45142.333831018521</v>
      </c>
      <c r="B23" s="1235" t="s">
        <v>6457</v>
      </c>
      <c r="C23" s="1235" t="s">
        <v>633</v>
      </c>
      <c r="D23" s="1235" t="s">
        <v>633</v>
      </c>
      <c r="E23" s="1235">
        <v>1</v>
      </c>
      <c r="F23" s="1235" t="s">
        <v>6458</v>
      </c>
      <c r="G23" s="1235" t="s">
        <v>6459</v>
      </c>
      <c r="H23" s="1235" t="s">
        <v>6413</v>
      </c>
      <c r="I23" s="1235" t="s">
        <v>6438</v>
      </c>
      <c r="J23" s="1235">
        <v>73</v>
      </c>
      <c r="K23" s="1235">
        <v>270</v>
      </c>
      <c r="L23" s="1235">
        <v>36810</v>
      </c>
    </row>
    <row r="24" spans="1:12">
      <c r="A24" s="3486">
        <v>45141.333831018521</v>
      </c>
      <c r="B24" s="1235" t="s">
        <v>6460</v>
      </c>
      <c r="C24" s="1235" t="s">
        <v>633</v>
      </c>
      <c r="D24" s="1235" t="s">
        <v>633</v>
      </c>
      <c r="E24" s="1235">
        <v>1</v>
      </c>
      <c r="F24" s="1235" t="s">
        <v>6461</v>
      </c>
      <c r="G24" s="1235" t="s">
        <v>6462</v>
      </c>
      <c r="H24" s="1235" t="s">
        <v>6413</v>
      </c>
      <c r="I24" s="1235" t="s">
        <v>6438</v>
      </c>
      <c r="J24" s="1235">
        <v>73</v>
      </c>
      <c r="K24" s="1235">
        <v>254</v>
      </c>
      <c r="L24" s="1235">
        <v>34619</v>
      </c>
    </row>
    <row r="25" spans="1:12" hidden="1">
      <c r="A25" s="3486">
        <v>45141.333831018521</v>
      </c>
      <c r="B25" s="1235" t="s">
        <v>6463</v>
      </c>
      <c r="C25" s="1235" t="s">
        <v>633</v>
      </c>
      <c r="D25" s="1235" t="s">
        <v>633</v>
      </c>
      <c r="E25" s="1235">
        <v>5</v>
      </c>
      <c r="F25" s="1235" t="s">
        <v>6419</v>
      </c>
      <c r="G25" s="1235" t="s">
        <v>6464</v>
      </c>
      <c r="H25" s="1235" t="s">
        <v>6413</v>
      </c>
      <c r="I25" s="1235" t="s">
        <v>6414</v>
      </c>
      <c r="J25" s="1235">
        <v>84</v>
      </c>
      <c r="K25" s="1235">
        <v>231.5</v>
      </c>
      <c r="L25" s="1235">
        <v>27711</v>
      </c>
    </row>
    <row r="26" spans="1:12" hidden="1">
      <c r="A26" s="3486">
        <v>45141.333831018521</v>
      </c>
      <c r="B26" s="1235" t="s">
        <v>6439</v>
      </c>
      <c r="C26" s="1235" t="s">
        <v>633</v>
      </c>
      <c r="D26" s="1235" t="s">
        <v>633</v>
      </c>
      <c r="E26" s="1235">
        <v>5</v>
      </c>
      <c r="F26" s="1235" t="s">
        <v>6465</v>
      </c>
      <c r="G26" s="1235" t="s">
        <v>6440</v>
      </c>
      <c r="H26" s="1235" t="s">
        <v>6413</v>
      </c>
      <c r="I26" s="1235" t="s">
        <v>6414</v>
      </c>
      <c r="J26" s="1235">
        <v>84</v>
      </c>
      <c r="K26" s="1235">
        <v>235</v>
      </c>
      <c r="L26" s="1235">
        <v>28003</v>
      </c>
    </row>
    <row r="27" spans="1:12" hidden="1">
      <c r="A27" s="3486">
        <v>45141.333831018521</v>
      </c>
      <c r="B27" s="1235" t="s">
        <v>6410</v>
      </c>
      <c r="C27" s="1235" t="s">
        <v>633</v>
      </c>
      <c r="D27" s="1235" t="s">
        <v>633</v>
      </c>
      <c r="E27" s="1235">
        <v>4</v>
      </c>
      <c r="F27" s="1235" t="s">
        <v>6466</v>
      </c>
      <c r="G27" s="1235" t="s">
        <v>6412</v>
      </c>
      <c r="H27" s="1235" t="s">
        <v>6413</v>
      </c>
      <c r="I27" s="1235" t="s">
        <v>6414</v>
      </c>
      <c r="J27" s="1235">
        <v>84</v>
      </c>
      <c r="K27" s="1235">
        <v>252.5</v>
      </c>
      <c r="L27" s="1235">
        <v>30240</v>
      </c>
    </row>
    <row r="28" spans="1:12">
      <c r="A28" s="3486">
        <v>45141.333831018521</v>
      </c>
      <c r="B28" s="1235" t="s">
        <v>6467</v>
      </c>
      <c r="C28" s="1235" t="s">
        <v>633</v>
      </c>
      <c r="D28" s="1235" t="s">
        <v>633</v>
      </c>
      <c r="E28" s="1235">
        <v>6</v>
      </c>
      <c r="F28" s="1235" t="s">
        <v>6468</v>
      </c>
      <c r="G28" s="1235" t="s">
        <v>6469</v>
      </c>
      <c r="H28" s="1235" t="s">
        <v>6413</v>
      </c>
      <c r="I28" s="1235" t="s">
        <v>6433</v>
      </c>
      <c r="J28" s="1235">
        <v>74</v>
      </c>
      <c r="K28" s="1235">
        <v>205.21</v>
      </c>
      <c r="L28" s="1235">
        <v>27825</v>
      </c>
    </row>
    <row r="29" spans="1:12" hidden="1">
      <c r="A29" s="3486">
        <v>45141.333831018521</v>
      </c>
      <c r="B29" s="1235" t="s">
        <v>6429</v>
      </c>
      <c r="C29" s="1235" t="s">
        <v>633</v>
      </c>
      <c r="D29" s="1235" t="s">
        <v>633</v>
      </c>
      <c r="E29" s="1235">
        <v>4</v>
      </c>
      <c r="F29" s="1235" t="s">
        <v>6466</v>
      </c>
      <c r="G29" s="1235" t="s">
        <v>6431</v>
      </c>
      <c r="H29" s="1235" t="s">
        <v>6413</v>
      </c>
      <c r="I29" s="1235" t="s">
        <v>6414</v>
      </c>
      <c r="J29" s="1235">
        <v>84</v>
      </c>
      <c r="K29" s="1235">
        <v>243.27</v>
      </c>
      <c r="L29" s="1235">
        <v>29123</v>
      </c>
    </row>
    <row r="30" spans="1:12" hidden="1">
      <c r="A30" s="3486">
        <v>45140.333831018521</v>
      </c>
      <c r="B30" s="1235" t="s">
        <v>6451</v>
      </c>
      <c r="C30" s="1235" t="s">
        <v>633</v>
      </c>
      <c r="D30" s="1235" t="s">
        <v>633</v>
      </c>
      <c r="E30" s="1235">
        <v>5</v>
      </c>
      <c r="F30" s="1235" t="s">
        <v>6425</v>
      </c>
      <c r="G30" s="1235" t="s">
        <v>6453</v>
      </c>
      <c r="H30" s="1235" t="s">
        <v>6413</v>
      </c>
      <c r="I30" s="1235" t="s">
        <v>6414</v>
      </c>
      <c r="J30" s="1235">
        <v>83</v>
      </c>
      <c r="K30" s="1235">
        <v>232</v>
      </c>
      <c r="L30" s="1235">
        <v>27788</v>
      </c>
    </row>
    <row r="31" spans="1:12" hidden="1">
      <c r="A31" s="3486">
        <v>45136.333831018521</v>
      </c>
      <c r="B31" s="1235" t="s">
        <v>6540</v>
      </c>
      <c r="C31" s="1235" t="s">
        <v>633</v>
      </c>
      <c r="D31" s="1235" t="s">
        <v>633</v>
      </c>
      <c r="E31" s="1235">
        <v>6</v>
      </c>
      <c r="F31" s="1235" t="s">
        <v>6515</v>
      </c>
      <c r="G31" s="1235" t="s">
        <v>6541</v>
      </c>
      <c r="H31" s="1235" t="s">
        <v>6413</v>
      </c>
      <c r="I31" s="1235" t="s">
        <v>6414</v>
      </c>
      <c r="J31" s="1235">
        <v>83</v>
      </c>
      <c r="K31" s="1235">
        <v>266.67</v>
      </c>
      <c r="L31" s="1235">
        <v>31948</v>
      </c>
    </row>
    <row r="32" spans="1:12" hidden="1">
      <c r="A32" s="3486">
        <v>45135.333831018521</v>
      </c>
      <c r="B32" s="1235" t="s">
        <v>6426</v>
      </c>
      <c r="C32" s="1235" t="s">
        <v>633</v>
      </c>
      <c r="D32" s="1235" t="s">
        <v>633</v>
      </c>
      <c r="E32" s="1235">
        <v>3</v>
      </c>
      <c r="F32" s="1235" t="s">
        <v>6542</v>
      </c>
      <c r="G32" s="1235" t="s">
        <v>6428</v>
      </c>
      <c r="H32" s="1235" t="s">
        <v>6413</v>
      </c>
      <c r="I32" s="1235" t="s">
        <v>6414</v>
      </c>
      <c r="J32" s="1235">
        <v>86</v>
      </c>
      <c r="K32" s="1235">
        <v>243.5</v>
      </c>
      <c r="L32" s="1235">
        <v>28460</v>
      </c>
    </row>
    <row r="33" spans="1:12" hidden="1">
      <c r="A33" s="3486">
        <v>45131.333831018521</v>
      </c>
      <c r="B33" s="1235" t="s">
        <v>6467</v>
      </c>
      <c r="C33" s="1235" t="s">
        <v>633</v>
      </c>
      <c r="D33" s="1235" t="s">
        <v>633</v>
      </c>
      <c r="E33" s="1235">
        <v>3</v>
      </c>
      <c r="F33" s="1235" t="s">
        <v>6455</v>
      </c>
      <c r="G33" s="1235" t="s">
        <v>6469</v>
      </c>
      <c r="H33" s="1235" t="s">
        <v>6413</v>
      </c>
      <c r="I33" s="1235" t="s">
        <v>6414</v>
      </c>
      <c r="J33" s="1235">
        <v>84</v>
      </c>
      <c r="K33" s="1235">
        <v>239.77</v>
      </c>
      <c r="L33" s="1235">
        <v>28705</v>
      </c>
    </row>
    <row r="34" spans="1:12" hidden="1">
      <c r="A34" s="3486">
        <v>45131.333831018521</v>
      </c>
      <c r="B34" s="1235" t="s">
        <v>6467</v>
      </c>
      <c r="C34" s="1235" t="s">
        <v>633</v>
      </c>
      <c r="D34" s="1235" t="s">
        <v>633</v>
      </c>
      <c r="E34" s="1235">
        <v>4</v>
      </c>
      <c r="F34" s="1235" t="s">
        <v>6543</v>
      </c>
      <c r="G34" s="1235" t="s">
        <v>6469</v>
      </c>
      <c r="H34" s="1235" t="s">
        <v>6413</v>
      </c>
      <c r="I34" s="1235" t="s">
        <v>6414</v>
      </c>
      <c r="J34" s="1235">
        <v>84</v>
      </c>
      <c r="K34" s="1235">
        <v>235</v>
      </c>
      <c r="L34" s="1235">
        <v>28134</v>
      </c>
    </row>
    <row r="35" spans="1:12">
      <c r="A35" s="3486">
        <v>45131.333831018521</v>
      </c>
      <c r="B35" s="1235" t="s">
        <v>6544</v>
      </c>
      <c r="C35" s="1235" t="s">
        <v>633</v>
      </c>
      <c r="D35" s="1235" t="s">
        <v>633</v>
      </c>
      <c r="E35" s="1235">
        <v>6</v>
      </c>
      <c r="F35" s="1235" t="s">
        <v>6468</v>
      </c>
      <c r="G35" s="1235" t="s">
        <v>6545</v>
      </c>
      <c r="H35" s="1235" t="s">
        <v>6413</v>
      </c>
      <c r="I35" s="1235" t="s">
        <v>6433</v>
      </c>
      <c r="J35" s="1235">
        <v>74</v>
      </c>
      <c r="K35" s="1235">
        <v>218.72</v>
      </c>
      <c r="L35" s="1235">
        <v>29469</v>
      </c>
    </row>
    <row r="36" spans="1:12" hidden="1">
      <c r="A36" s="3486">
        <v>45129.333831018521</v>
      </c>
      <c r="B36" s="1235" t="s">
        <v>6429</v>
      </c>
      <c r="C36" s="1235" t="s">
        <v>633</v>
      </c>
      <c r="D36" s="1235" t="s">
        <v>633</v>
      </c>
      <c r="E36" s="1235">
        <v>5</v>
      </c>
      <c r="F36" s="1235" t="s">
        <v>6419</v>
      </c>
      <c r="G36" s="1235" t="s">
        <v>6431</v>
      </c>
      <c r="H36" s="1235" t="s">
        <v>6413</v>
      </c>
      <c r="I36" s="1235" t="s">
        <v>6414</v>
      </c>
      <c r="J36" s="1235">
        <v>84</v>
      </c>
      <c r="K36" s="1235">
        <v>234.34</v>
      </c>
      <c r="L36" s="1235">
        <v>28055</v>
      </c>
    </row>
    <row r="37" spans="1:12" hidden="1">
      <c r="A37" s="3486">
        <v>45129.333831018521</v>
      </c>
      <c r="B37" s="1235" t="s">
        <v>6426</v>
      </c>
      <c r="C37" s="1235" t="s">
        <v>633</v>
      </c>
      <c r="D37" s="1235" t="s">
        <v>633</v>
      </c>
      <c r="E37" s="1235">
        <v>3</v>
      </c>
      <c r="F37" s="1235" t="s">
        <v>6443</v>
      </c>
      <c r="G37" s="1235" t="s">
        <v>6428</v>
      </c>
      <c r="H37" s="1235" t="s">
        <v>6413</v>
      </c>
      <c r="I37" s="1235" t="s">
        <v>6414</v>
      </c>
      <c r="J37" s="1235">
        <v>86</v>
      </c>
      <c r="K37" s="1235">
        <v>242</v>
      </c>
      <c r="L37" s="1235">
        <v>28284</v>
      </c>
    </row>
    <row r="38" spans="1:12" hidden="1">
      <c r="A38" s="3486">
        <v>45127.333831018521</v>
      </c>
      <c r="B38" s="1235" t="s">
        <v>6467</v>
      </c>
      <c r="C38" s="1235" t="s">
        <v>633</v>
      </c>
      <c r="D38" s="1235" t="s">
        <v>633</v>
      </c>
      <c r="E38" s="1235">
        <v>4</v>
      </c>
      <c r="F38" s="1235" t="s">
        <v>6450</v>
      </c>
      <c r="G38" s="1235" t="s">
        <v>6469</v>
      </c>
      <c r="H38" s="1235" t="s">
        <v>6413</v>
      </c>
      <c r="I38" s="1235" t="s">
        <v>6414</v>
      </c>
      <c r="J38" s="1235">
        <v>84</v>
      </c>
      <c r="K38" s="1235">
        <v>237</v>
      </c>
      <c r="L38" s="1235">
        <v>28245</v>
      </c>
    </row>
    <row r="39" spans="1:12">
      <c r="A39" s="3486">
        <v>45127.333831018521</v>
      </c>
      <c r="B39" s="1235" t="s">
        <v>6546</v>
      </c>
      <c r="C39" s="1235" t="s">
        <v>633</v>
      </c>
      <c r="D39" s="1235" t="s">
        <v>633</v>
      </c>
      <c r="E39" s="1235">
        <v>6</v>
      </c>
      <c r="F39" s="1235" t="s">
        <v>6509</v>
      </c>
      <c r="G39" s="1235" t="s">
        <v>6547</v>
      </c>
      <c r="H39" s="1235" t="s">
        <v>6413</v>
      </c>
      <c r="I39" s="1235" t="s">
        <v>6433</v>
      </c>
      <c r="J39" s="1235">
        <v>74</v>
      </c>
      <c r="K39" s="1235">
        <v>211.71</v>
      </c>
      <c r="L39" s="1235">
        <v>28738</v>
      </c>
    </row>
    <row r="40" spans="1:12">
      <c r="A40" s="3486">
        <v>45126.333831018521</v>
      </c>
      <c r="B40" s="1235" t="s">
        <v>6548</v>
      </c>
      <c r="C40" s="1235" t="s">
        <v>633</v>
      </c>
      <c r="D40" s="1235" t="s">
        <v>633</v>
      </c>
      <c r="E40" s="1235">
        <v>1</v>
      </c>
      <c r="F40" s="1235" t="s">
        <v>6436</v>
      </c>
      <c r="G40" s="1235" t="s">
        <v>6549</v>
      </c>
      <c r="H40" s="1235" t="s">
        <v>6413</v>
      </c>
      <c r="I40" s="1235" t="s">
        <v>6438</v>
      </c>
      <c r="J40" s="1235">
        <v>73</v>
      </c>
      <c r="K40" s="1235">
        <v>270.27999999999997</v>
      </c>
      <c r="L40" s="1235">
        <v>37019</v>
      </c>
    </row>
    <row r="41" spans="1:12">
      <c r="A41" s="3486">
        <v>45126.333831018521</v>
      </c>
      <c r="B41" s="1235" t="s">
        <v>6460</v>
      </c>
      <c r="C41" s="1235" t="s">
        <v>633</v>
      </c>
      <c r="D41" s="1235" t="s">
        <v>633</v>
      </c>
      <c r="E41" s="1235">
        <v>6</v>
      </c>
      <c r="F41" s="1235" t="s">
        <v>6515</v>
      </c>
      <c r="G41" s="1235" t="s">
        <v>6462</v>
      </c>
      <c r="H41" s="1235" t="s">
        <v>6413</v>
      </c>
      <c r="I41" s="1235" t="s">
        <v>6433</v>
      </c>
      <c r="J41" s="1235">
        <v>74</v>
      </c>
      <c r="K41" s="1235">
        <v>209.37</v>
      </c>
      <c r="L41" s="1235">
        <v>28413</v>
      </c>
    </row>
    <row r="42" spans="1:12" hidden="1">
      <c r="A42" s="3486">
        <v>45126.333831018521</v>
      </c>
      <c r="B42" s="1235" t="s">
        <v>6460</v>
      </c>
      <c r="C42" s="1235" t="s">
        <v>633</v>
      </c>
      <c r="D42" s="1235" t="s">
        <v>633</v>
      </c>
      <c r="E42" s="1235">
        <v>5</v>
      </c>
      <c r="F42" s="1235" t="s">
        <v>6550</v>
      </c>
      <c r="G42" s="1235" t="s">
        <v>6462</v>
      </c>
      <c r="H42" s="1235" t="s">
        <v>6413</v>
      </c>
      <c r="I42" s="1235" t="s">
        <v>6414</v>
      </c>
      <c r="J42" s="1235">
        <v>83</v>
      </c>
      <c r="K42" s="1235">
        <v>232</v>
      </c>
      <c r="L42" s="1235">
        <v>27798</v>
      </c>
    </row>
    <row r="43" spans="1:12" hidden="1">
      <c r="A43" s="3486">
        <v>45126.333831018521</v>
      </c>
      <c r="B43" s="1235" t="s">
        <v>6410</v>
      </c>
      <c r="C43" s="1235" t="s">
        <v>633</v>
      </c>
      <c r="D43" s="1235" t="s">
        <v>633</v>
      </c>
      <c r="E43" s="1235">
        <v>3</v>
      </c>
      <c r="F43" s="1235" t="s">
        <v>6455</v>
      </c>
      <c r="G43" s="1235" t="s">
        <v>6412</v>
      </c>
      <c r="H43" s="1235" t="s">
        <v>6413</v>
      </c>
      <c r="I43" s="1235" t="s">
        <v>6414</v>
      </c>
      <c r="J43" s="1235">
        <v>84</v>
      </c>
      <c r="K43" s="1235">
        <v>249.49</v>
      </c>
      <c r="L43" s="1235">
        <v>29880</v>
      </c>
    </row>
    <row r="44" spans="1:12" hidden="1">
      <c r="A44" s="3486">
        <v>45126.333831018521</v>
      </c>
      <c r="B44" s="1235" t="s">
        <v>6467</v>
      </c>
      <c r="C44" s="1235" t="s">
        <v>633</v>
      </c>
      <c r="D44" s="1235" t="s">
        <v>633</v>
      </c>
      <c r="E44" s="1235">
        <v>4</v>
      </c>
      <c r="F44" s="1235" t="s">
        <v>6452</v>
      </c>
      <c r="G44" s="1235" t="s">
        <v>6469</v>
      </c>
      <c r="H44" s="1235" t="s">
        <v>6413</v>
      </c>
      <c r="I44" s="1235" t="s">
        <v>6414</v>
      </c>
      <c r="J44" s="1235">
        <v>84</v>
      </c>
      <c r="K44" s="1235">
        <v>235</v>
      </c>
      <c r="L44" s="1235">
        <v>28134</v>
      </c>
    </row>
    <row r="45" spans="1:12">
      <c r="A45" s="3486">
        <v>45126.333831018521</v>
      </c>
      <c r="B45" s="1235" t="s">
        <v>6467</v>
      </c>
      <c r="C45" s="1235" t="s">
        <v>633</v>
      </c>
      <c r="D45" s="1235" t="s">
        <v>633</v>
      </c>
      <c r="E45" s="1235">
        <v>1</v>
      </c>
      <c r="F45" s="1235" t="s">
        <v>6458</v>
      </c>
      <c r="G45" s="1235" t="s">
        <v>6469</v>
      </c>
      <c r="H45" s="1235" t="s">
        <v>6413</v>
      </c>
      <c r="I45" s="1235" t="s">
        <v>6438</v>
      </c>
      <c r="J45" s="1235">
        <v>73</v>
      </c>
      <c r="K45" s="1235">
        <v>205</v>
      </c>
      <c r="L45" s="1235">
        <v>28067</v>
      </c>
    </row>
    <row r="46" spans="1:12" hidden="1">
      <c r="A46" s="3486">
        <v>45125.333831018521</v>
      </c>
      <c r="B46" s="1235" t="s">
        <v>6439</v>
      </c>
      <c r="C46" s="1235" t="s">
        <v>633</v>
      </c>
      <c r="D46" s="1235" t="s">
        <v>633</v>
      </c>
      <c r="E46" s="1235">
        <v>5</v>
      </c>
      <c r="F46" s="1235" t="s">
        <v>6445</v>
      </c>
      <c r="G46" s="1235" t="s">
        <v>6440</v>
      </c>
      <c r="H46" s="1235" t="s">
        <v>6413</v>
      </c>
      <c r="I46" s="1235" t="s">
        <v>6414</v>
      </c>
      <c r="J46" s="1235">
        <v>84</v>
      </c>
      <c r="K46" s="1235">
        <v>235.35</v>
      </c>
      <c r="L46" s="1235">
        <v>28045</v>
      </c>
    </row>
    <row r="47" spans="1:12">
      <c r="A47" s="3486">
        <v>45124.333831018521</v>
      </c>
      <c r="B47" s="1235" t="s">
        <v>6551</v>
      </c>
      <c r="C47" s="1235" t="s">
        <v>633</v>
      </c>
      <c r="D47" s="1235" t="s">
        <v>633</v>
      </c>
      <c r="E47" s="1235">
        <v>1</v>
      </c>
      <c r="F47" s="1235" t="s">
        <v>6552</v>
      </c>
      <c r="G47" s="1235" t="s">
        <v>6553</v>
      </c>
      <c r="H47" s="1235" t="s">
        <v>6413</v>
      </c>
      <c r="I47" s="1235" t="s">
        <v>6438</v>
      </c>
      <c r="J47" s="1235">
        <v>73</v>
      </c>
      <c r="K47" s="1235">
        <v>270.38</v>
      </c>
      <c r="L47" s="1235">
        <v>37018</v>
      </c>
    </row>
    <row r="48" spans="1:12" hidden="1">
      <c r="A48" s="3486">
        <v>45124.333831018521</v>
      </c>
      <c r="B48" s="1235" t="s">
        <v>6460</v>
      </c>
      <c r="C48" s="1235" t="s">
        <v>633</v>
      </c>
      <c r="D48" s="1235" t="s">
        <v>633</v>
      </c>
      <c r="E48" s="1235">
        <v>1</v>
      </c>
      <c r="F48" s="1235" t="s">
        <v>6554</v>
      </c>
      <c r="G48" s="1235" t="s">
        <v>6462</v>
      </c>
      <c r="H48" s="1235" t="s">
        <v>6413</v>
      </c>
      <c r="I48" s="1235" t="s">
        <v>6414</v>
      </c>
      <c r="J48" s="1235">
        <v>178</v>
      </c>
      <c r="K48" s="1235">
        <v>438.73</v>
      </c>
      <c r="L48" s="1235">
        <v>24628</v>
      </c>
    </row>
    <row r="49" spans="1:12" hidden="1">
      <c r="A49" s="3486">
        <v>45124.333831018521</v>
      </c>
      <c r="B49" s="1235" t="s">
        <v>6415</v>
      </c>
      <c r="C49" s="1235" t="s">
        <v>633</v>
      </c>
      <c r="D49" s="1235" t="s">
        <v>633</v>
      </c>
      <c r="E49" s="1235">
        <v>3</v>
      </c>
      <c r="F49" s="1235" t="s">
        <v>6555</v>
      </c>
      <c r="G49" s="1235" t="s">
        <v>6417</v>
      </c>
      <c r="H49" s="1235" t="s">
        <v>6413</v>
      </c>
      <c r="I49" s="1235" t="s">
        <v>6414</v>
      </c>
      <c r="J49" s="1235">
        <v>86</v>
      </c>
      <c r="K49" s="1235">
        <v>242</v>
      </c>
      <c r="L49" s="1235">
        <v>28268</v>
      </c>
    </row>
    <row r="50" spans="1:12">
      <c r="A50" s="3486">
        <v>45124.333831018521</v>
      </c>
      <c r="B50" s="1235" t="s">
        <v>6467</v>
      </c>
      <c r="C50" s="1235" t="s">
        <v>633</v>
      </c>
      <c r="D50" s="1235" t="s">
        <v>633</v>
      </c>
      <c r="E50" s="1235">
        <v>1</v>
      </c>
      <c r="F50" s="1235" t="s">
        <v>6556</v>
      </c>
      <c r="G50" s="1235" t="s">
        <v>6469</v>
      </c>
      <c r="H50" s="1235" t="s">
        <v>6413</v>
      </c>
      <c r="I50" s="1235" t="s">
        <v>6438</v>
      </c>
      <c r="J50" s="1235">
        <v>73</v>
      </c>
      <c r="K50" s="1235">
        <v>208</v>
      </c>
      <c r="L50" s="1235">
        <v>28330</v>
      </c>
    </row>
    <row r="51" spans="1:12" hidden="1">
      <c r="A51" s="3486">
        <v>45124.333831018521</v>
      </c>
      <c r="B51" s="1235" t="s">
        <v>6544</v>
      </c>
      <c r="C51" s="1235" t="s">
        <v>633</v>
      </c>
      <c r="D51" s="1235" t="s">
        <v>633</v>
      </c>
      <c r="E51" s="1235">
        <v>5</v>
      </c>
      <c r="F51" s="1235" t="s">
        <v>6465</v>
      </c>
      <c r="G51" s="1235" t="s">
        <v>6545</v>
      </c>
      <c r="H51" s="1235" t="s">
        <v>6413</v>
      </c>
      <c r="I51" s="1235" t="s">
        <v>6414</v>
      </c>
      <c r="J51" s="1235">
        <v>84</v>
      </c>
      <c r="K51" s="1235">
        <v>265</v>
      </c>
      <c r="L51" s="1235">
        <v>31578</v>
      </c>
    </row>
    <row r="52" spans="1:12" hidden="1">
      <c r="A52" s="3486">
        <v>45123.333831018521</v>
      </c>
      <c r="B52" s="1235" t="s">
        <v>6439</v>
      </c>
      <c r="C52" s="1235" t="s">
        <v>633</v>
      </c>
      <c r="D52" s="1235" t="s">
        <v>633</v>
      </c>
      <c r="E52" s="1235">
        <v>3</v>
      </c>
      <c r="F52" s="1235" t="s">
        <v>6441</v>
      </c>
      <c r="G52" s="1235" t="s">
        <v>6440</v>
      </c>
      <c r="H52" s="1235" t="s">
        <v>6413</v>
      </c>
      <c r="I52" s="1235" t="s">
        <v>6414</v>
      </c>
      <c r="J52" s="1235">
        <v>84</v>
      </c>
      <c r="K52" s="1235">
        <v>265</v>
      </c>
      <c r="L52" s="1235">
        <v>31721</v>
      </c>
    </row>
    <row r="53" spans="1:12">
      <c r="A53" s="3486">
        <v>45123.333831018521</v>
      </c>
      <c r="B53" s="1235" t="s">
        <v>6410</v>
      </c>
      <c r="C53" s="1235" t="s">
        <v>633</v>
      </c>
      <c r="D53" s="1235" t="s">
        <v>633</v>
      </c>
      <c r="E53" s="1235">
        <v>6</v>
      </c>
      <c r="F53" s="1235" t="s">
        <v>6515</v>
      </c>
      <c r="G53" s="1235" t="s">
        <v>6412</v>
      </c>
      <c r="H53" s="1235" t="s">
        <v>6413</v>
      </c>
      <c r="I53" s="1235" t="s">
        <v>6433</v>
      </c>
      <c r="J53" s="1235">
        <v>74</v>
      </c>
      <c r="K53" s="1235">
        <v>220.22</v>
      </c>
      <c r="L53" s="1235">
        <v>29873</v>
      </c>
    </row>
    <row r="54" spans="1:12" hidden="1">
      <c r="A54" s="3486">
        <v>45121.333831018521</v>
      </c>
      <c r="B54" s="1235" t="s">
        <v>6429</v>
      </c>
      <c r="C54" s="1235" t="s">
        <v>633</v>
      </c>
      <c r="D54" s="1235" t="s">
        <v>633</v>
      </c>
      <c r="E54" s="1235">
        <v>3</v>
      </c>
      <c r="F54" s="1235" t="s">
        <v>6421</v>
      </c>
      <c r="G54" s="1235" t="s">
        <v>6431</v>
      </c>
      <c r="H54" s="1235" t="s">
        <v>6413</v>
      </c>
      <c r="I54" s="1235" t="s">
        <v>6414</v>
      </c>
      <c r="J54" s="1235">
        <v>84</v>
      </c>
      <c r="K54" s="1235">
        <v>242.06</v>
      </c>
      <c r="L54" s="1235">
        <v>28978</v>
      </c>
    </row>
    <row r="55" spans="1:12" hidden="1">
      <c r="A55" s="3486">
        <v>45121.333831018521</v>
      </c>
      <c r="B55" s="1235" t="s">
        <v>6467</v>
      </c>
      <c r="C55" s="1235" t="s">
        <v>633</v>
      </c>
      <c r="D55" s="1235" t="s">
        <v>633</v>
      </c>
      <c r="E55" s="1235">
        <v>1</v>
      </c>
      <c r="F55" s="1235" t="s">
        <v>6557</v>
      </c>
      <c r="G55" s="1235" t="s">
        <v>6469</v>
      </c>
      <c r="H55" s="1235" t="s">
        <v>6413</v>
      </c>
      <c r="I55" s="1235" t="s">
        <v>6533</v>
      </c>
      <c r="J55" s="1235">
        <v>193</v>
      </c>
      <c r="K55" s="1235">
        <v>434.34</v>
      </c>
      <c r="L55" s="1235">
        <v>22529</v>
      </c>
    </row>
    <row r="56" spans="1:12">
      <c r="A56" s="3486">
        <v>45121.333831018521</v>
      </c>
      <c r="B56" s="1235" t="s">
        <v>6551</v>
      </c>
      <c r="C56" s="1235" t="s">
        <v>633</v>
      </c>
      <c r="D56" s="1235" t="s">
        <v>633</v>
      </c>
      <c r="E56" s="1235">
        <v>1</v>
      </c>
      <c r="F56" s="1235" t="s">
        <v>6436</v>
      </c>
      <c r="G56" s="1235" t="s">
        <v>6553</v>
      </c>
      <c r="H56" s="1235" t="s">
        <v>6413</v>
      </c>
      <c r="I56" s="1235" t="s">
        <v>6438</v>
      </c>
      <c r="J56" s="1235">
        <v>67</v>
      </c>
      <c r="K56" s="1235">
        <v>248.89</v>
      </c>
      <c r="L56" s="1235">
        <v>36999</v>
      </c>
    </row>
    <row r="57" spans="1:12" hidden="1">
      <c r="A57" s="3486">
        <v>45121.333831018521</v>
      </c>
      <c r="B57" s="1235" t="s">
        <v>6454</v>
      </c>
      <c r="C57" s="1235" t="s">
        <v>633</v>
      </c>
      <c r="D57" s="1235" t="s">
        <v>633</v>
      </c>
      <c r="E57" s="1235">
        <v>5</v>
      </c>
      <c r="F57" s="1235" t="s">
        <v>6558</v>
      </c>
      <c r="G57" s="1235" t="s">
        <v>6456</v>
      </c>
      <c r="H57" s="1235" t="s">
        <v>6413</v>
      </c>
      <c r="I57" s="1235" t="s">
        <v>6414</v>
      </c>
      <c r="J57" s="1235">
        <v>84</v>
      </c>
      <c r="K57" s="1235">
        <v>232</v>
      </c>
      <c r="L57" s="1235">
        <v>27771</v>
      </c>
    </row>
    <row r="58" spans="1:12" hidden="1">
      <c r="A58" s="3486">
        <v>45121.333831018521</v>
      </c>
      <c r="B58" s="1235" t="s">
        <v>6426</v>
      </c>
      <c r="C58" s="1235" t="s">
        <v>633</v>
      </c>
      <c r="D58" s="1235" t="s">
        <v>633</v>
      </c>
      <c r="E58" s="1235">
        <v>4</v>
      </c>
      <c r="F58" s="1235" t="s">
        <v>6450</v>
      </c>
      <c r="G58" s="1235" t="s">
        <v>6428</v>
      </c>
      <c r="H58" s="1235" t="s">
        <v>6413</v>
      </c>
      <c r="I58" s="1235" t="s">
        <v>6414</v>
      </c>
      <c r="J58" s="1235">
        <v>86</v>
      </c>
      <c r="K58" s="1235">
        <v>247.98</v>
      </c>
      <c r="L58" s="1235">
        <v>28855</v>
      </c>
    </row>
    <row r="59" spans="1:12" hidden="1">
      <c r="A59" s="3486">
        <v>45120.333831018521</v>
      </c>
      <c r="B59" s="1235" t="s">
        <v>6442</v>
      </c>
      <c r="C59" s="1235" t="s">
        <v>633</v>
      </c>
      <c r="D59" s="1235" t="s">
        <v>633</v>
      </c>
      <c r="E59" s="1235">
        <v>5</v>
      </c>
      <c r="F59" s="1235" t="s">
        <v>6430</v>
      </c>
      <c r="G59" s="1235" t="s">
        <v>6444</v>
      </c>
      <c r="H59" s="1235" t="s">
        <v>6413</v>
      </c>
      <c r="I59" s="1235" t="s">
        <v>6414</v>
      </c>
      <c r="J59" s="1235">
        <v>86</v>
      </c>
      <c r="K59" s="1235">
        <v>242.93</v>
      </c>
      <c r="L59" s="1235">
        <v>28393</v>
      </c>
    </row>
    <row r="60" spans="1:12" hidden="1">
      <c r="A60" s="3486">
        <v>45120.333831018521</v>
      </c>
      <c r="B60" s="1235" t="s">
        <v>6559</v>
      </c>
      <c r="C60" s="1235" t="s">
        <v>633</v>
      </c>
      <c r="D60" s="1235" t="s">
        <v>633</v>
      </c>
      <c r="E60" s="1235">
        <v>5</v>
      </c>
      <c r="F60" s="1235" t="s">
        <v>6425</v>
      </c>
      <c r="G60" s="1235" t="s">
        <v>6560</v>
      </c>
      <c r="H60" s="1235" t="s">
        <v>6413</v>
      </c>
      <c r="I60" s="1235" t="s">
        <v>6414</v>
      </c>
      <c r="J60" s="1235">
        <v>84</v>
      </c>
      <c r="K60" s="1235">
        <v>234.34</v>
      </c>
      <c r="L60" s="1235">
        <v>28052</v>
      </c>
    </row>
    <row r="61" spans="1:12" hidden="1">
      <c r="A61" s="3486">
        <v>45120.333831018521</v>
      </c>
      <c r="B61" s="1235" t="s">
        <v>6426</v>
      </c>
      <c r="C61" s="1235" t="s">
        <v>633</v>
      </c>
      <c r="D61" s="1235" t="s">
        <v>633</v>
      </c>
      <c r="E61" s="1235">
        <v>3</v>
      </c>
      <c r="F61" s="1235" t="s">
        <v>6416</v>
      </c>
      <c r="G61" s="1235" t="s">
        <v>6428</v>
      </c>
      <c r="H61" s="1235" t="s">
        <v>6413</v>
      </c>
      <c r="I61" s="1235" t="s">
        <v>6414</v>
      </c>
      <c r="J61" s="1235">
        <v>86</v>
      </c>
      <c r="K61" s="1235">
        <v>243.5</v>
      </c>
      <c r="L61" s="1235">
        <v>28460</v>
      </c>
    </row>
    <row r="62" spans="1:12" hidden="1">
      <c r="A62" s="3486">
        <v>45119.333831018521</v>
      </c>
      <c r="B62" s="1235" t="s">
        <v>6426</v>
      </c>
      <c r="C62" s="1235" t="s">
        <v>633</v>
      </c>
      <c r="D62" s="1235" t="s">
        <v>633</v>
      </c>
      <c r="E62" s="1235">
        <v>4</v>
      </c>
      <c r="F62" s="1235" t="s">
        <v>6561</v>
      </c>
      <c r="G62" s="1235" t="s">
        <v>6428</v>
      </c>
      <c r="H62" s="1235" t="s">
        <v>6413</v>
      </c>
      <c r="I62" s="1235" t="s">
        <v>6414</v>
      </c>
      <c r="J62" s="1235">
        <v>86</v>
      </c>
      <c r="K62" s="1235">
        <v>243.5</v>
      </c>
      <c r="L62" s="1235">
        <v>28334</v>
      </c>
    </row>
    <row r="63" spans="1:12">
      <c r="A63" s="3486">
        <v>45119.333831018521</v>
      </c>
      <c r="B63" s="1235" t="s">
        <v>6540</v>
      </c>
      <c r="C63" s="1235" t="s">
        <v>633</v>
      </c>
      <c r="D63" s="1235" t="s">
        <v>633</v>
      </c>
      <c r="E63" s="1235">
        <v>1</v>
      </c>
      <c r="F63" s="1235" t="s">
        <v>6461</v>
      </c>
      <c r="G63" s="1235" t="s">
        <v>6541</v>
      </c>
      <c r="H63" s="1235" t="s">
        <v>6413</v>
      </c>
      <c r="I63" s="1235" t="s">
        <v>6438</v>
      </c>
      <c r="J63" s="1235">
        <v>73</v>
      </c>
      <c r="K63" s="1235">
        <v>284.33</v>
      </c>
      <c r="L63" s="1235">
        <v>38886</v>
      </c>
    </row>
    <row r="64" spans="1:12" hidden="1">
      <c r="A64" s="3486">
        <v>45119.333831018521</v>
      </c>
      <c r="B64" s="1235" t="s">
        <v>6429</v>
      </c>
      <c r="C64" s="1235" t="s">
        <v>633</v>
      </c>
      <c r="D64" s="1235" t="s">
        <v>633</v>
      </c>
      <c r="E64" s="1235">
        <v>3</v>
      </c>
      <c r="F64" s="1235" t="s">
        <v>6455</v>
      </c>
      <c r="G64" s="1235" t="s">
        <v>6431</v>
      </c>
      <c r="H64" s="1235" t="s">
        <v>6413</v>
      </c>
      <c r="I64" s="1235" t="s">
        <v>6414</v>
      </c>
      <c r="J64" s="1235">
        <v>84</v>
      </c>
      <c r="K64" s="1235">
        <v>242.06</v>
      </c>
      <c r="L64" s="1235">
        <v>28978</v>
      </c>
    </row>
    <row r="65" spans="1:12" hidden="1">
      <c r="A65" s="3486">
        <v>45119.333831018521</v>
      </c>
      <c r="B65" s="1235" t="s">
        <v>6534</v>
      </c>
      <c r="C65" s="1235" t="s">
        <v>633</v>
      </c>
      <c r="D65" s="1235" t="s">
        <v>633</v>
      </c>
      <c r="E65" s="1235">
        <v>1</v>
      </c>
      <c r="F65" s="1235" t="s">
        <v>6562</v>
      </c>
      <c r="G65" s="1235" t="s">
        <v>6563</v>
      </c>
      <c r="H65" s="1235" t="s">
        <v>6413</v>
      </c>
      <c r="I65" s="1235" t="s">
        <v>6533</v>
      </c>
      <c r="J65" s="1235">
        <v>189</v>
      </c>
      <c r="K65" s="1235">
        <v>487.35</v>
      </c>
      <c r="L65" s="1235">
        <v>25795</v>
      </c>
    </row>
    <row r="66" spans="1:12" hidden="1">
      <c r="A66" s="3486">
        <v>45119.333831018521</v>
      </c>
      <c r="B66" s="1235" t="s">
        <v>6564</v>
      </c>
      <c r="C66" s="1235" t="s">
        <v>633</v>
      </c>
      <c r="D66" s="1235" t="s">
        <v>633</v>
      </c>
      <c r="E66" s="1235">
        <v>4</v>
      </c>
      <c r="F66" s="1235" t="s">
        <v>6543</v>
      </c>
      <c r="G66" s="1235" t="s">
        <v>6565</v>
      </c>
      <c r="H66" s="1235" t="s">
        <v>6413</v>
      </c>
      <c r="I66" s="1235" t="s">
        <v>6414</v>
      </c>
      <c r="J66" s="1235">
        <v>84</v>
      </c>
      <c r="K66" s="1235">
        <v>241.5</v>
      </c>
      <c r="L66" s="1235">
        <v>28912</v>
      </c>
    </row>
    <row r="67" spans="1:12">
      <c r="A67" s="3486">
        <v>45119.333831018521</v>
      </c>
      <c r="B67" s="1235" t="s">
        <v>6457</v>
      </c>
      <c r="C67" s="1235" t="s">
        <v>633</v>
      </c>
      <c r="D67" s="1235" t="s">
        <v>633</v>
      </c>
      <c r="E67" s="1235">
        <v>1</v>
      </c>
      <c r="F67" s="1235" t="s">
        <v>6566</v>
      </c>
      <c r="G67" s="1235" t="s">
        <v>6459</v>
      </c>
      <c r="H67" s="1235" t="s">
        <v>6413</v>
      </c>
      <c r="I67" s="1235" t="s">
        <v>6438</v>
      </c>
      <c r="J67" s="1235">
        <v>73</v>
      </c>
      <c r="K67" s="1235">
        <v>270.12</v>
      </c>
      <c r="L67" s="1235">
        <v>37018</v>
      </c>
    </row>
    <row r="68" spans="1:12" hidden="1">
      <c r="A68" s="3486">
        <v>45117.333831018521</v>
      </c>
      <c r="B68" s="1235" t="s">
        <v>6564</v>
      </c>
      <c r="C68" s="1235" t="s">
        <v>633</v>
      </c>
      <c r="D68" s="1235" t="s">
        <v>633</v>
      </c>
      <c r="E68" s="1235">
        <v>4</v>
      </c>
      <c r="F68" s="1235" t="s">
        <v>6452</v>
      </c>
      <c r="G68" s="1235" t="s">
        <v>6565</v>
      </c>
      <c r="H68" s="1235" t="s">
        <v>6413</v>
      </c>
      <c r="I68" s="1235" t="s">
        <v>6414</v>
      </c>
      <c r="J68" s="1235">
        <v>84</v>
      </c>
      <c r="K68" s="1235">
        <v>243.26</v>
      </c>
      <c r="L68" s="1235">
        <v>29123</v>
      </c>
    </row>
    <row r="69" spans="1:12" hidden="1">
      <c r="A69" s="3486">
        <v>45117.333831018521</v>
      </c>
      <c r="B69" s="1235" t="s">
        <v>6426</v>
      </c>
      <c r="C69" s="1235" t="s">
        <v>633</v>
      </c>
      <c r="D69" s="1235" t="s">
        <v>633</v>
      </c>
      <c r="E69" s="1235">
        <v>4</v>
      </c>
      <c r="F69" s="1235" t="s">
        <v>6434</v>
      </c>
      <c r="G69" s="1235" t="s">
        <v>6428</v>
      </c>
      <c r="H69" s="1235" t="s">
        <v>6413</v>
      </c>
      <c r="I69" s="1235" t="s">
        <v>6414</v>
      </c>
      <c r="J69" s="1235">
        <v>86</v>
      </c>
      <c r="K69" s="1235">
        <v>243.5</v>
      </c>
      <c r="L69" s="1235">
        <v>28460</v>
      </c>
    </row>
    <row r="70" spans="1:12" hidden="1">
      <c r="A70" s="3486">
        <v>45116.333831018521</v>
      </c>
      <c r="B70" s="1235" t="s">
        <v>6410</v>
      </c>
      <c r="C70" s="1235" t="s">
        <v>633</v>
      </c>
      <c r="D70" s="1235" t="s">
        <v>633</v>
      </c>
      <c r="E70" s="1235">
        <v>3</v>
      </c>
      <c r="F70" s="1235" t="s">
        <v>6567</v>
      </c>
      <c r="G70" s="1235" t="s">
        <v>6412</v>
      </c>
      <c r="H70" s="1235" t="s">
        <v>6413</v>
      </c>
      <c r="I70" s="1235" t="s">
        <v>6414</v>
      </c>
      <c r="J70" s="1235">
        <v>84</v>
      </c>
      <c r="K70" s="1235">
        <v>251</v>
      </c>
      <c r="L70" s="1235">
        <v>30060</v>
      </c>
    </row>
    <row r="71" spans="1:12">
      <c r="A71" s="3486">
        <v>45116.333831018521</v>
      </c>
      <c r="B71" s="1235" t="s">
        <v>6454</v>
      </c>
      <c r="C71" s="1235" t="s">
        <v>633</v>
      </c>
      <c r="D71" s="1235" t="s">
        <v>633</v>
      </c>
      <c r="E71" s="1235">
        <v>1</v>
      </c>
      <c r="F71" s="1235" t="s">
        <v>6448</v>
      </c>
      <c r="G71" s="1235" t="s">
        <v>6456</v>
      </c>
      <c r="H71" s="1235" t="s">
        <v>6413</v>
      </c>
      <c r="I71" s="1235" t="s">
        <v>6438</v>
      </c>
      <c r="J71" s="1235">
        <v>73</v>
      </c>
      <c r="K71" s="1235">
        <v>284.45</v>
      </c>
      <c r="L71" s="1235">
        <v>38737</v>
      </c>
    </row>
    <row r="72" spans="1:12" hidden="1">
      <c r="A72" s="3486">
        <v>45116.333831018521</v>
      </c>
      <c r="B72" s="1235" t="s">
        <v>6415</v>
      </c>
      <c r="C72" s="1235" t="s">
        <v>633</v>
      </c>
      <c r="D72" s="1235" t="s">
        <v>633</v>
      </c>
      <c r="E72" s="1235">
        <v>5</v>
      </c>
      <c r="F72" s="1235" t="s">
        <v>6568</v>
      </c>
      <c r="G72" s="1235" t="s">
        <v>6417</v>
      </c>
      <c r="H72" s="1235" t="s">
        <v>6413</v>
      </c>
      <c r="I72" s="1235" t="s">
        <v>6414</v>
      </c>
      <c r="J72" s="1235">
        <v>86</v>
      </c>
      <c r="K72" s="1235">
        <v>244.5</v>
      </c>
      <c r="L72" s="1235">
        <v>28434</v>
      </c>
    </row>
    <row r="73" spans="1:12" hidden="1">
      <c r="A73" s="3486">
        <v>45116.333831018521</v>
      </c>
      <c r="B73" s="1235" t="s">
        <v>6422</v>
      </c>
      <c r="C73" s="1235" t="s">
        <v>633</v>
      </c>
      <c r="D73" s="1235" t="s">
        <v>633</v>
      </c>
      <c r="E73" s="1235">
        <v>3</v>
      </c>
      <c r="F73" s="1235" t="s">
        <v>6517</v>
      </c>
      <c r="G73" s="1235" t="s">
        <v>6424</v>
      </c>
      <c r="H73" s="1235" t="s">
        <v>6413</v>
      </c>
      <c r="I73" s="1235" t="s">
        <v>6414</v>
      </c>
      <c r="J73" s="1235">
        <v>84</v>
      </c>
      <c r="K73" s="1235">
        <v>237.51</v>
      </c>
      <c r="L73" s="1235">
        <v>28325</v>
      </c>
    </row>
    <row r="74" spans="1:12" hidden="1">
      <c r="A74" s="3486">
        <v>45116.333831018521</v>
      </c>
      <c r="B74" s="1235" t="s">
        <v>6559</v>
      </c>
      <c r="C74" s="1235" t="s">
        <v>633</v>
      </c>
      <c r="D74" s="1235" t="s">
        <v>633</v>
      </c>
      <c r="E74" s="1235">
        <v>5</v>
      </c>
      <c r="F74" s="1235" t="s">
        <v>6445</v>
      </c>
      <c r="G74" s="1235" t="s">
        <v>6560</v>
      </c>
      <c r="H74" s="1235" t="s">
        <v>6413</v>
      </c>
      <c r="I74" s="1235" t="s">
        <v>6414</v>
      </c>
      <c r="J74" s="1235">
        <v>84</v>
      </c>
      <c r="K74" s="1235">
        <v>232</v>
      </c>
      <c r="L74" s="1235">
        <v>27645</v>
      </c>
    </row>
    <row r="75" spans="1:12" hidden="1">
      <c r="A75" s="3486">
        <v>45115.333831018521</v>
      </c>
      <c r="B75" s="1235" t="s">
        <v>6467</v>
      </c>
      <c r="C75" s="1235" t="s">
        <v>633</v>
      </c>
      <c r="D75" s="1235" t="s">
        <v>633</v>
      </c>
      <c r="E75" s="1235">
        <v>3</v>
      </c>
      <c r="F75" s="1235" t="s">
        <v>6567</v>
      </c>
      <c r="G75" s="1235" t="s">
        <v>6469</v>
      </c>
      <c r="H75" s="1235" t="s">
        <v>6413</v>
      </c>
      <c r="I75" s="1235" t="s">
        <v>6414</v>
      </c>
      <c r="J75" s="1235">
        <v>84</v>
      </c>
      <c r="K75" s="1235">
        <v>235</v>
      </c>
      <c r="L75" s="1235">
        <v>28134</v>
      </c>
    </row>
    <row r="76" spans="1:12" hidden="1">
      <c r="A76" s="3486">
        <v>45115.333831018521</v>
      </c>
      <c r="B76" s="1235" t="s">
        <v>6534</v>
      </c>
      <c r="C76" s="1235" t="s">
        <v>633</v>
      </c>
      <c r="D76" s="1235" t="s">
        <v>633</v>
      </c>
      <c r="E76" s="1235">
        <v>5</v>
      </c>
      <c r="F76" s="1235" t="s">
        <v>6569</v>
      </c>
      <c r="G76" s="1235" t="s">
        <v>6563</v>
      </c>
      <c r="H76" s="1235" t="s">
        <v>6413</v>
      </c>
      <c r="I76" s="1235" t="s">
        <v>6414</v>
      </c>
      <c r="J76" s="1235">
        <v>83</v>
      </c>
      <c r="K76" s="1235">
        <v>232</v>
      </c>
      <c r="L76" s="1235">
        <v>27798</v>
      </c>
    </row>
    <row r="77" spans="1:12" hidden="1">
      <c r="A77" s="3486">
        <v>45115.333831018521</v>
      </c>
      <c r="B77" s="1235" t="s">
        <v>6429</v>
      </c>
      <c r="C77" s="1235" t="s">
        <v>633</v>
      </c>
      <c r="D77" s="1235" t="s">
        <v>633</v>
      </c>
      <c r="E77" s="1235">
        <v>5</v>
      </c>
      <c r="F77" s="1235" t="s">
        <v>6465</v>
      </c>
      <c r="G77" s="1235" t="s">
        <v>6431</v>
      </c>
      <c r="H77" s="1235" t="s">
        <v>6413</v>
      </c>
      <c r="I77" s="1235" t="s">
        <v>6414</v>
      </c>
      <c r="J77" s="1235">
        <v>84</v>
      </c>
      <c r="K77" s="1235">
        <v>232</v>
      </c>
      <c r="L77" s="1235">
        <v>27649</v>
      </c>
    </row>
    <row r="78" spans="1:12" hidden="1">
      <c r="A78" s="3486">
        <v>45115.333831018521</v>
      </c>
      <c r="B78" s="1235" t="s">
        <v>6429</v>
      </c>
      <c r="C78" s="1235" t="s">
        <v>633</v>
      </c>
      <c r="D78" s="1235" t="s">
        <v>633</v>
      </c>
      <c r="E78" s="1235">
        <v>3</v>
      </c>
      <c r="F78" s="1235" t="s">
        <v>6416</v>
      </c>
      <c r="G78" s="1235" t="s">
        <v>6431</v>
      </c>
      <c r="H78" s="1235" t="s">
        <v>6413</v>
      </c>
      <c r="I78" s="1235" t="s">
        <v>6414</v>
      </c>
      <c r="J78" s="1235">
        <v>84</v>
      </c>
      <c r="K78" s="1235">
        <v>242.06</v>
      </c>
      <c r="L78" s="1235">
        <v>28978</v>
      </c>
    </row>
    <row r="79" spans="1:12" hidden="1">
      <c r="A79" s="3486">
        <v>45115.333831018521</v>
      </c>
      <c r="B79" s="1235" t="s">
        <v>6564</v>
      </c>
      <c r="C79" s="1235" t="s">
        <v>633</v>
      </c>
      <c r="D79" s="1235" t="s">
        <v>633</v>
      </c>
      <c r="E79" s="1235">
        <v>5</v>
      </c>
      <c r="F79" s="1235" t="s">
        <v>6419</v>
      </c>
      <c r="G79" s="1235" t="s">
        <v>6565</v>
      </c>
      <c r="H79" s="1235" t="s">
        <v>6413</v>
      </c>
      <c r="I79" s="1235" t="s">
        <v>6414</v>
      </c>
      <c r="J79" s="1235">
        <v>84</v>
      </c>
      <c r="K79" s="1235">
        <v>232</v>
      </c>
      <c r="L79" s="1235">
        <v>27774</v>
      </c>
    </row>
    <row r="80" spans="1:12" hidden="1">
      <c r="A80" s="3486">
        <v>45114.333831018521</v>
      </c>
      <c r="B80" s="1235" t="s">
        <v>6415</v>
      </c>
      <c r="C80" s="1235" t="s">
        <v>633</v>
      </c>
      <c r="D80" s="1235" t="s">
        <v>633</v>
      </c>
      <c r="E80" s="1235">
        <v>4</v>
      </c>
      <c r="F80" s="1235" t="s">
        <v>6466</v>
      </c>
      <c r="G80" s="1235" t="s">
        <v>6417</v>
      </c>
      <c r="H80" s="1235" t="s">
        <v>6413</v>
      </c>
      <c r="I80" s="1235" t="s">
        <v>6414</v>
      </c>
      <c r="J80" s="1235">
        <v>86</v>
      </c>
      <c r="K80" s="1235">
        <v>242</v>
      </c>
      <c r="L80" s="1235">
        <v>28268</v>
      </c>
    </row>
    <row r="81" spans="1:12" hidden="1">
      <c r="A81" s="3486">
        <v>45114.333831018521</v>
      </c>
      <c r="B81" s="1235" t="s">
        <v>6570</v>
      </c>
      <c r="C81" s="1235" t="s">
        <v>633</v>
      </c>
      <c r="D81" s="1235" t="s">
        <v>633</v>
      </c>
      <c r="E81" s="1235">
        <v>5</v>
      </c>
      <c r="F81" s="1235" t="s">
        <v>6419</v>
      </c>
      <c r="G81" s="1235" t="s">
        <v>6571</v>
      </c>
      <c r="H81" s="1235" t="s">
        <v>6413</v>
      </c>
      <c r="I81" s="1235" t="s">
        <v>6414</v>
      </c>
      <c r="J81" s="1235">
        <v>84</v>
      </c>
      <c r="K81" s="1235">
        <v>233</v>
      </c>
      <c r="L81" s="1235">
        <v>27891</v>
      </c>
    </row>
    <row r="82" spans="1:12" hidden="1">
      <c r="A82" s="3486">
        <v>45114.333831018521</v>
      </c>
      <c r="B82" s="1235" t="s">
        <v>6422</v>
      </c>
      <c r="C82" s="1235" t="s">
        <v>633</v>
      </c>
      <c r="D82" s="1235" t="s">
        <v>633</v>
      </c>
      <c r="E82" s="1235">
        <v>3</v>
      </c>
      <c r="F82" s="1235" t="s">
        <v>6441</v>
      </c>
      <c r="G82" s="1235" t="s">
        <v>6424</v>
      </c>
      <c r="H82" s="1235" t="s">
        <v>6413</v>
      </c>
      <c r="I82" s="1235" t="s">
        <v>6414</v>
      </c>
      <c r="J82" s="1235">
        <v>83</v>
      </c>
      <c r="K82" s="1235">
        <v>237.37</v>
      </c>
      <c r="L82" s="1235">
        <v>28442</v>
      </c>
    </row>
    <row r="83" spans="1:12" hidden="1">
      <c r="A83" s="3486">
        <v>45114.333831018521</v>
      </c>
      <c r="B83" s="1235" t="s">
        <v>6422</v>
      </c>
      <c r="C83" s="1235" t="s">
        <v>633</v>
      </c>
      <c r="D83" s="1235" t="s">
        <v>633</v>
      </c>
      <c r="E83" s="1235">
        <v>3</v>
      </c>
      <c r="F83" s="1235" t="s">
        <v>6542</v>
      </c>
      <c r="G83" s="1235" t="s">
        <v>6424</v>
      </c>
      <c r="H83" s="1235" t="s">
        <v>6413</v>
      </c>
      <c r="I83" s="1235" t="s">
        <v>6414</v>
      </c>
      <c r="J83" s="1235">
        <v>83</v>
      </c>
      <c r="K83" s="1235">
        <v>237.37</v>
      </c>
      <c r="L83" s="1235">
        <v>28442</v>
      </c>
    </row>
    <row r="84" spans="1:12">
      <c r="A84" s="3486">
        <v>45113.333831018521</v>
      </c>
      <c r="B84" s="1235" t="s">
        <v>6559</v>
      </c>
      <c r="C84" s="1235" t="s">
        <v>633</v>
      </c>
      <c r="D84" s="1235" t="s">
        <v>633</v>
      </c>
      <c r="E84" s="1235">
        <v>1</v>
      </c>
      <c r="F84" s="1235" t="s">
        <v>6572</v>
      </c>
      <c r="G84" s="1235" t="s">
        <v>6560</v>
      </c>
      <c r="H84" s="1235" t="s">
        <v>6413</v>
      </c>
      <c r="I84" s="1235" t="s">
        <v>6438</v>
      </c>
      <c r="J84" s="1235">
        <v>73</v>
      </c>
      <c r="K84" s="1235">
        <v>281.60000000000002</v>
      </c>
      <c r="L84" s="1235">
        <v>38549</v>
      </c>
    </row>
    <row r="85" spans="1:12" hidden="1">
      <c r="A85" s="3486">
        <v>45113.333831018521</v>
      </c>
      <c r="B85" s="1235" t="s">
        <v>6410</v>
      </c>
      <c r="C85" s="1235" t="s">
        <v>633</v>
      </c>
      <c r="D85" s="1235" t="s">
        <v>633</v>
      </c>
      <c r="E85" s="1235">
        <v>4</v>
      </c>
      <c r="F85" s="1235" t="s">
        <v>6543</v>
      </c>
      <c r="G85" s="1235" t="s">
        <v>6412</v>
      </c>
      <c r="H85" s="1235" t="s">
        <v>6413</v>
      </c>
      <c r="I85" s="1235" t="s">
        <v>6414</v>
      </c>
      <c r="J85" s="1235">
        <v>84</v>
      </c>
      <c r="K85" s="1235">
        <v>253.03</v>
      </c>
      <c r="L85" s="1235">
        <v>30303</v>
      </c>
    </row>
    <row r="86" spans="1:12" hidden="1">
      <c r="A86" s="3486">
        <v>45113.333831018521</v>
      </c>
      <c r="B86" s="1235" t="s">
        <v>6426</v>
      </c>
      <c r="C86" s="1235" t="s">
        <v>633</v>
      </c>
      <c r="D86" s="1235" t="s">
        <v>633</v>
      </c>
      <c r="E86" s="1235">
        <v>5</v>
      </c>
      <c r="F86" s="1235" t="s">
        <v>6445</v>
      </c>
      <c r="G86" s="1235" t="s">
        <v>6428</v>
      </c>
      <c r="H86" s="1235" t="s">
        <v>6413</v>
      </c>
      <c r="I86" s="1235" t="s">
        <v>6414</v>
      </c>
      <c r="J86" s="1235">
        <v>86</v>
      </c>
      <c r="K86" s="1235">
        <v>245</v>
      </c>
      <c r="L86" s="1235">
        <v>28635</v>
      </c>
    </row>
    <row r="87" spans="1:12">
      <c r="A87" s="3486">
        <v>45113.333831018521</v>
      </c>
      <c r="B87" s="1235" t="s">
        <v>6544</v>
      </c>
      <c r="C87" s="1235" t="s">
        <v>633</v>
      </c>
      <c r="D87" s="1235" t="s">
        <v>633</v>
      </c>
      <c r="E87" s="1235">
        <v>1</v>
      </c>
      <c r="F87" s="1235" t="s">
        <v>6461</v>
      </c>
      <c r="G87" s="1235" t="s">
        <v>6545</v>
      </c>
      <c r="H87" s="1235" t="s">
        <v>6413</v>
      </c>
      <c r="I87" s="1235" t="s">
        <v>6438</v>
      </c>
      <c r="J87" s="1235">
        <v>73</v>
      </c>
      <c r="K87" s="1235">
        <v>285.51</v>
      </c>
      <c r="L87" s="1235">
        <v>38881</v>
      </c>
    </row>
    <row r="88" spans="1:12" hidden="1">
      <c r="A88" s="3486">
        <v>45113.333831018521</v>
      </c>
      <c r="B88" s="1235" t="s">
        <v>6544</v>
      </c>
      <c r="C88" s="1235" t="s">
        <v>633</v>
      </c>
      <c r="D88" s="1235" t="s">
        <v>633</v>
      </c>
      <c r="E88" s="1235">
        <v>1</v>
      </c>
      <c r="F88" s="1235" t="s">
        <v>6573</v>
      </c>
      <c r="G88" s="1235" t="s">
        <v>6545</v>
      </c>
      <c r="H88" s="1235" t="s">
        <v>6413</v>
      </c>
      <c r="I88" s="1235" t="s">
        <v>6533</v>
      </c>
      <c r="J88" s="1235">
        <v>194</v>
      </c>
      <c r="K88" s="1235">
        <v>488.94</v>
      </c>
      <c r="L88" s="1235">
        <v>25234</v>
      </c>
    </row>
    <row r="89" spans="1:12" hidden="1">
      <c r="A89" s="3486">
        <v>45112.333831018521</v>
      </c>
      <c r="B89" s="1235" t="s">
        <v>6544</v>
      </c>
      <c r="C89" s="1235" t="s">
        <v>633</v>
      </c>
      <c r="D89" s="1235" t="s">
        <v>633</v>
      </c>
      <c r="E89" s="1235">
        <v>5</v>
      </c>
      <c r="F89" s="1235" t="s">
        <v>6425</v>
      </c>
      <c r="G89" s="1235" t="s">
        <v>6545</v>
      </c>
      <c r="H89" s="1235" t="s">
        <v>6413</v>
      </c>
      <c r="I89" s="1235" t="s">
        <v>6414</v>
      </c>
      <c r="J89" s="1235">
        <v>84</v>
      </c>
      <c r="K89" s="1235">
        <v>265</v>
      </c>
      <c r="L89" s="1235">
        <v>31721</v>
      </c>
    </row>
    <row r="90" spans="1:12" hidden="1">
      <c r="A90" s="3486">
        <v>45112.333831018521</v>
      </c>
      <c r="B90" s="1235" t="s">
        <v>6410</v>
      </c>
      <c r="C90" s="1235" t="s">
        <v>633</v>
      </c>
      <c r="D90" s="1235" t="s">
        <v>633</v>
      </c>
      <c r="E90" s="1235">
        <v>5</v>
      </c>
      <c r="F90" s="1235" t="s">
        <v>6465</v>
      </c>
      <c r="G90" s="1235" t="s">
        <v>6412</v>
      </c>
      <c r="H90" s="1235" t="s">
        <v>6413</v>
      </c>
      <c r="I90" s="1235" t="s">
        <v>6414</v>
      </c>
      <c r="J90" s="1235">
        <v>84</v>
      </c>
      <c r="K90" s="1235">
        <v>239.39</v>
      </c>
      <c r="L90" s="1235">
        <v>28540</v>
      </c>
    </row>
    <row r="91" spans="1:12">
      <c r="A91" s="3486">
        <v>45112.333831018521</v>
      </c>
      <c r="B91" s="1235" t="s">
        <v>6460</v>
      </c>
      <c r="C91" s="1235" t="s">
        <v>633</v>
      </c>
      <c r="D91" s="1235" t="s">
        <v>633</v>
      </c>
      <c r="E91" s="1235">
        <v>6</v>
      </c>
      <c r="F91" s="1235" t="s">
        <v>6504</v>
      </c>
      <c r="G91" s="1235" t="s">
        <v>6462</v>
      </c>
      <c r="H91" s="1235" t="s">
        <v>6413</v>
      </c>
      <c r="I91" s="1235" t="s">
        <v>6433</v>
      </c>
      <c r="J91" s="1235">
        <v>74</v>
      </c>
      <c r="K91" s="1235">
        <v>213.62</v>
      </c>
      <c r="L91" s="1235">
        <v>28990</v>
      </c>
    </row>
    <row r="92" spans="1:12" hidden="1">
      <c r="A92" s="3486">
        <v>45112.333831018521</v>
      </c>
      <c r="B92" s="1235" t="s">
        <v>6410</v>
      </c>
      <c r="C92" s="1235" t="s">
        <v>633</v>
      </c>
      <c r="D92" s="1235" t="s">
        <v>633</v>
      </c>
      <c r="E92" s="1235">
        <v>4</v>
      </c>
      <c r="F92" s="1235" t="s">
        <v>6574</v>
      </c>
      <c r="G92" s="1235" t="s">
        <v>6412</v>
      </c>
      <c r="H92" s="1235" t="s">
        <v>6413</v>
      </c>
      <c r="I92" s="1235" t="s">
        <v>6414</v>
      </c>
      <c r="J92" s="1235">
        <v>84</v>
      </c>
      <c r="K92" s="1235">
        <v>252.5</v>
      </c>
      <c r="L92" s="1235">
        <v>30103</v>
      </c>
    </row>
    <row r="93" spans="1:12" hidden="1">
      <c r="A93" s="3486">
        <v>45107.333831018521</v>
      </c>
      <c r="B93" s="1235" t="s">
        <v>6410</v>
      </c>
      <c r="C93" s="1235" t="s">
        <v>633</v>
      </c>
      <c r="D93" s="1235" t="s">
        <v>633</v>
      </c>
      <c r="E93" s="1235">
        <v>5</v>
      </c>
      <c r="F93" s="1235" t="s">
        <v>6558</v>
      </c>
      <c r="G93" s="1235" t="s">
        <v>6412</v>
      </c>
      <c r="H93" s="1235" t="s">
        <v>6413</v>
      </c>
      <c r="I93" s="1235" t="s">
        <v>6414</v>
      </c>
      <c r="J93" s="1235">
        <v>84</v>
      </c>
      <c r="K93" s="1235">
        <v>238</v>
      </c>
      <c r="L93" s="1235">
        <v>28503</v>
      </c>
    </row>
    <row r="94" spans="1:12" hidden="1">
      <c r="A94" s="3486">
        <v>45105.333831018521</v>
      </c>
      <c r="B94" s="1235" t="s">
        <v>6422</v>
      </c>
      <c r="C94" s="1235" t="s">
        <v>633</v>
      </c>
      <c r="D94" s="1235" t="s">
        <v>633</v>
      </c>
      <c r="E94" s="1235">
        <v>5</v>
      </c>
      <c r="F94" s="1235" t="s">
        <v>6569</v>
      </c>
      <c r="G94" s="1235" t="s">
        <v>6424</v>
      </c>
      <c r="H94" s="1235" t="s">
        <v>6413</v>
      </c>
      <c r="I94" s="1235" t="s">
        <v>6414</v>
      </c>
      <c r="J94" s="1235">
        <v>83</v>
      </c>
      <c r="K94" s="1235">
        <v>233</v>
      </c>
      <c r="L94" s="1235">
        <v>27918</v>
      </c>
    </row>
    <row r="95" spans="1:12" hidden="1">
      <c r="A95" s="3486">
        <v>45105.333831018521</v>
      </c>
      <c r="B95" s="1235" t="s">
        <v>6548</v>
      </c>
      <c r="C95" s="1235" t="s">
        <v>633</v>
      </c>
      <c r="D95" s="1235" t="s">
        <v>633</v>
      </c>
      <c r="E95" s="1235">
        <v>5</v>
      </c>
      <c r="F95" s="1235" t="s">
        <v>6419</v>
      </c>
      <c r="G95" s="1235" t="s">
        <v>6549</v>
      </c>
      <c r="H95" s="1235" t="s">
        <v>6413</v>
      </c>
      <c r="I95" s="1235" t="s">
        <v>6414</v>
      </c>
      <c r="J95" s="1235">
        <v>83</v>
      </c>
      <c r="K95" s="1235">
        <v>230.25</v>
      </c>
      <c r="L95" s="1235">
        <v>27578</v>
      </c>
    </row>
    <row r="96" spans="1:12" hidden="1">
      <c r="A96" s="3486">
        <v>45104.333831018521</v>
      </c>
      <c r="B96" s="1235" t="s">
        <v>6564</v>
      </c>
      <c r="C96" s="1235" t="s">
        <v>633</v>
      </c>
      <c r="D96" s="1235" t="s">
        <v>633</v>
      </c>
      <c r="E96" s="1235">
        <v>4</v>
      </c>
      <c r="F96" s="1235" t="s">
        <v>6575</v>
      </c>
      <c r="G96" s="1235" t="s">
        <v>6565</v>
      </c>
      <c r="H96" s="1235" t="s">
        <v>6413</v>
      </c>
      <c r="I96" s="1235" t="s">
        <v>6414</v>
      </c>
      <c r="J96" s="1235">
        <v>84</v>
      </c>
      <c r="K96" s="1235">
        <v>241.5</v>
      </c>
      <c r="L96" s="1235">
        <v>28912</v>
      </c>
    </row>
    <row r="97" spans="1:12">
      <c r="A97" s="3486">
        <v>45103.333831018521</v>
      </c>
      <c r="B97" s="1235" t="s">
        <v>6429</v>
      </c>
      <c r="C97" s="1235" t="s">
        <v>633</v>
      </c>
      <c r="D97" s="1235" t="s">
        <v>633</v>
      </c>
      <c r="E97" s="1235">
        <v>6</v>
      </c>
      <c r="F97" s="1235" t="s">
        <v>6511</v>
      </c>
      <c r="G97" s="1235" t="s">
        <v>6431</v>
      </c>
      <c r="H97" s="1235" t="s">
        <v>6413</v>
      </c>
      <c r="I97" s="1235" t="s">
        <v>6433</v>
      </c>
      <c r="J97" s="1235">
        <v>74</v>
      </c>
      <c r="K97" s="1235">
        <v>205.21</v>
      </c>
      <c r="L97" s="1235">
        <v>27825</v>
      </c>
    </row>
    <row r="98" spans="1:12" hidden="1">
      <c r="A98" s="3486">
        <v>45103.333831018521</v>
      </c>
      <c r="B98" s="1235" t="s">
        <v>6429</v>
      </c>
      <c r="C98" s="1235" t="s">
        <v>633</v>
      </c>
      <c r="D98" s="1235" t="s">
        <v>633</v>
      </c>
      <c r="E98" s="1235">
        <v>3</v>
      </c>
      <c r="F98" s="1235" t="s">
        <v>6441</v>
      </c>
      <c r="G98" s="1235" t="s">
        <v>6431</v>
      </c>
      <c r="H98" s="1235" t="s">
        <v>6413</v>
      </c>
      <c r="I98" s="1235" t="s">
        <v>6414</v>
      </c>
      <c r="J98" s="1235">
        <v>84</v>
      </c>
      <c r="K98" s="1235">
        <v>244</v>
      </c>
      <c r="L98" s="1235">
        <v>29211</v>
      </c>
    </row>
    <row r="99" spans="1:12" hidden="1">
      <c r="A99" s="3486">
        <v>45102.333831018521</v>
      </c>
      <c r="B99" s="1235" t="s">
        <v>6564</v>
      </c>
      <c r="C99" s="1235" t="s">
        <v>633</v>
      </c>
      <c r="D99" s="1235" t="s">
        <v>633</v>
      </c>
      <c r="E99" s="1235">
        <v>4</v>
      </c>
      <c r="F99" s="1235" t="s">
        <v>6450</v>
      </c>
      <c r="G99" s="1235" t="s">
        <v>6565</v>
      </c>
      <c r="H99" s="1235" t="s">
        <v>6413</v>
      </c>
      <c r="I99" s="1235" t="s">
        <v>6414</v>
      </c>
      <c r="J99" s="1235">
        <v>84</v>
      </c>
      <c r="K99" s="1235">
        <v>240.5</v>
      </c>
      <c r="L99" s="1235">
        <v>28662</v>
      </c>
    </row>
    <row r="100" spans="1:12" hidden="1">
      <c r="A100" s="3486">
        <v>45102.333831018521</v>
      </c>
      <c r="B100" s="1235" t="s">
        <v>6429</v>
      </c>
      <c r="C100" s="1235" t="s">
        <v>633</v>
      </c>
      <c r="D100" s="1235" t="s">
        <v>633</v>
      </c>
      <c r="E100" s="1235">
        <v>3</v>
      </c>
      <c r="F100" s="1235" t="s">
        <v>6576</v>
      </c>
      <c r="G100" s="1235" t="s">
        <v>6431</v>
      </c>
      <c r="H100" s="1235" t="s">
        <v>6413</v>
      </c>
      <c r="I100" s="1235" t="s">
        <v>6414</v>
      </c>
      <c r="J100" s="1235">
        <v>84</v>
      </c>
      <c r="K100" s="1235">
        <v>239.56</v>
      </c>
      <c r="L100" s="1235">
        <v>28680</v>
      </c>
    </row>
    <row r="101" spans="1:12" hidden="1">
      <c r="A101" s="3486">
        <v>45101.333831018521</v>
      </c>
      <c r="B101" s="1235" t="s">
        <v>6564</v>
      </c>
      <c r="C101" s="1235" t="s">
        <v>633</v>
      </c>
      <c r="D101" s="1235" t="s">
        <v>633</v>
      </c>
      <c r="E101" s="1235">
        <v>4</v>
      </c>
      <c r="F101" s="1235" t="s">
        <v>6466</v>
      </c>
      <c r="G101" s="1235" t="s">
        <v>6565</v>
      </c>
      <c r="H101" s="1235" t="s">
        <v>6413</v>
      </c>
      <c r="I101" s="1235" t="s">
        <v>6414</v>
      </c>
      <c r="J101" s="1235">
        <v>84</v>
      </c>
      <c r="K101" s="1235">
        <v>245</v>
      </c>
      <c r="L101" s="1235">
        <v>29331</v>
      </c>
    </row>
  </sheetData>
  <autoFilter ref="A1:L101">
    <filterColumn colId="9">
      <filters>
        <filter val="67"/>
        <filter val="73"/>
        <filter val="74"/>
      </filters>
    </filterColumn>
  </autoFilter>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
  <sheetViews>
    <sheetView topLeftCell="A67" workbookViewId="0">
      <selection activeCell="N4" sqref="N4"/>
    </sheetView>
  </sheetViews>
  <sheetFormatPr defaultRowHeight="13.5"/>
  <cols>
    <col min="1" max="1" width="12.375" customWidth="1"/>
  </cols>
  <sheetData>
    <row r="1" spans="1:14" s="1235" customFormat="1">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4" s="1235" customFormat="1">
      <c r="A2" s="3486">
        <v>45096.333831018521</v>
      </c>
      <c r="B2" s="1235" t="s">
        <v>6426</v>
      </c>
      <c r="C2" s="1235" t="s">
        <v>633</v>
      </c>
      <c r="D2" s="1235" t="s">
        <v>633</v>
      </c>
      <c r="E2" s="1235">
        <v>-2</v>
      </c>
      <c r="F2" s="1235" t="s">
        <v>6518</v>
      </c>
      <c r="G2" s="1235" t="s">
        <v>6519</v>
      </c>
      <c r="H2" s="1235" t="s">
        <v>6520</v>
      </c>
      <c r="I2" s="1235" t="s">
        <v>6521</v>
      </c>
      <c r="J2" s="1235">
        <v>213</v>
      </c>
      <c r="K2" s="1235">
        <v>590</v>
      </c>
      <c r="L2" s="1235">
        <v>27684</v>
      </c>
    </row>
    <row r="3" spans="1:14" s="1235" customFormat="1">
      <c r="A3" s="3486">
        <v>45065.333831018521</v>
      </c>
      <c r="B3" s="1235" t="s">
        <v>6439</v>
      </c>
      <c r="C3" s="1235" t="s">
        <v>633</v>
      </c>
      <c r="D3" s="1235" t="s">
        <v>633</v>
      </c>
      <c r="E3" s="1235">
        <v>-2</v>
      </c>
      <c r="F3" s="1235" t="s">
        <v>6518</v>
      </c>
      <c r="G3" s="1235" t="s">
        <v>6522</v>
      </c>
      <c r="H3" s="1235" t="s">
        <v>6520</v>
      </c>
      <c r="I3" s="1235" t="s">
        <v>6523</v>
      </c>
      <c r="J3" s="1235">
        <v>255</v>
      </c>
      <c r="K3" s="1235">
        <v>750</v>
      </c>
      <c r="L3" s="1235">
        <v>29373</v>
      </c>
    </row>
    <row r="4" spans="1:14" s="1235" customFormat="1">
      <c r="A4" s="3486">
        <v>45064.333831018521</v>
      </c>
      <c r="B4" s="1235" t="s">
        <v>6524</v>
      </c>
      <c r="C4" s="1235" t="s">
        <v>633</v>
      </c>
      <c r="D4" s="1235" t="s">
        <v>633</v>
      </c>
      <c r="E4" s="1235">
        <v>1</v>
      </c>
      <c r="F4" s="1235">
        <v>3</v>
      </c>
      <c r="G4" s="1235" t="s">
        <v>6525</v>
      </c>
      <c r="H4" s="1235" t="s">
        <v>6520</v>
      </c>
      <c r="I4" s="1235" t="s">
        <v>6523</v>
      </c>
      <c r="J4" s="1235">
        <v>190</v>
      </c>
      <c r="K4" s="1235">
        <v>758</v>
      </c>
      <c r="L4" s="1235">
        <v>39964</v>
      </c>
    </row>
    <row r="5" spans="1:14" s="1235" customFormat="1">
      <c r="A5" s="3486">
        <v>45033.333831018521</v>
      </c>
      <c r="B5" s="1235" t="s">
        <v>6439</v>
      </c>
      <c r="C5" s="1235" t="s">
        <v>633</v>
      </c>
      <c r="D5" s="1235" t="s">
        <v>633</v>
      </c>
      <c r="E5" s="1235">
        <v>-2</v>
      </c>
      <c r="F5" s="1235" t="s">
        <v>6526</v>
      </c>
      <c r="G5" s="1235" t="s">
        <v>6522</v>
      </c>
      <c r="H5" s="1235" t="s">
        <v>6520</v>
      </c>
      <c r="I5" s="1235" t="s">
        <v>6523</v>
      </c>
      <c r="J5" s="1235">
        <v>225</v>
      </c>
      <c r="K5" s="1235">
        <v>638</v>
      </c>
      <c r="L5" s="1235">
        <v>28313</v>
      </c>
    </row>
    <row r="6" spans="1:14" s="1235" customFormat="1">
      <c r="A6" s="3486">
        <v>45033.333831018521</v>
      </c>
      <c r="B6" s="1235" t="s">
        <v>6439</v>
      </c>
      <c r="C6" s="1235" t="s">
        <v>633</v>
      </c>
      <c r="D6" s="1235" t="s">
        <v>633</v>
      </c>
      <c r="E6" s="1235">
        <v>-2</v>
      </c>
      <c r="F6" s="1235" t="s">
        <v>6527</v>
      </c>
      <c r="G6" s="1235" t="s">
        <v>6522</v>
      </c>
      <c r="H6" s="1235" t="s">
        <v>6520</v>
      </c>
      <c r="I6" s="1235" t="s">
        <v>6523</v>
      </c>
      <c r="J6" s="1235">
        <v>224</v>
      </c>
      <c r="K6" s="1235">
        <v>605</v>
      </c>
      <c r="L6" s="1235">
        <v>27025</v>
      </c>
    </row>
    <row r="7" spans="1:14" s="1235" customFormat="1">
      <c r="A7" s="3486">
        <v>45023.333831018521</v>
      </c>
      <c r="B7" s="1235" t="s">
        <v>6415</v>
      </c>
      <c r="C7" s="1235" t="s">
        <v>633</v>
      </c>
      <c r="D7" s="1235" t="s">
        <v>633</v>
      </c>
      <c r="E7" s="1235">
        <v>-2</v>
      </c>
      <c r="F7" s="1235" t="s">
        <v>6528</v>
      </c>
      <c r="G7" s="1235" t="s">
        <v>6529</v>
      </c>
      <c r="H7" s="1235" t="s">
        <v>6520</v>
      </c>
      <c r="I7" s="1235" t="s">
        <v>6521</v>
      </c>
      <c r="J7" s="1235">
        <v>195</v>
      </c>
      <c r="K7" s="1235">
        <v>655</v>
      </c>
      <c r="L7" s="1235">
        <v>33533</v>
      </c>
      <c r="M7" s="2824" t="s">
        <v>8703</v>
      </c>
      <c r="N7" s="1235">
        <f>(L2+L7+L8)/3</f>
        <v>29913.333333333332</v>
      </c>
    </row>
    <row r="8" spans="1:14" s="1235" customFormat="1">
      <c r="A8" s="3486">
        <v>44974.333831018521</v>
      </c>
      <c r="B8" s="1235" t="s">
        <v>6454</v>
      </c>
      <c r="C8" s="1235" t="s">
        <v>633</v>
      </c>
      <c r="D8" s="1235" t="s">
        <v>633</v>
      </c>
      <c r="E8" s="1235">
        <v>-2</v>
      </c>
      <c r="F8" s="1235" t="s">
        <v>6530</v>
      </c>
      <c r="G8" s="1235" t="s">
        <v>6531</v>
      </c>
      <c r="H8" s="1235" t="s">
        <v>6520</v>
      </c>
      <c r="I8" s="1235" t="s">
        <v>6521</v>
      </c>
      <c r="J8" s="1235">
        <v>214</v>
      </c>
      <c r="K8" s="1235">
        <v>610</v>
      </c>
      <c r="L8" s="1235">
        <v>28523</v>
      </c>
      <c r="M8" s="2824" t="s">
        <v>8701</v>
      </c>
      <c r="N8" s="1235">
        <f>(L3+L4+L5+L6)/4</f>
        <v>31168.75</v>
      </c>
    </row>
    <row r="9" spans="1:14" s="1235" customFormat="1">
      <c r="A9" s="3486">
        <v>44960.333831018521</v>
      </c>
      <c r="B9" s="1235" t="s">
        <v>6463</v>
      </c>
      <c r="C9" s="1235" t="s">
        <v>633</v>
      </c>
      <c r="D9" s="1235" t="s">
        <v>633</v>
      </c>
      <c r="E9" s="1235">
        <v>1</v>
      </c>
      <c r="F9" s="1235">
        <v>3</v>
      </c>
      <c r="G9" s="1235" t="s">
        <v>6532</v>
      </c>
      <c r="H9" s="1235" t="s">
        <v>6520</v>
      </c>
      <c r="I9" s="1235" t="s">
        <v>6533</v>
      </c>
      <c r="J9" s="1235">
        <v>191</v>
      </c>
      <c r="K9" s="1235">
        <v>708</v>
      </c>
      <c r="L9" s="1235">
        <v>37095</v>
      </c>
      <c r="M9" s="2824" t="s">
        <v>8702</v>
      </c>
      <c r="N9" s="1235">
        <f>(L9+L10)/2</f>
        <v>33402</v>
      </c>
    </row>
    <row r="10" spans="1:14" s="1235" customFormat="1">
      <c r="A10" s="3486">
        <v>44930.333831018521</v>
      </c>
      <c r="B10" s="1235" t="s">
        <v>6534</v>
      </c>
      <c r="C10" s="1235" t="s">
        <v>633</v>
      </c>
      <c r="D10" s="1235" t="s">
        <v>633</v>
      </c>
      <c r="E10" s="1235">
        <v>-2</v>
      </c>
      <c r="F10" s="1235" t="s">
        <v>6535</v>
      </c>
      <c r="G10" s="1235" t="s">
        <v>6536</v>
      </c>
      <c r="H10" s="1235" t="s">
        <v>6520</v>
      </c>
      <c r="I10" s="1235" t="s">
        <v>6533</v>
      </c>
      <c r="J10" s="1235">
        <v>236</v>
      </c>
      <c r="K10" s="1235">
        <v>702</v>
      </c>
      <c r="L10" s="1235">
        <v>29709</v>
      </c>
    </row>
    <row r="11" spans="1:14">
      <c r="L11">
        <f>AVERAGE(L2:L10)</f>
        <v>31246.555555555555</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
  <sheetViews>
    <sheetView workbookViewId="0">
      <selection activeCell="F20" sqref="F20"/>
    </sheetView>
  </sheetViews>
  <sheetFormatPr defaultColWidth="10.5" defaultRowHeight="13.5"/>
  <cols>
    <col min="1" max="16384" width="10.5" style="1235"/>
  </cols>
  <sheetData>
    <row r="1" spans="1:12">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2">
      <c r="A2" s="3486">
        <v>45008.333831018521</v>
      </c>
      <c r="B2" s="1235" t="s">
        <v>6463</v>
      </c>
      <c r="C2" s="1235" t="s">
        <v>633</v>
      </c>
      <c r="D2" s="1235" t="s">
        <v>633</v>
      </c>
      <c r="E2" s="1235">
        <v>8</v>
      </c>
      <c r="F2" s="1235" t="s">
        <v>6720</v>
      </c>
      <c r="G2" s="1235" t="s">
        <v>6721</v>
      </c>
      <c r="H2" s="1235" t="s">
        <v>6413</v>
      </c>
      <c r="I2" s="1235" t="s">
        <v>6433</v>
      </c>
      <c r="J2" s="1235">
        <v>76</v>
      </c>
      <c r="K2" s="1235">
        <v>205.52</v>
      </c>
      <c r="L2" s="1235">
        <v>27000</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workbookViewId="0">
      <selection activeCell="J26" sqref="J26"/>
    </sheetView>
  </sheetViews>
  <sheetFormatPr defaultColWidth="10" defaultRowHeight="13.5"/>
  <cols>
    <col min="1" max="16384" width="10" style="1235"/>
  </cols>
  <sheetData>
    <row r="1" spans="1:12">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2">
      <c r="A2" s="3486">
        <v>45126.333831018521</v>
      </c>
      <c r="B2" s="1235" t="s">
        <v>6644</v>
      </c>
      <c r="C2" s="1235" t="s">
        <v>633</v>
      </c>
      <c r="D2" s="1235" t="s">
        <v>633</v>
      </c>
      <c r="E2" s="1235">
        <v>5</v>
      </c>
      <c r="F2" s="1235" t="s">
        <v>6645</v>
      </c>
      <c r="G2" s="1235" t="s">
        <v>6646</v>
      </c>
      <c r="H2" s="1235" t="s">
        <v>6413</v>
      </c>
      <c r="I2" s="1235" t="s">
        <v>6433</v>
      </c>
      <c r="J2" s="1235">
        <v>77</v>
      </c>
      <c r="K2" s="1235">
        <v>158.46</v>
      </c>
      <c r="L2" s="1235">
        <v>20515</v>
      </c>
    </row>
    <row r="3" spans="1:12">
      <c r="A3" s="3486">
        <v>45104.333831018521</v>
      </c>
      <c r="B3" s="1235" t="s">
        <v>6620</v>
      </c>
      <c r="C3" s="1235" t="s">
        <v>633</v>
      </c>
      <c r="D3" s="1235" t="s">
        <v>633</v>
      </c>
      <c r="E3" s="1235">
        <v>4</v>
      </c>
      <c r="F3" s="1235" t="s">
        <v>6647</v>
      </c>
      <c r="G3" s="1235" t="s">
        <v>6648</v>
      </c>
      <c r="H3" s="1235" t="s">
        <v>6413</v>
      </c>
      <c r="I3" s="1235" t="s">
        <v>6433</v>
      </c>
      <c r="J3" s="1235">
        <v>76</v>
      </c>
      <c r="K3" s="1235">
        <v>198.02</v>
      </c>
      <c r="L3" s="1235">
        <v>26214</v>
      </c>
    </row>
    <row r="4" spans="1:12">
      <c r="A4" s="3486">
        <v>45092.333831018521</v>
      </c>
      <c r="B4" s="1235" t="s">
        <v>6649</v>
      </c>
      <c r="C4" s="1235" t="s">
        <v>633</v>
      </c>
      <c r="D4" s="1235" t="s">
        <v>633</v>
      </c>
      <c r="E4" s="1235">
        <v>9</v>
      </c>
      <c r="F4" s="1235" t="s">
        <v>6650</v>
      </c>
      <c r="G4" s="1235" t="s">
        <v>6646</v>
      </c>
      <c r="H4" s="1235" t="s">
        <v>6413</v>
      </c>
      <c r="I4" s="1235" t="s">
        <v>6414</v>
      </c>
      <c r="J4" s="1235">
        <v>89</v>
      </c>
      <c r="K4" s="1235">
        <v>209.02</v>
      </c>
      <c r="L4" s="1235">
        <v>23411</v>
      </c>
    </row>
    <row r="5" spans="1:12">
      <c r="A5" s="3486">
        <v>45079.333831018521</v>
      </c>
      <c r="B5" s="1235" t="s">
        <v>6621</v>
      </c>
      <c r="C5" s="1235" t="s">
        <v>633</v>
      </c>
      <c r="D5" s="1235" t="s">
        <v>633</v>
      </c>
      <c r="E5" s="1235">
        <v>11</v>
      </c>
      <c r="F5" s="1235" t="s">
        <v>6651</v>
      </c>
      <c r="G5" s="1235" t="s">
        <v>6646</v>
      </c>
      <c r="H5" s="1235" t="s">
        <v>6413</v>
      </c>
      <c r="I5" s="1235" t="s">
        <v>6433</v>
      </c>
      <c r="J5" s="1235">
        <v>78</v>
      </c>
      <c r="K5" s="1235">
        <v>161.59</v>
      </c>
      <c r="L5" s="1235">
        <v>20713</v>
      </c>
    </row>
    <row r="6" spans="1:12">
      <c r="A6" s="3486">
        <v>45077.333831018521</v>
      </c>
      <c r="B6" s="1235" t="s">
        <v>6577</v>
      </c>
      <c r="C6" s="1235" t="s">
        <v>633</v>
      </c>
      <c r="D6" s="1235" t="s">
        <v>633</v>
      </c>
      <c r="E6" s="1235">
        <v>6</v>
      </c>
      <c r="F6" s="1235" t="s">
        <v>6652</v>
      </c>
      <c r="G6" s="1235" t="s">
        <v>6646</v>
      </c>
      <c r="H6" s="1235" t="s">
        <v>6413</v>
      </c>
      <c r="I6" s="1235" t="s">
        <v>6414</v>
      </c>
      <c r="J6" s="1235">
        <v>90</v>
      </c>
      <c r="K6" s="1235">
        <v>215.89</v>
      </c>
      <c r="L6" s="1235">
        <v>24036</v>
      </c>
    </row>
    <row r="7" spans="1:12">
      <c r="A7" s="3486">
        <v>45077.333831018521</v>
      </c>
      <c r="B7" s="1235" t="s">
        <v>6644</v>
      </c>
      <c r="C7" s="1235" t="s">
        <v>633</v>
      </c>
      <c r="D7" s="1235" t="s">
        <v>633</v>
      </c>
      <c r="E7" s="1235">
        <v>8</v>
      </c>
      <c r="F7" s="1235" t="s">
        <v>6653</v>
      </c>
      <c r="G7" s="1235" t="s">
        <v>6646</v>
      </c>
      <c r="H7" s="1235" t="s">
        <v>6413</v>
      </c>
      <c r="I7" s="1235" t="s">
        <v>6433</v>
      </c>
      <c r="J7" s="1235">
        <v>77</v>
      </c>
      <c r="K7" s="1235">
        <v>163.24</v>
      </c>
      <c r="L7" s="1235">
        <v>21134</v>
      </c>
    </row>
    <row r="8" spans="1:12">
      <c r="A8" s="3486">
        <v>45077.333831018521</v>
      </c>
      <c r="B8" s="1235" t="s">
        <v>6621</v>
      </c>
      <c r="C8" s="1235" t="s">
        <v>633</v>
      </c>
      <c r="D8" s="1235" t="s">
        <v>633</v>
      </c>
      <c r="E8" s="1235">
        <v>5</v>
      </c>
      <c r="F8" s="1235" t="s">
        <v>6645</v>
      </c>
      <c r="G8" s="1235" t="s">
        <v>6646</v>
      </c>
      <c r="H8" s="1235" t="s">
        <v>6413</v>
      </c>
      <c r="I8" s="1235" t="s">
        <v>6433</v>
      </c>
      <c r="J8" s="1235">
        <v>77</v>
      </c>
      <c r="K8" s="1235">
        <v>164.78</v>
      </c>
      <c r="L8" s="1235">
        <v>21320</v>
      </c>
    </row>
    <row r="9" spans="1:12">
      <c r="A9" s="3486">
        <v>45076.333831018521</v>
      </c>
      <c r="B9" s="1235" t="s">
        <v>6649</v>
      </c>
      <c r="C9" s="1235" t="s">
        <v>633</v>
      </c>
      <c r="D9" s="1235" t="s">
        <v>633</v>
      </c>
      <c r="E9" s="1235">
        <v>2</v>
      </c>
      <c r="F9" s="1235" t="s">
        <v>6654</v>
      </c>
      <c r="G9" s="1235" t="s">
        <v>6646</v>
      </c>
      <c r="H9" s="1235" t="s">
        <v>6413</v>
      </c>
      <c r="I9" s="1235" t="s">
        <v>6414</v>
      </c>
      <c r="J9" s="1235">
        <v>89</v>
      </c>
      <c r="K9" s="1235">
        <v>211.13</v>
      </c>
      <c r="L9" s="1235">
        <v>23648</v>
      </c>
    </row>
    <row r="10" spans="1:12">
      <c r="A10" s="3486">
        <v>45076.333831018521</v>
      </c>
      <c r="B10" s="1235" t="s">
        <v>6655</v>
      </c>
      <c r="C10" s="1235" t="s">
        <v>633</v>
      </c>
      <c r="D10" s="1235" t="s">
        <v>633</v>
      </c>
      <c r="E10" s="1235">
        <v>5</v>
      </c>
      <c r="F10" s="1235">
        <v>502</v>
      </c>
      <c r="G10" s="1235" t="s">
        <v>6646</v>
      </c>
      <c r="H10" s="1235" t="s">
        <v>6413</v>
      </c>
      <c r="I10" s="1235" t="s">
        <v>6433</v>
      </c>
      <c r="J10" s="1235">
        <v>76</v>
      </c>
      <c r="K10" s="1235">
        <v>174.42</v>
      </c>
      <c r="L10" s="1235">
        <v>23037</v>
      </c>
    </row>
    <row r="11" spans="1:12">
      <c r="A11" s="3486">
        <v>45076.333831018521</v>
      </c>
      <c r="B11" s="1235" t="s">
        <v>6621</v>
      </c>
      <c r="C11" s="1235" t="s">
        <v>633</v>
      </c>
      <c r="D11" s="1235" t="s">
        <v>633</v>
      </c>
      <c r="E11" s="1235">
        <v>7</v>
      </c>
      <c r="F11" s="1235" t="s">
        <v>6656</v>
      </c>
      <c r="G11" s="1235" t="s">
        <v>6646</v>
      </c>
      <c r="H11" s="1235" t="s">
        <v>6413</v>
      </c>
      <c r="I11" s="1235" t="s">
        <v>6433</v>
      </c>
      <c r="J11" s="1235">
        <v>77</v>
      </c>
      <c r="K11" s="1235">
        <v>171.18</v>
      </c>
      <c r="L11" s="1235">
        <v>22147</v>
      </c>
    </row>
    <row r="12" spans="1:12">
      <c r="A12" s="3486">
        <v>45076.333831018521</v>
      </c>
      <c r="B12" s="1235" t="s">
        <v>6621</v>
      </c>
      <c r="C12" s="1235" t="s">
        <v>633</v>
      </c>
      <c r="D12" s="1235" t="s">
        <v>633</v>
      </c>
      <c r="E12" s="1235">
        <v>2</v>
      </c>
      <c r="F12" s="1235" t="s">
        <v>6657</v>
      </c>
      <c r="G12" s="1235" t="s">
        <v>6646</v>
      </c>
      <c r="H12" s="1235" t="s">
        <v>6413</v>
      </c>
      <c r="I12" s="1235" t="s">
        <v>6433</v>
      </c>
      <c r="J12" s="1235">
        <v>78</v>
      </c>
      <c r="K12" s="1235">
        <v>161.59</v>
      </c>
      <c r="L12" s="1235">
        <v>20713</v>
      </c>
    </row>
    <row r="13" spans="1:12">
      <c r="A13" s="3486">
        <v>45075.333831018521</v>
      </c>
      <c r="B13" s="1235" t="s">
        <v>6644</v>
      </c>
      <c r="C13" s="1235" t="s">
        <v>633</v>
      </c>
      <c r="D13" s="1235" t="s">
        <v>633</v>
      </c>
      <c r="E13" s="1235">
        <v>6</v>
      </c>
      <c r="F13" s="1235" t="s">
        <v>6658</v>
      </c>
      <c r="G13" s="1235" t="s">
        <v>6646</v>
      </c>
      <c r="H13" s="1235" t="s">
        <v>6413</v>
      </c>
      <c r="I13" s="1235" t="s">
        <v>6433</v>
      </c>
      <c r="J13" s="1235">
        <v>78</v>
      </c>
      <c r="K13" s="1235">
        <v>164.78</v>
      </c>
      <c r="L13" s="1235">
        <v>21134</v>
      </c>
    </row>
    <row r="14" spans="1:12">
      <c r="A14" s="3486">
        <v>45072.333831018521</v>
      </c>
      <c r="B14" s="1235" t="s">
        <v>6621</v>
      </c>
      <c r="C14" s="1235" t="s">
        <v>633</v>
      </c>
      <c r="D14" s="1235" t="s">
        <v>633</v>
      </c>
      <c r="E14" s="1235">
        <v>8</v>
      </c>
      <c r="F14" s="1235" t="s">
        <v>6659</v>
      </c>
      <c r="G14" s="1235" t="s">
        <v>6646</v>
      </c>
      <c r="H14" s="1235" t="s">
        <v>6413</v>
      </c>
      <c r="I14" s="1235" t="s">
        <v>6433</v>
      </c>
      <c r="J14" s="1235">
        <v>78</v>
      </c>
      <c r="K14" s="1235">
        <v>171.04</v>
      </c>
      <c r="L14" s="1235">
        <v>21926</v>
      </c>
    </row>
    <row r="15" spans="1:12">
      <c r="A15" s="3486">
        <v>45072.333831018521</v>
      </c>
      <c r="B15" s="1235" t="s">
        <v>6600</v>
      </c>
      <c r="C15" s="1235" t="s">
        <v>633</v>
      </c>
      <c r="D15" s="1235" t="s">
        <v>633</v>
      </c>
      <c r="E15" s="1235">
        <v>7</v>
      </c>
      <c r="F15" s="1235" t="s">
        <v>6660</v>
      </c>
      <c r="G15" s="1235" t="s">
        <v>6646</v>
      </c>
      <c r="H15" s="1235" t="s">
        <v>6413</v>
      </c>
      <c r="I15" s="1235" t="s">
        <v>6414</v>
      </c>
      <c r="J15" s="1235">
        <v>90</v>
      </c>
      <c r="K15" s="1235">
        <v>199.77</v>
      </c>
      <c r="L15" s="1235">
        <v>22229</v>
      </c>
    </row>
    <row r="16" spans="1:12">
      <c r="A16" s="3486">
        <v>45071.333831018521</v>
      </c>
      <c r="B16" s="1235" t="s">
        <v>6621</v>
      </c>
      <c r="C16" s="1235" t="s">
        <v>633</v>
      </c>
      <c r="D16" s="1235" t="s">
        <v>633</v>
      </c>
      <c r="E16" s="1235">
        <v>5</v>
      </c>
      <c r="F16" s="1235" t="s">
        <v>6661</v>
      </c>
      <c r="G16" s="1235" t="s">
        <v>6646</v>
      </c>
      <c r="H16" s="1235" t="s">
        <v>6413</v>
      </c>
      <c r="I16" s="1235" t="s">
        <v>6433</v>
      </c>
      <c r="J16" s="1235">
        <v>78</v>
      </c>
      <c r="K16" s="1235">
        <v>168</v>
      </c>
      <c r="L16" s="1235">
        <v>21535</v>
      </c>
    </row>
    <row r="17" spans="1:12">
      <c r="A17" s="3486">
        <v>45071.333831018521</v>
      </c>
      <c r="B17" s="1235" t="s">
        <v>6662</v>
      </c>
      <c r="C17" s="1235" t="s">
        <v>633</v>
      </c>
      <c r="D17" s="1235" t="s">
        <v>633</v>
      </c>
      <c r="E17" s="1235">
        <v>12</v>
      </c>
      <c r="F17" s="1235">
        <v>1201</v>
      </c>
      <c r="G17" s="1235" t="s">
        <v>6646</v>
      </c>
      <c r="H17" s="1235" t="s">
        <v>6413</v>
      </c>
      <c r="I17" s="1235" t="s">
        <v>6663</v>
      </c>
      <c r="J17" s="1235">
        <v>116</v>
      </c>
      <c r="K17" s="1235">
        <v>266.54000000000002</v>
      </c>
      <c r="L17" s="1235">
        <v>23037</v>
      </c>
    </row>
    <row r="18" spans="1:12">
      <c r="A18" s="3486">
        <v>45070.333831018521</v>
      </c>
      <c r="B18" s="1235" t="s">
        <v>6577</v>
      </c>
      <c r="C18" s="1235" t="s">
        <v>633</v>
      </c>
      <c r="D18" s="1235" t="s">
        <v>633</v>
      </c>
      <c r="E18" s="1235">
        <v>5</v>
      </c>
      <c r="F18" s="1235" t="s">
        <v>6645</v>
      </c>
      <c r="G18" s="1235" t="s">
        <v>6646</v>
      </c>
      <c r="H18" s="1235" t="s">
        <v>6413</v>
      </c>
      <c r="I18" s="1235" t="s">
        <v>6414</v>
      </c>
      <c r="J18" s="1235">
        <v>90</v>
      </c>
      <c r="K18" s="1235">
        <v>209.68</v>
      </c>
      <c r="L18" s="1235">
        <v>23423</v>
      </c>
    </row>
    <row r="19" spans="1:12">
      <c r="A19" s="3486">
        <v>45068.333831018521</v>
      </c>
      <c r="B19" s="1235" t="s">
        <v>6649</v>
      </c>
      <c r="C19" s="1235" t="s">
        <v>633</v>
      </c>
      <c r="D19" s="1235" t="s">
        <v>633</v>
      </c>
      <c r="E19" s="1235">
        <v>1</v>
      </c>
      <c r="F19" s="1235" t="s">
        <v>6664</v>
      </c>
      <c r="G19" s="1235" t="s">
        <v>6646</v>
      </c>
      <c r="H19" s="1235" t="s">
        <v>6413</v>
      </c>
      <c r="I19" s="1235" t="s">
        <v>6414</v>
      </c>
      <c r="J19" s="1235">
        <v>89</v>
      </c>
      <c r="K19" s="1235">
        <v>221.01</v>
      </c>
      <c r="L19" s="1235">
        <v>24755</v>
      </c>
    </row>
    <row r="20" spans="1:12">
      <c r="A20" s="3486">
        <v>45066.333831018521</v>
      </c>
      <c r="B20" s="1235" t="s">
        <v>6621</v>
      </c>
      <c r="C20" s="1235" t="s">
        <v>633</v>
      </c>
      <c r="D20" s="1235" t="s">
        <v>633</v>
      </c>
      <c r="E20" s="1235">
        <v>7</v>
      </c>
      <c r="F20" s="1235" t="s">
        <v>6665</v>
      </c>
      <c r="G20" s="1235" t="s">
        <v>6646</v>
      </c>
      <c r="H20" s="1235" t="s">
        <v>6413</v>
      </c>
      <c r="I20" s="1235" t="s">
        <v>6433</v>
      </c>
      <c r="J20" s="1235">
        <v>77</v>
      </c>
      <c r="K20" s="1235">
        <v>171.81</v>
      </c>
      <c r="L20" s="1235">
        <v>22229</v>
      </c>
    </row>
    <row r="21" spans="1:12">
      <c r="A21" s="3486">
        <v>45065.333831018521</v>
      </c>
      <c r="B21" s="1235" t="s">
        <v>6662</v>
      </c>
      <c r="C21" s="1235" t="s">
        <v>633</v>
      </c>
      <c r="D21" s="1235" t="s">
        <v>633</v>
      </c>
      <c r="E21" s="1235">
        <v>14</v>
      </c>
      <c r="F21" s="1235">
        <v>1401</v>
      </c>
      <c r="G21" s="1235" t="s">
        <v>6646</v>
      </c>
      <c r="H21" s="1235" t="s">
        <v>6413</v>
      </c>
      <c r="I21" s="1235" t="s">
        <v>6663</v>
      </c>
      <c r="J21" s="1235">
        <v>116</v>
      </c>
      <c r="K21" s="1235">
        <v>247.66</v>
      </c>
      <c r="L21" s="1235">
        <v>21406</v>
      </c>
    </row>
    <row r="22" spans="1:12">
      <c r="A22" s="3486">
        <v>45064.333831018521</v>
      </c>
      <c r="B22" s="1235" t="s">
        <v>6655</v>
      </c>
      <c r="C22" s="1235" t="s">
        <v>633</v>
      </c>
      <c r="D22" s="1235" t="s">
        <v>633</v>
      </c>
      <c r="E22" s="1235">
        <v>5</v>
      </c>
      <c r="F22" s="1235">
        <v>503</v>
      </c>
      <c r="G22" s="1235" t="s">
        <v>6646</v>
      </c>
      <c r="H22" s="1235" t="s">
        <v>6413</v>
      </c>
      <c r="I22" s="1235" t="s">
        <v>6433</v>
      </c>
      <c r="J22" s="1235">
        <v>76</v>
      </c>
      <c r="K22" s="1235">
        <v>172.67</v>
      </c>
      <c r="L22" s="1235">
        <v>22807</v>
      </c>
    </row>
    <row r="23" spans="1:12">
      <c r="A23" s="3486">
        <v>45063.333831018521</v>
      </c>
      <c r="B23" s="1235" t="s">
        <v>6649</v>
      </c>
      <c r="C23" s="1235" t="s">
        <v>633</v>
      </c>
      <c r="D23" s="1235" t="s">
        <v>633</v>
      </c>
      <c r="E23" s="1235">
        <v>1</v>
      </c>
      <c r="F23" s="1235" t="s">
        <v>6666</v>
      </c>
      <c r="G23" s="1235" t="s">
        <v>6646</v>
      </c>
      <c r="H23" s="1235" t="s">
        <v>6413</v>
      </c>
      <c r="I23" s="1235" t="s">
        <v>6414</v>
      </c>
      <c r="J23" s="1235">
        <v>89</v>
      </c>
      <c r="K23" s="1235">
        <v>225.52</v>
      </c>
      <c r="L23" s="1235">
        <v>25260</v>
      </c>
    </row>
    <row r="24" spans="1:12">
      <c r="A24" s="3486">
        <v>45063.333831018521</v>
      </c>
      <c r="B24" s="1235" t="s">
        <v>6662</v>
      </c>
      <c r="C24" s="1235" t="s">
        <v>633</v>
      </c>
      <c r="D24" s="1235" t="s">
        <v>633</v>
      </c>
      <c r="E24" s="1235">
        <v>4</v>
      </c>
      <c r="F24" s="1235">
        <v>401</v>
      </c>
      <c r="G24" s="1235" t="s">
        <v>6646</v>
      </c>
      <c r="H24" s="1235" t="s">
        <v>6413</v>
      </c>
      <c r="I24" s="1235" t="s">
        <v>6663</v>
      </c>
      <c r="J24" s="1235">
        <v>116</v>
      </c>
      <c r="K24" s="1235">
        <v>252.3</v>
      </c>
      <c r="L24" s="1235">
        <v>21807</v>
      </c>
    </row>
    <row r="25" spans="1:12">
      <c r="A25" s="3486">
        <v>45061.333831018521</v>
      </c>
      <c r="B25" s="1235" t="s">
        <v>6621</v>
      </c>
      <c r="C25" s="1235" t="s">
        <v>633</v>
      </c>
      <c r="D25" s="1235" t="s">
        <v>633</v>
      </c>
      <c r="E25" s="1235">
        <v>11</v>
      </c>
      <c r="F25" s="1235" t="s">
        <v>6667</v>
      </c>
      <c r="G25" s="1235" t="s">
        <v>6646</v>
      </c>
      <c r="H25" s="1235" t="s">
        <v>6413</v>
      </c>
      <c r="I25" s="1235" t="s">
        <v>6433</v>
      </c>
      <c r="J25" s="1235">
        <v>77</v>
      </c>
      <c r="K25" s="1235">
        <v>160.09</v>
      </c>
      <c r="L25" s="1235">
        <v>20713</v>
      </c>
    </row>
    <row r="26" spans="1:12">
      <c r="A26" s="3486">
        <v>45061.333831018521</v>
      </c>
      <c r="B26" s="1235" t="s">
        <v>6621</v>
      </c>
      <c r="C26" s="1235" t="s">
        <v>633</v>
      </c>
      <c r="D26" s="1235" t="s">
        <v>633</v>
      </c>
      <c r="E26" s="1235">
        <v>5</v>
      </c>
      <c r="F26" s="1235" t="s">
        <v>6668</v>
      </c>
      <c r="G26" s="1235" t="s">
        <v>6646</v>
      </c>
      <c r="H26" s="1235" t="s">
        <v>6413</v>
      </c>
      <c r="I26" s="1235" t="s">
        <v>6433</v>
      </c>
      <c r="J26" s="1235">
        <v>77</v>
      </c>
      <c r="K26" s="1235">
        <v>166.44</v>
      </c>
      <c r="L26" s="1235">
        <v>21535</v>
      </c>
    </row>
    <row r="27" spans="1:12">
      <c r="A27" s="3486">
        <v>45059.333831018521</v>
      </c>
      <c r="B27" s="1235" t="s">
        <v>6621</v>
      </c>
      <c r="C27" s="1235" t="s">
        <v>633</v>
      </c>
      <c r="D27" s="1235" t="s">
        <v>633</v>
      </c>
      <c r="E27" s="1235">
        <v>6</v>
      </c>
      <c r="F27" s="1235" t="s">
        <v>6652</v>
      </c>
      <c r="G27" s="1235" t="s">
        <v>6646</v>
      </c>
      <c r="H27" s="1235" t="s">
        <v>6413</v>
      </c>
      <c r="I27" s="1235" t="s">
        <v>6433</v>
      </c>
      <c r="J27" s="1235">
        <v>78</v>
      </c>
      <c r="K27" s="1235">
        <v>172.77</v>
      </c>
      <c r="L27" s="1235">
        <v>22147</v>
      </c>
    </row>
    <row r="28" spans="1:12">
      <c r="A28" s="3486">
        <v>45058.333831018521</v>
      </c>
      <c r="B28" s="1235" t="s">
        <v>6600</v>
      </c>
      <c r="C28" s="1235" t="s">
        <v>633</v>
      </c>
      <c r="D28" s="1235" t="s">
        <v>633</v>
      </c>
      <c r="E28" s="1235">
        <v>5</v>
      </c>
      <c r="F28" s="1235" t="s">
        <v>6669</v>
      </c>
      <c r="G28" s="1235" t="s">
        <v>6646</v>
      </c>
      <c r="H28" s="1235" t="s">
        <v>6413</v>
      </c>
      <c r="I28" s="1235" t="s">
        <v>6414</v>
      </c>
      <c r="J28" s="1235">
        <v>90</v>
      </c>
      <c r="K28" s="1235">
        <v>212.8</v>
      </c>
      <c r="L28" s="1235">
        <v>23678</v>
      </c>
    </row>
    <row r="29" spans="1:12">
      <c r="A29" s="3486">
        <v>45058.333831018521</v>
      </c>
      <c r="B29" s="1235" t="s">
        <v>6662</v>
      </c>
      <c r="C29" s="1235" t="s">
        <v>633</v>
      </c>
      <c r="D29" s="1235" t="s">
        <v>633</v>
      </c>
      <c r="E29" s="1235">
        <v>6</v>
      </c>
      <c r="F29" s="1235">
        <v>601</v>
      </c>
      <c r="G29" s="1235" t="s">
        <v>6646</v>
      </c>
      <c r="H29" s="1235" t="s">
        <v>6413</v>
      </c>
      <c r="I29" s="1235" t="s">
        <v>6663</v>
      </c>
      <c r="J29" s="1235">
        <v>116</v>
      </c>
      <c r="K29" s="1235">
        <v>260.7</v>
      </c>
      <c r="L29" s="1235">
        <v>22532</v>
      </c>
    </row>
    <row r="30" spans="1:12">
      <c r="A30" s="3486">
        <v>45057.333831018521</v>
      </c>
      <c r="B30" s="1235" t="s">
        <v>6649</v>
      </c>
      <c r="C30" s="1235" t="s">
        <v>633</v>
      </c>
      <c r="D30" s="1235" t="s">
        <v>633</v>
      </c>
      <c r="E30" s="1235">
        <v>9</v>
      </c>
      <c r="F30" s="1235" t="s">
        <v>6670</v>
      </c>
      <c r="G30" s="1235" t="s">
        <v>6646</v>
      </c>
      <c r="H30" s="1235" t="s">
        <v>6413</v>
      </c>
      <c r="I30" s="1235" t="s">
        <v>6414</v>
      </c>
      <c r="J30" s="1235">
        <v>89</v>
      </c>
      <c r="K30" s="1235">
        <v>198.56</v>
      </c>
      <c r="L30" s="1235">
        <v>22241</v>
      </c>
    </row>
    <row r="31" spans="1:12">
      <c r="A31" s="3486">
        <v>45035.333831018521</v>
      </c>
      <c r="B31" s="1235" t="s">
        <v>6577</v>
      </c>
      <c r="C31" s="1235" t="s">
        <v>633</v>
      </c>
      <c r="D31" s="1235" t="s">
        <v>633</v>
      </c>
      <c r="E31" s="1235">
        <v>5</v>
      </c>
      <c r="F31" s="1235" t="s">
        <v>6671</v>
      </c>
      <c r="G31" s="1235" t="s">
        <v>6646</v>
      </c>
      <c r="H31" s="1235" t="s">
        <v>6413</v>
      </c>
      <c r="I31" s="1235" t="s">
        <v>6414</v>
      </c>
      <c r="J31" s="1235">
        <v>90</v>
      </c>
      <c r="K31" s="1235">
        <v>209.68</v>
      </c>
      <c r="L31" s="1235">
        <v>23423</v>
      </c>
    </row>
    <row r="32" spans="1:12">
      <c r="A32" s="3486">
        <v>45035.333831018521</v>
      </c>
      <c r="B32" s="1235" t="s">
        <v>6655</v>
      </c>
      <c r="C32" s="1235" t="s">
        <v>633</v>
      </c>
      <c r="D32" s="1235" t="s">
        <v>633</v>
      </c>
      <c r="E32" s="1235">
        <v>2</v>
      </c>
      <c r="F32" s="1235">
        <v>202</v>
      </c>
      <c r="G32" s="1235" t="s">
        <v>6646</v>
      </c>
      <c r="H32" s="1235" t="s">
        <v>6413</v>
      </c>
      <c r="I32" s="1235" t="s">
        <v>6433</v>
      </c>
      <c r="J32" s="1235">
        <v>76</v>
      </c>
      <c r="K32" s="1235">
        <v>168.3</v>
      </c>
      <c r="L32" s="1235">
        <v>22229</v>
      </c>
    </row>
    <row r="33" spans="1:12">
      <c r="A33" s="3486">
        <v>45033.333831018521</v>
      </c>
      <c r="B33" s="1235" t="s">
        <v>6672</v>
      </c>
      <c r="C33" s="1235" t="s">
        <v>633</v>
      </c>
      <c r="D33" s="1235" t="s">
        <v>633</v>
      </c>
      <c r="E33" s="1235">
        <v>1</v>
      </c>
      <c r="F33" s="1235" t="s">
        <v>6666</v>
      </c>
      <c r="G33" s="1235" t="s">
        <v>6673</v>
      </c>
      <c r="H33" s="1235" t="s">
        <v>6413</v>
      </c>
      <c r="I33" s="1235" t="s">
        <v>6414</v>
      </c>
      <c r="J33" s="1235">
        <v>88</v>
      </c>
      <c r="K33" s="1235">
        <v>241.45</v>
      </c>
      <c r="L33" s="1235">
        <v>27292</v>
      </c>
    </row>
    <row r="34" spans="1:12">
      <c r="A34" s="3486">
        <v>45033.333831018521</v>
      </c>
      <c r="B34" s="1235" t="s">
        <v>6644</v>
      </c>
      <c r="C34" s="1235" t="s">
        <v>633</v>
      </c>
      <c r="D34" s="1235" t="s">
        <v>633</v>
      </c>
      <c r="E34" s="1235">
        <v>7</v>
      </c>
      <c r="F34" s="1235" t="s">
        <v>6656</v>
      </c>
      <c r="G34" s="1235" t="s">
        <v>6646</v>
      </c>
      <c r="H34" s="1235" t="s">
        <v>6413</v>
      </c>
      <c r="I34" s="1235" t="s">
        <v>6433</v>
      </c>
      <c r="J34" s="1235">
        <v>77</v>
      </c>
      <c r="K34" s="1235">
        <v>161.61000000000001</v>
      </c>
      <c r="L34" s="1235">
        <v>20923</v>
      </c>
    </row>
    <row r="35" spans="1:12">
      <c r="A35" s="3486">
        <v>45033.333831018521</v>
      </c>
      <c r="B35" s="1235" t="s">
        <v>6649</v>
      </c>
      <c r="C35" s="1235" t="s">
        <v>633</v>
      </c>
      <c r="D35" s="1235" t="s">
        <v>633</v>
      </c>
      <c r="E35" s="1235">
        <v>6</v>
      </c>
      <c r="F35" s="1235" t="s">
        <v>6674</v>
      </c>
      <c r="G35" s="1235" t="s">
        <v>6646</v>
      </c>
      <c r="H35" s="1235" t="s">
        <v>6413</v>
      </c>
      <c r="I35" s="1235" t="s">
        <v>6414</v>
      </c>
      <c r="J35" s="1235">
        <v>89</v>
      </c>
      <c r="K35" s="1235">
        <v>217.64</v>
      </c>
      <c r="L35" s="1235">
        <v>24378</v>
      </c>
    </row>
    <row r="36" spans="1:12">
      <c r="A36" s="3486">
        <v>45033.333831018521</v>
      </c>
      <c r="B36" s="1235" t="s">
        <v>6577</v>
      </c>
      <c r="C36" s="1235" t="s">
        <v>633</v>
      </c>
      <c r="D36" s="1235" t="s">
        <v>633</v>
      </c>
      <c r="E36" s="1235">
        <v>1</v>
      </c>
      <c r="F36" s="1235" t="s">
        <v>6675</v>
      </c>
      <c r="G36" s="1235" t="s">
        <v>6646</v>
      </c>
      <c r="H36" s="1235" t="s">
        <v>6413</v>
      </c>
      <c r="I36" s="1235" t="s">
        <v>6414</v>
      </c>
      <c r="J36" s="1235">
        <v>90</v>
      </c>
      <c r="K36" s="1235">
        <v>223.85</v>
      </c>
      <c r="L36" s="1235">
        <v>25005</v>
      </c>
    </row>
    <row r="37" spans="1:12">
      <c r="A37" s="3486">
        <v>45032.333831018521</v>
      </c>
      <c r="B37" s="1235" t="s">
        <v>6577</v>
      </c>
      <c r="C37" s="1235" t="s">
        <v>633</v>
      </c>
      <c r="D37" s="1235" t="s">
        <v>633</v>
      </c>
      <c r="E37" s="1235">
        <v>4</v>
      </c>
      <c r="F37" s="1235" t="s">
        <v>6676</v>
      </c>
      <c r="G37" s="1235" t="s">
        <v>6646</v>
      </c>
      <c r="H37" s="1235" t="s">
        <v>6413</v>
      </c>
      <c r="I37" s="1235" t="s">
        <v>6414</v>
      </c>
      <c r="J37" s="1235">
        <v>90</v>
      </c>
      <c r="K37" s="1235">
        <v>209.68</v>
      </c>
      <c r="L37" s="1235">
        <v>23423</v>
      </c>
    </row>
    <row r="38" spans="1:12">
      <c r="A38" s="3486">
        <v>45030.333831018521</v>
      </c>
      <c r="B38" s="1235" t="s">
        <v>6677</v>
      </c>
      <c r="C38" s="1235" t="s">
        <v>633</v>
      </c>
      <c r="D38" s="1235" t="s">
        <v>633</v>
      </c>
      <c r="E38" s="1235">
        <v>1</v>
      </c>
      <c r="F38" s="1235" t="s">
        <v>6678</v>
      </c>
      <c r="G38" s="1235" t="s">
        <v>6646</v>
      </c>
      <c r="H38" s="1235" t="s">
        <v>6413</v>
      </c>
      <c r="I38" s="1235" t="s">
        <v>6414</v>
      </c>
      <c r="J38" s="1235">
        <v>90</v>
      </c>
      <c r="K38" s="1235">
        <v>224.14</v>
      </c>
      <c r="L38" s="1235">
        <v>25008</v>
      </c>
    </row>
    <row r="39" spans="1:12">
      <c r="A39" s="3486">
        <v>45030.333831018521</v>
      </c>
      <c r="B39" s="1235" t="s">
        <v>6655</v>
      </c>
      <c r="C39" s="1235" t="s">
        <v>633</v>
      </c>
      <c r="D39" s="1235" t="s">
        <v>633</v>
      </c>
      <c r="E39" s="1235">
        <v>7</v>
      </c>
      <c r="F39" s="1235">
        <v>703</v>
      </c>
      <c r="G39" s="1235" t="s">
        <v>6646</v>
      </c>
      <c r="H39" s="1235" t="s">
        <v>6413</v>
      </c>
      <c r="I39" s="1235" t="s">
        <v>6433</v>
      </c>
      <c r="J39" s="1235">
        <v>76</v>
      </c>
      <c r="K39" s="1235">
        <v>174.42</v>
      </c>
      <c r="L39" s="1235">
        <v>23037</v>
      </c>
    </row>
    <row r="40" spans="1:12">
      <c r="A40" s="3486">
        <v>45030.333831018521</v>
      </c>
      <c r="B40" s="1235" t="s">
        <v>6600</v>
      </c>
      <c r="C40" s="1235" t="s">
        <v>633</v>
      </c>
      <c r="D40" s="1235" t="s">
        <v>633</v>
      </c>
      <c r="E40" s="1235">
        <v>4</v>
      </c>
      <c r="F40" s="1235" t="s">
        <v>6679</v>
      </c>
      <c r="G40" s="1235" t="s">
        <v>6646</v>
      </c>
      <c r="H40" s="1235" t="s">
        <v>6413</v>
      </c>
      <c r="I40" s="1235" t="s">
        <v>6414</v>
      </c>
      <c r="J40" s="1235">
        <v>90</v>
      </c>
      <c r="K40" s="1235">
        <v>206.63</v>
      </c>
      <c r="L40" s="1235">
        <v>23066</v>
      </c>
    </row>
    <row r="41" spans="1:12">
      <c r="A41" s="3486">
        <v>45030.333831018521</v>
      </c>
      <c r="B41" s="1235" t="s">
        <v>6600</v>
      </c>
      <c r="C41" s="1235" t="s">
        <v>633</v>
      </c>
      <c r="D41" s="1235" t="s">
        <v>633</v>
      </c>
      <c r="E41" s="1235">
        <v>1</v>
      </c>
      <c r="F41" s="1235" t="s">
        <v>6664</v>
      </c>
      <c r="G41" s="1235" t="s">
        <v>6646</v>
      </c>
      <c r="H41" s="1235" t="s">
        <v>6413</v>
      </c>
      <c r="I41" s="1235" t="s">
        <v>6414</v>
      </c>
      <c r="J41" s="1235">
        <v>90</v>
      </c>
      <c r="K41" s="1235">
        <v>210.96</v>
      </c>
      <c r="L41" s="1235">
        <v>23474</v>
      </c>
    </row>
    <row r="42" spans="1:12">
      <c r="A42" s="3486">
        <v>45030.333831018521</v>
      </c>
      <c r="B42" s="1235" t="s">
        <v>6649</v>
      </c>
      <c r="C42" s="1235" t="s">
        <v>633</v>
      </c>
      <c r="D42" s="1235" t="s">
        <v>633</v>
      </c>
      <c r="E42" s="1235">
        <v>6</v>
      </c>
      <c r="F42" s="1235" t="s">
        <v>6680</v>
      </c>
      <c r="G42" s="1235" t="s">
        <v>6646</v>
      </c>
      <c r="H42" s="1235" t="s">
        <v>6413</v>
      </c>
      <c r="I42" s="1235" t="s">
        <v>6414</v>
      </c>
      <c r="J42" s="1235">
        <v>89</v>
      </c>
      <c r="K42" s="1235">
        <v>219.84</v>
      </c>
      <c r="L42" s="1235">
        <v>24624</v>
      </c>
    </row>
    <row r="43" spans="1:12">
      <c r="A43" s="3486">
        <v>45029.333831018521</v>
      </c>
      <c r="B43" s="1235" t="s">
        <v>6677</v>
      </c>
      <c r="C43" s="1235" t="s">
        <v>633</v>
      </c>
      <c r="D43" s="1235" t="s">
        <v>633</v>
      </c>
      <c r="E43" s="1235">
        <v>1</v>
      </c>
      <c r="F43" s="1235" t="s">
        <v>6666</v>
      </c>
      <c r="G43" s="1235" t="s">
        <v>6646</v>
      </c>
      <c r="H43" s="1235" t="s">
        <v>6413</v>
      </c>
      <c r="I43" s="1235" t="s">
        <v>6414</v>
      </c>
      <c r="J43" s="1235">
        <v>89</v>
      </c>
      <c r="K43" s="1235">
        <v>225.65</v>
      </c>
      <c r="L43" s="1235">
        <v>25260</v>
      </c>
    </row>
    <row r="44" spans="1:12">
      <c r="A44" s="3486">
        <v>45029.333831018521</v>
      </c>
      <c r="B44" s="1235" t="s">
        <v>6649</v>
      </c>
      <c r="C44" s="1235" t="s">
        <v>633</v>
      </c>
      <c r="D44" s="1235" t="s">
        <v>633</v>
      </c>
      <c r="E44" s="1235">
        <v>8</v>
      </c>
      <c r="F44" s="1235" t="s">
        <v>6681</v>
      </c>
      <c r="G44" s="1235" t="s">
        <v>6646</v>
      </c>
      <c r="H44" s="1235" t="s">
        <v>6413</v>
      </c>
      <c r="I44" s="1235" t="s">
        <v>6414</v>
      </c>
      <c r="J44" s="1235">
        <v>90</v>
      </c>
      <c r="K44" s="1235">
        <v>218.35</v>
      </c>
      <c r="L44" s="1235">
        <v>24378</v>
      </c>
    </row>
    <row r="45" spans="1:12">
      <c r="A45" s="3486">
        <v>45029.333831018521</v>
      </c>
      <c r="B45" s="1235" t="s">
        <v>6649</v>
      </c>
      <c r="C45" s="1235" t="s">
        <v>633</v>
      </c>
      <c r="D45" s="1235" t="s">
        <v>633</v>
      </c>
      <c r="E45" s="1235">
        <v>5</v>
      </c>
      <c r="F45" s="1235" t="s">
        <v>6682</v>
      </c>
      <c r="G45" s="1235" t="s">
        <v>6646</v>
      </c>
      <c r="H45" s="1235" t="s">
        <v>6413</v>
      </c>
      <c r="I45" s="1235" t="s">
        <v>6414</v>
      </c>
      <c r="J45" s="1235">
        <v>89</v>
      </c>
      <c r="K45" s="1235">
        <v>212.28</v>
      </c>
      <c r="L45" s="1235">
        <v>23777</v>
      </c>
    </row>
    <row r="46" spans="1:12">
      <c r="A46" s="3486">
        <v>45029.333831018521</v>
      </c>
      <c r="B46" s="1235" t="s">
        <v>6577</v>
      </c>
      <c r="C46" s="1235" t="s">
        <v>633</v>
      </c>
      <c r="D46" s="1235" t="s">
        <v>633</v>
      </c>
      <c r="E46" s="1235">
        <v>5</v>
      </c>
      <c r="F46" s="1235" t="s">
        <v>6682</v>
      </c>
      <c r="G46" s="1235" t="s">
        <v>6646</v>
      </c>
      <c r="H46" s="1235" t="s">
        <v>6413</v>
      </c>
      <c r="I46" s="1235" t="s">
        <v>6414</v>
      </c>
      <c r="J46" s="1235">
        <v>90</v>
      </c>
      <c r="K46" s="1235">
        <v>205.51</v>
      </c>
      <c r="L46" s="1235">
        <v>22957</v>
      </c>
    </row>
    <row r="47" spans="1:12">
      <c r="A47" s="3486">
        <v>45029.333831018521</v>
      </c>
      <c r="B47" s="1235" t="s">
        <v>6621</v>
      </c>
      <c r="C47" s="1235" t="s">
        <v>633</v>
      </c>
      <c r="D47" s="1235" t="s">
        <v>633</v>
      </c>
      <c r="E47" s="1235">
        <v>7</v>
      </c>
      <c r="F47" s="1235" t="s">
        <v>6660</v>
      </c>
      <c r="G47" s="1235" t="s">
        <v>6646</v>
      </c>
      <c r="H47" s="1235" t="s">
        <v>6413</v>
      </c>
      <c r="I47" s="1235" t="s">
        <v>6433</v>
      </c>
      <c r="J47" s="1235">
        <v>78</v>
      </c>
      <c r="K47" s="1235">
        <v>171.04</v>
      </c>
      <c r="L47" s="1235">
        <v>21926</v>
      </c>
    </row>
    <row r="48" spans="1:12">
      <c r="A48" s="3486">
        <v>45029.333831018521</v>
      </c>
      <c r="B48" s="1235" t="s">
        <v>6577</v>
      </c>
      <c r="C48" s="1235" t="s">
        <v>633</v>
      </c>
      <c r="D48" s="1235" t="s">
        <v>633</v>
      </c>
      <c r="E48" s="1235">
        <v>3</v>
      </c>
      <c r="F48" s="1235" t="s">
        <v>6683</v>
      </c>
      <c r="G48" s="1235" t="s">
        <v>6646</v>
      </c>
      <c r="H48" s="1235" t="s">
        <v>6413</v>
      </c>
      <c r="I48" s="1235" t="s">
        <v>6414</v>
      </c>
      <c r="J48" s="1235">
        <v>90</v>
      </c>
      <c r="K48" s="1235">
        <v>210.39</v>
      </c>
      <c r="L48" s="1235">
        <v>23423</v>
      </c>
    </row>
    <row r="49" spans="1:12">
      <c r="A49" s="3486">
        <v>45028.333831018521</v>
      </c>
      <c r="B49" s="1235" t="s">
        <v>6649</v>
      </c>
      <c r="C49" s="1235" t="s">
        <v>633</v>
      </c>
      <c r="D49" s="1235" t="s">
        <v>633</v>
      </c>
      <c r="E49" s="1235">
        <v>5</v>
      </c>
      <c r="F49" s="1235" t="s">
        <v>6669</v>
      </c>
      <c r="G49" s="1235" t="s">
        <v>6646</v>
      </c>
      <c r="H49" s="1235" t="s">
        <v>6413</v>
      </c>
      <c r="I49" s="1235" t="s">
        <v>6414</v>
      </c>
      <c r="J49" s="1235">
        <v>90</v>
      </c>
      <c r="K49" s="1235">
        <v>212.97</v>
      </c>
      <c r="L49" s="1235">
        <v>23777</v>
      </c>
    </row>
    <row r="50" spans="1:12">
      <c r="A50" s="3486">
        <v>45028.333831018521</v>
      </c>
      <c r="B50" s="1235" t="s">
        <v>6644</v>
      </c>
      <c r="C50" s="1235" t="s">
        <v>633</v>
      </c>
      <c r="D50" s="1235" t="s">
        <v>633</v>
      </c>
      <c r="E50" s="1235">
        <v>4</v>
      </c>
      <c r="F50" s="1235" t="s">
        <v>6647</v>
      </c>
      <c r="G50" s="1235" t="s">
        <v>6646</v>
      </c>
      <c r="H50" s="1235" t="s">
        <v>6413</v>
      </c>
      <c r="I50" s="1235" t="s">
        <v>6433</v>
      </c>
      <c r="J50" s="1235">
        <v>78</v>
      </c>
      <c r="K50" s="1235">
        <v>159.96</v>
      </c>
      <c r="L50" s="1235">
        <v>20515</v>
      </c>
    </row>
    <row r="51" spans="1:12">
      <c r="A51" s="3486">
        <v>45028.333831018521</v>
      </c>
      <c r="B51" s="1235" t="s">
        <v>6655</v>
      </c>
      <c r="C51" s="1235" t="s">
        <v>633</v>
      </c>
      <c r="D51" s="1235" t="s">
        <v>633</v>
      </c>
      <c r="E51" s="1235">
        <v>8</v>
      </c>
      <c r="F51" s="1235">
        <v>802</v>
      </c>
      <c r="G51" s="1235" t="s">
        <v>6646</v>
      </c>
      <c r="H51" s="1235" t="s">
        <v>6413</v>
      </c>
      <c r="I51" s="1235" t="s">
        <v>6433</v>
      </c>
      <c r="J51" s="1235">
        <v>76</v>
      </c>
      <c r="K51" s="1235">
        <v>174.42</v>
      </c>
      <c r="L51" s="1235">
        <v>23037</v>
      </c>
    </row>
    <row r="52" spans="1:12">
      <c r="A52" s="3486">
        <v>45028.333831018521</v>
      </c>
      <c r="B52" s="1235" t="s">
        <v>6649</v>
      </c>
      <c r="C52" s="1235" t="s">
        <v>633</v>
      </c>
      <c r="D52" s="1235" t="s">
        <v>633</v>
      </c>
      <c r="E52" s="1235">
        <v>3</v>
      </c>
      <c r="F52" s="1235" t="s">
        <v>6684</v>
      </c>
      <c r="G52" s="1235" t="s">
        <v>6646</v>
      </c>
      <c r="H52" s="1235" t="s">
        <v>6413</v>
      </c>
      <c r="I52" s="1235" t="s">
        <v>6414</v>
      </c>
      <c r="J52" s="1235">
        <v>90</v>
      </c>
      <c r="K52" s="1235">
        <v>215.12</v>
      </c>
      <c r="L52" s="1235">
        <v>24018</v>
      </c>
    </row>
    <row r="53" spans="1:12">
      <c r="A53" s="3486">
        <v>45028.333831018521</v>
      </c>
      <c r="B53" s="1235" t="s">
        <v>6649</v>
      </c>
      <c r="C53" s="1235" t="s">
        <v>633</v>
      </c>
      <c r="D53" s="1235" t="s">
        <v>633</v>
      </c>
      <c r="E53" s="1235">
        <v>2</v>
      </c>
      <c r="F53" s="1235" t="s">
        <v>6685</v>
      </c>
      <c r="G53" s="1235" t="s">
        <v>6646</v>
      </c>
      <c r="H53" s="1235" t="s">
        <v>6413</v>
      </c>
      <c r="I53" s="1235" t="s">
        <v>6414</v>
      </c>
      <c r="J53" s="1235">
        <v>89</v>
      </c>
      <c r="K53" s="1235">
        <v>209.02</v>
      </c>
      <c r="L53" s="1235">
        <v>23411</v>
      </c>
    </row>
    <row r="54" spans="1:12">
      <c r="A54" s="3486">
        <v>45028.333831018521</v>
      </c>
      <c r="B54" s="1235" t="s">
        <v>6577</v>
      </c>
      <c r="C54" s="1235" t="s">
        <v>633</v>
      </c>
      <c r="D54" s="1235" t="s">
        <v>633</v>
      </c>
      <c r="E54" s="1235">
        <v>9</v>
      </c>
      <c r="F54" s="1235" t="s">
        <v>6650</v>
      </c>
      <c r="G54" s="1235" t="s">
        <v>6646</v>
      </c>
      <c r="H54" s="1235" t="s">
        <v>6413</v>
      </c>
      <c r="I54" s="1235" t="s">
        <v>6414</v>
      </c>
      <c r="J54" s="1235">
        <v>90</v>
      </c>
      <c r="K54" s="1235">
        <v>202.16</v>
      </c>
      <c r="L54" s="1235">
        <v>22583</v>
      </c>
    </row>
    <row r="55" spans="1:12">
      <c r="A55" s="3486">
        <v>45028.333831018521</v>
      </c>
      <c r="B55" s="1235" t="s">
        <v>6649</v>
      </c>
      <c r="C55" s="1235" t="s">
        <v>633</v>
      </c>
      <c r="D55" s="1235" t="s">
        <v>633</v>
      </c>
      <c r="E55" s="1235">
        <v>1</v>
      </c>
      <c r="F55" s="1235" t="s">
        <v>6678</v>
      </c>
      <c r="G55" s="1235" t="s">
        <v>6646</v>
      </c>
      <c r="H55" s="1235" t="s">
        <v>6413</v>
      </c>
      <c r="I55" s="1235" t="s">
        <v>6414</v>
      </c>
      <c r="J55" s="1235">
        <v>90</v>
      </c>
      <c r="K55" s="1235">
        <v>217.32</v>
      </c>
      <c r="L55" s="1235">
        <v>24262</v>
      </c>
    </row>
    <row r="56" spans="1:12">
      <c r="A56" s="3486">
        <v>45028.333831018521</v>
      </c>
      <c r="B56" s="1235" t="s">
        <v>6644</v>
      </c>
      <c r="C56" s="1235" t="s">
        <v>633</v>
      </c>
      <c r="D56" s="1235" t="s">
        <v>633</v>
      </c>
      <c r="E56" s="1235">
        <v>7</v>
      </c>
      <c r="F56" s="1235" t="s">
        <v>6665</v>
      </c>
      <c r="G56" s="1235" t="s">
        <v>6646</v>
      </c>
      <c r="H56" s="1235" t="s">
        <v>6413</v>
      </c>
      <c r="I56" s="1235" t="s">
        <v>6433</v>
      </c>
      <c r="J56" s="1235">
        <v>77</v>
      </c>
      <c r="K56" s="1235">
        <v>161.61000000000001</v>
      </c>
      <c r="L56" s="1235">
        <v>20923</v>
      </c>
    </row>
    <row r="57" spans="1:12">
      <c r="A57" s="3486">
        <v>45028.333831018521</v>
      </c>
      <c r="B57" s="1235" t="s">
        <v>6600</v>
      </c>
      <c r="C57" s="1235" t="s">
        <v>633</v>
      </c>
      <c r="D57" s="1235" t="s">
        <v>633</v>
      </c>
      <c r="E57" s="1235">
        <v>3</v>
      </c>
      <c r="F57" s="1235" t="s">
        <v>6686</v>
      </c>
      <c r="G57" s="1235" t="s">
        <v>6646</v>
      </c>
      <c r="H57" s="1235" t="s">
        <v>6413</v>
      </c>
      <c r="I57" s="1235" t="s">
        <v>6414</v>
      </c>
      <c r="J57" s="1235">
        <v>90</v>
      </c>
      <c r="K57" s="1235">
        <v>204.56</v>
      </c>
      <c r="L57" s="1235">
        <v>22835</v>
      </c>
    </row>
    <row r="58" spans="1:12">
      <c r="A58" s="3486">
        <v>45027.333831018521</v>
      </c>
      <c r="B58" s="1235" t="s">
        <v>6577</v>
      </c>
      <c r="C58" s="1235" t="s">
        <v>633</v>
      </c>
      <c r="D58" s="1235" t="s">
        <v>633</v>
      </c>
      <c r="E58" s="1235">
        <v>3</v>
      </c>
      <c r="F58" s="1235" t="s">
        <v>6687</v>
      </c>
      <c r="G58" s="1235" t="s">
        <v>6646</v>
      </c>
      <c r="H58" s="1235" t="s">
        <v>6413</v>
      </c>
      <c r="I58" s="1235" t="s">
        <v>6414</v>
      </c>
      <c r="J58" s="1235">
        <v>90</v>
      </c>
      <c r="K58" s="1235">
        <v>207.59</v>
      </c>
      <c r="L58" s="1235">
        <v>23189</v>
      </c>
    </row>
    <row r="59" spans="1:12">
      <c r="A59" s="3486">
        <v>45026.333831018521</v>
      </c>
      <c r="B59" s="1235" t="s">
        <v>6649</v>
      </c>
      <c r="C59" s="1235" t="s">
        <v>633</v>
      </c>
      <c r="D59" s="1235" t="s">
        <v>633</v>
      </c>
      <c r="E59" s="1235">
        <v>5</v>
      </c>
      <c r="F59" s="1235" t="s">
        <v>6661</v>
      </c>
      <c r="G59" s="1235" t="s">
        <v>6646</v>
      </c>
      <c r="H59" s="1235" t="s">
        <v>6413</v>
      </c>
      <c r="I59" s="1235" t="s">
        <v>6414</v>
      </c>
      <c r="J59" s="1235">
        <v>90</v>
      </c>
      <c r="K59" s="1235">
        <v>212.97</v>
      </c>
      <c r="L59" s="1235">
        <v>23777</v>
      </c>
    </row>
    <row r="60" spans="1:12">
      <c r="A60" s="3486">
        <v>45026.333831018521</v>
      </c>
      <c r="B60" s="1235" t="s">
        <v>6621</v>
      </c>
      <c r="C60" s="1235" t="s">
        <v>633</v>
      </c>
      <c r="D60" s="1235" t="s">
        <v>633</v>
      </c>
      <c r="E60" s="1235">
        <v>5</v>
      </c>
      <c r="F60" s="1235" t="s">
        <v>6671</v>
      </c>
      <c r="G60" s="1235" t="s">
        <v>6646</v>
      </c>
      <c r="H60" s="1235" t="s">
        <v>6413</v>
      </c>
      <c r="I60" s="1235" t="s">
        <v>6433</v>
      </c>
      <c r="J60" s="1235">
        <v>77</v>
      </c>
      <c r="K60" s="1235">
        <v>164.78</v>
      </c>
      <c r="L60" s="1235">
        <v>21320</v>
      </c>
    </row>
    <row r="61" spans="1:12">
      <c r="A61" s="3486">
        <v>45025.333831018521</v>
      </c>
      <c r="B61" s="1235" t="s">
        <v>6649</v>
      </c>
      <c r="C61" s="1235" t="s">
        <v>633</v>
      </c>
      <c r="D61" s="1235" t="s">
        <v>633</v>
      </c>
      <c r="E61" s="1235">
        <v>5</v>
      </c>
      <c r="F61" s="1235" t="s">
        <v>6671</v>
      </c>
      <c r="G61" s="1235" t="s">
        <v>6646</v>
      </c>
      <c r="H61" s="1235" t="s">
        <v>6413</v>
      </c>
      <c r="I61" s="1235" t="s">
        <v>6414</v>
      </c>
      <c r="J61" s="1235">
        <v>89</v>
      </c>
      <c r="K61" s="1235">
        <v>212.28</v>
      </c>
      <c r="L61" s="1235">
        <v>23777</v>
      </c>
    </row>
    <row r="62" spans="1:12">
      <c r="A62" s="3486">
        <v>45023.333831018521</v>
      </c>
      <c r="B62" s="1235" t="s">
        <v>6621</v>
      </c>
      <c r="C62" s="1235" t="s">
        <v>633</v>
      </c>
      <c r="D62" s="1235" t="s">
        <v>633</v>
      </c>
      <c r="E62" s="1235">
        <v>8</v>
      </c>
      <c r="F62" s="1235" t="s">
        <v>6688</v>
      </c>
      <c r="G62" s="1235" t="s">
        <v>6646</v>
      </c>
      <c r="H62" s="1235" t="s">
        <v>6413</v>
      </c>
      <c r="I62" s="1235" t="s">
        <v>6433</v>
      </c>
      <c r="J62" s="1235">
        <v>77</v>
      </c>
      <c r="K62" s="1235">
        <v>167.77</v>
      </c>
      <c r="L62" s="1235">
        <v>21707</v>
      </c>
    </row>
    <row r="63" spans="1:12">
      <c r="A63" s="3486">
        <v>45023.333831018521</v>
      </c>
      <c r="B63" s="1235" t="s">
        <v>6649</v>
      </c>
      <c r="C63" s="1235" t="s">
        <v>633</v>
      </c>
      <c r="D63" s="1235" t="s">
        <v>633</v>
      </c>
      <c r="E63" s="1235">
        <v>1</v>
      </c>
      <c r="F63" s="1235" t="s">
        <v>6675</v>
      </c>
      <c r="G63" s="1235" t="s">
        <v>6646</v>
      </c>
      <c r="H63" s="1235" t="s">
        <v>6413</v>
      </c>
      <c r="I63" s="1235" t="s">
        <v>6414</v>
      </c>
      <c r="J63" s="1235">
        <v>89</v>
      </c>
      <c r="K63" s="1235">
        <v>225.52</v>
      </c>
      <c r="L63" s="1235">
        <v>25260</v>
      </c>
    </row>
    <row r="64" spans="1:12">
      <c r="A64" s="3486">
        <v>45022.333831018521</v>
      </c>
      <c r="B64" s="1235" t="s">
        <v>6649</v>
      </c>
      <c r="C64" s="1235" t="s">
        <v>633</v>
      </c>
      <c r="D64" s="1235" t="s">
        <v>633</v>
      </c>
      <c r="E64" s="1235">
        <v>8</v>
      </c>
      <c r="F64" s="1235" t="s">
        <v>6689</v>
      </c>
      <c r="G64" s="1235" t="s">
        <v>6646</v>
      </c>
      <c r="H64" s="1235" t="s">
        <v>6413</v>
      </c>
      <c r="I64" s="1235" t="s">
        <v>6414</v>
      </c>
      <c r="J64" s="1235">
        <v>89</v>
      </c>
      <c r="K64" s="1235">
        <v>217.64</v>
      </c>
      <c r="L64" s="1235">
        <v>24378</v>
      </c>
    </row>
    <row r="65" spans="1:12">
      <c r="A65" s="3486">
        <v>45021.333831018521</v>
      </c>
      <c r="B65" s="1235" t="s">
        <v>6655</v>
      </c>
      <c r="C65" s="1235" t="s">
        <v>633</v>
      </c>
      <c r="D65" s="1235" t="s">
        <v>633</v>
      </c>
      <c r="E65" s="1235">
        <v>7</v>
      </c>
      <c r="F65" s="1235">
        <v>702</v>
      </c>
      <c r="G65" s="1235" t="s">
        <v>6646</v>
      </c>
      <c r="H65" s="1235" t="s">
        <v>6413</v>
      </c>
      <c r="I65" s="1235" t="s">
        <v>6433</v>
      </c>
      <c r="J65" s="1235">
        <v>76</v>
      </c>
      <c r="K65" s="1235">
        <v>174.42</v>
      </c>
      <c r="L65" s="1235">
        <v>23037</v>
      </c>
    </row>
    <row r="66" spans="1:12">
      <c r="A66" s="3486">
        <v>45020.333831018521</v>
      </c>
      <c r="B66" s="1235" t="s">
        <v>6600</v>
      </c>
      <c r="C66" s="1235" t="s">
        <v>633</v>
      </c>
      <c r="D66" s="1235" t="s">
        <v>633</v>
      </c>
      <c r="E66" s="1235">
        <v>4</v>
      </c>
      <c r="F66" s="1235" t="s">
        <v>6690</v>
      </c>
      <c r="G66" s="1235" t="s">
        <v>6648</v>
      </c>
      <c r="H66" s="1235" t="s">
        <v>6413</v>
      </c>
      <c r="I66" s="1235" t="s">
        <v>6414</v>
      </c>
      <c r="J66" s="1235">
        <v>89</v>
      </c>
      <c r="K66" s="1235">
        <v>230.39</v>
      </c>
      <c r="L66" s="1235">
        <v>25995</v>
      </c>
    </row>
    <row r="67" spans="1:12">
      <c r="A67" s="3486">
        <v>45020.333831018521</v>
      </c>
      <c r="B67" s="1235" t="s">
        <v>6621</v>
      </c>
      <c r="C67" s="1235" t="s">
        <v>633</v>
      </c>
      <c r="D67" s="1235" t="s">
        <v>633</v>
      </c>
      <c r="E67" s="1235">
        <v>6</v>
      </c>
      <c r="F67" s="1235" t="s">
        <v>6691</v>
      </c>
      <c r="G67" s="1235" t="s">
        <v>6646</v>
      </c>
      <c r="H67" s="1235" t="s">
        <v>6413</v>
      </c>
      <c r="I67" s="1235" t="s">
        <v>6433</v>
      </c>
      <c r="J67" s="1235">
        <v>77</v>
      </c>
      <c r="K67" s="1235">
        <v>169.47</v>
      </c>
      <c r="L67" s="1235">
        <v>21926</v>
      </c>
    </row>
    <row r="68" spans="1:12">
      <c r="A68" s="3486">
        <v>45019.333831018521</v>
      </c>
      <c r="B68" s="1235" t="s">
        <v>6577</v>
      </c>
      <c r="C68" s="1235" t="s">
        <v>633</v>
      </c>
      <c r="D68" s="1235" t="s">
        <v>633</v>
      </c>
      <c r="E68" s="1235">
        <v>4</v>
      </c>
      <c r="F68" s="1235" t="s">
        <v>6690</v>
      </c>
      <c r="G68" s="1235" t="s">
        <v>6646</v>
      </c>
      <c r="H68" s="1235" t="s">
        <v>6413</v>
      </c>
      <c r="I68" s="1235" t="s">
        <v>6414</v>
      </c>
      <c r="J68" s="1235">
        <v>90</v>
      </c>
      <c r="K68" s="1235">
        <v>209.68</v>
      </c>
      <c r="L68" s="1235">
        <v>23423</v>
      </c>
    </row>
    <row r="69" spans="1:12">
      <c r="A69" s="3486">
        <v>45016.333831018521</v>
      </c>
      <c r="B69" s="1235" t="s">
        <v>6577</v>
      </c>
      <c r="C69" s="1235" t="s">
        <v>633</v>
      </c>
      <c r="D69" s="1235" t="s">
        <v>633</v>
      </c>
      <c r="E69" s="1235">
        <v>6</v>
      </c>
      <c r="F69" s="1235" t="s">
        <v>6658</v>
      </c>
      <c r="G69" s="1235" t="s">
        <v>6646</v>
      </c>
      <c r="H69" s="1235" t="s">
        <v>6413</v>
      </c>
      <c r="I69" s="1235" t="s">
        <v>6414</v>
      </c>
      <c r="J69" s="1235">
        <v>90</v>
      </c>
      <c r="K69" s="1235">
        <v>215.89</v>
      </c>
      <c r="L69" s="1235">
        <v>24036</v>
      </c>
    </row>
    <row r="70" spans="1:12">
      <c r="A70" s="3486">
        <v>45008.333831018521</v>
      </c>
      <c r="B70" s="1235" t="s">
        <v>6577</v>
      </c>
      <c r="C70" s="1235" t="s">
        <v>633</v>
      </c>
      <c r="D70" s="1235" t="s">
        <v>633</v>
      </c>
      <c r="E70" s="1235">
        <v>1</v>
      </c>
      <c r="F70" s="1235" t="s">
        <v>6678</v>
      </c>
      <c r="G70" s="1235" t="s">
        <v>6646</v>
      </c>
      <c r="H70" s="1235" t="s">
        <v>6413</v>
      </c>
      <c r="I70" s="1235" t="s">
        <v>6414</v>
      </c>
      <c r="J70" s="1235">
        <v>90</v>
      </c>
      <c r="K70" s="1235">
        <v>222.35</v>
      </c>
      <c r="L70" s="1235">
        <v>24755</v>
      </c>
    </row>
    <row r="71" spans="1:12">
      <c r="A71" s="3486">
        <v>45004.333831018521</v>
      </c>
      <c r="B71" s="1235" t="s">
        <v>6644</v>
      </c>
      <c r="C71" s="1235" t="s">
        <v>633</v>
      </c>
      <c r="D71" s="1235" t="s">
        <v>633</v>
      </c>
      <c r="E71" s="1235">
        <v>8</v>
      </c>
      <c r="F71" s="1235" t="s">
        <v>6692</v>
      </c>
      <c r="G71" s="1235" t="s">
        <v>6646</v>
      </c>
      <c r="H71" s="1235" t="s">
        <v>6413</v>
      </c>
      <c r="I71" s="1235" t="s">
        <v>6433</v>
      </c>
      <c r="J71" s="1235">
        <v>77</v>
      </c>
      <c r="K71" s="1235">
        <v>158.38999999999999</v>
      </c>
      <c r="L71" s="1235">
        <v>20506</v>
      </c>
    </row>
    <row r="72" spans="1:12">
      <c r="A72" s="3486">
        <v>45002.333831018521</v>
      </c>
      <c r="B72" s="1235" t="s">
        <v>6649</v>
      </c>
      <c r="C72" s="1235" t="s">
        <v>633</v>
      </c>
      <c r="D72" s="1235" t="s">
        <v>633</v>
      </c>
      <c r="E72" s="1235">
        <v>7</v>
      </c>
      <c r="F72" s="1235" t="s">
        <v>6693</v>
      </c>
      <c r="G72" s="1235" t="s">
        <v>6646</v>
      </c>
      <c r="H72" s="1235" t="s">
        <v>6413</v>
      </c>
      <c r="I72" s="1235" t="s">
        <v>6414</v>
      </c>
      <c r="J72" s="1235">
        <v>90</v>
      </c>
      <c r="K72" s="1235">
        <v>200.5</v>
      </c>
      <c r="L72" s="1235">
        <v>22385</v>
      </c>
    </row>
    <row r="73" spans="1:12">
      <c r="A73" s="3486">
        <v>45002.333831018521</v>
      </c>
      <c r="B73" s="1235" t="s">
        <v>6577</v>
      </c>
      <c r="C73" s="1235" t="s">
        <v>633</v>
      </c>
      <c r="D73" s="1235" t="s">
        <v>633</v>
      </c>
      <c r="E73" s="1235">
        <v>8</v>
      </c>
      <c r="F73" s="1235" t="s">
        <v>6653</v>
      </c>
      <c r="G73" s="1235" t="s">
        <v>6646</v>
      </c>
      <c r="H73" s="1235" t="s">
        <v>6413</v>
      </c>
      <c r="I73" s="1235" t="s">
        <v>6414</v>
      </c>
      <c r="J73" s="1235">
        <v>90</v>
      </c>
      <c r="K73" s="1235">
        <v>213.01</v>
      </c>
      <c r="L73" s="1235">
        <v>23795</v>
      </c>
    </row>
    <row r="74" spans="1:12">
      <c r="A74" s="3486">
        <v>45001.333831018521</v>
      </c>
      <c r="B74" s="1235" t="s">
        <v>6600</v>
      </c>
      <c r="C74" s="1235" t="s">
        <v>633</v>
      </c>
      <c r="D74" s="1235" t="s">
        <v>633</v>
      </c>
      <c r="E74" s="1235">
        <v>1</v>
      </c>
      <c r="F74" s="1235" t="s">
        <v>6678</v>
      </c>
      <c r="G74" s="1235" t="s">
        <v>6646</v>
      </c>
      <c r="H74" s="1235" t="s">
        <v>6413</v>
      </c>
      <c r="I74" s="1235" t="s">
        <v>6414</v>
      </c>
      <c r="J74" s="1235">
        <v>90</v>
      </c>
      <c r="K74" s="1235">
        <v>220.25</v>
      </c>
      <c r="L74" s="1235">
        <v>24508</v>
      </c>
    </row>
    <row r="75" spans="1:12">
      <c r="A75" s="3486">
        <v>45000.333831018521</v>
      </c>
      <c r="B75" s="1235" t="s">
        <v>6577</v>
      </c>
      <c r="C75" s="1235" t="s">
        <v>633</v>
      </c>
      <c r="D75" s="1235" t="s">
        <v>633</v>
      </c>
      <c r="E75" s="1235">
        <v>9</v>
      </c>
      <c r="F75" s="1235" t="s">
        <v>6694</v>
      </c>
      <c r="G75" s="1235" t="s">
        <v>6646</v>
      </c>
      <c r="H75" s="1235" t="s">
        <v>6413</v>
      </c>
      <c r="I75" s="1235" t="s">
        <v>6414</v>
      </c>
      <c r="J75" s="1235">
        <v>90</v>
      </c>
      <c r="K75" s="1235">
        <v>204.2</v>
      </c>
      <c r="L75" s="1235">
        <v>22811</v>
      </c>
    </row>
    <row r="76" spans="1:12">
      <c r="A76" s="3486">
        <v>45000.333831018521</v>
      </c>
      <c r="B76" s="1235" t="s">
        <v>6577</v>
      </c>
      <c r="C76" s="1235" t="s">
        <v>633</v>
      </c>
      <c r="D76" s="1235" t="s">
        <v>633</v>
      </c>
      <c r="E76" s="1235">
        <v>8</v>
      </c>
      <c r="F76" s="1235" t="s">
        <v>6695</v>
      </c>
      <c r="G76" s="1235" t="s">
        <v>6646</v>
      </c>
      <c r="H76" s="1235" t="s">
        <v>6413</v>
      </c>
      <c r="I76" s="1235" t="s">
        <v>6414</v>
      </c>
      <c r="J76" s="1235">
        <v>90</v>
      </c>
      <c r="K76" s="1235">
        <v>195.61</v>
      </c>
      <c r="L76" s="1235">
        <v>21851</v>
      </c>
    </row>
    <row r="77" spans="1:12">
      <c r="A77" s="3486">
        <v>45000.333831018521</v>
      </c>
      <c r="B77" s="1235" t="s">
        <v>6662</v>
      </c>
      <c r="C77" s="1235" t="s">
        <v>633</v>
      </c>
      <c r="D77" s="1235" t="s">
        <v>633</v>
      </c>
      <c r="E77" s="1235">
        <v>2</v>
      </c>
      <c r="F77" s="1235" t="s">
        <v>6696</v>
      </c>
      <c r="G77" s="1235" t="s">
        <v>6697</v>
      </c>
      <c r="H77" s="1235" t="s">
        <v>6413</v>
      </c>
      <c r="I77" s="1235" t="s">
        <v>6414</v>
      </c>
      <c r="J77" s="1235">
        <v>89</v>
      </c>
      <c r="K77" s="1235">
        <v>210.52</v>
      </c>
      <c r="L77" s="1235">
        <v>23580</v>
      </c>
    </row>
    <row r="78" spans="1:12">
      <c r="A78" s="3486">
        <v>44999.333831018521</v>
      </c>
      <c r="B78" s="1235" t="s">
        <v>6600</v>
      </c>
      <c r="C78" s="1235" t="s">
        <v>633</v>
      </c>
      <c r="D78" s="1235" t="s">
        <v>633</v>
      </c>
      <c r="E78" s="1235">
        <v>7</v>
      </c>
      <c r="F78" s="1235" t="s">
        <v>6656</v>
      </c>
      <c r="G78" s="1235" t="s">
        <v>6646</v>
      </c>
      <c r="H78" s="1235" t="s">
        <v>6413</v>
      </c>
      <c r="I78" s="1235" t="s">
        <v>6414</v>
      </c>
      <c r="J78" s="1235">
        <v>90</v>
      </c>
      <c r="K78" s="1235">
        <v>199.13</v>
      </c>
      <c r="L78" s="1235">
        <v>22229</v>
      </c>
    </row>
    <row r="79" spans="1:12">
      <c r="A79" s="3486">
        <v>44998.333831018521</v>
      </c>
      <c r="B79" s="1235" t="s">
        <v>6644</v>
      </c>
      <c r="C79" s="1235" t="s">
        <v>633</v>
      </c>
      <c r="D79" s="1235" t="s">
        <v>633</v>
      </c>
      <c r="E79" s="1235">
        <v>7</v>
      </c>
      <c r="F79" s="1235" t="s">
        <v>6698</v>
      </c>
      <c r="G79" s="1235" t="s">
        <v>6646</v>
      </c>
      <c r="H79" s="1235" t="s">
        <v>6413</v>
      </c>
      <c r="I79" s="1235" t="s">
        <v>6433</v>
      </c>
      <c r="J79" s="1235">
        <v>77</v>
      </c>
      <c r="K79" s="1235">
        <v>159.99</v>
      </c>
      <c r="L79" s="1235">
        <v>20713</v>
      </c>
    </row>
    <row r="80" spans="1:12">
      <c r="A80" s="3486">
        <v>44997.333831018521</v>
      </c>
      <c r="B80" s="1235" t="s">
        <v>6577</v>
      </c>
      <c r="C80" s="1235" t="s">
        <v>633</v>
      </c>
      <c r="D80" s="1235" t="s">
        <v>633</v>
      </c>
      <c r="E80" s="1235">
        <v>9</v>
      </c>
      <c r="F80" s="1235" t="s">
        <v>6670</v>
      </c>
      <c r="G80" s="1235" t="s">
        <v>6646</v>
      </c>
      <c r="H80" s="1235" t="s">
        <v>6413</v>
      </c>
      <c r="I80" s="1235" t="s">
        <v>6414</v>
      </c>
      <c r="J80" s="1235">
        <v>90</v>
      </c>
      <c r="K80" s="1235">
        <v>202.16</v>
      </c>
      <c r="L80" s="1235">
        <v>22583</v>
      </c>
    </row>
    <row r="81" spans="1:12">
      <c r="A81" s="3486">
        <v>44995.333831018521</v>
      </c>
      <c r="B81" s="1235" t="s">
        <v>6621</v>
      </c>
      <c r="C81" s="1235" t="s">
        <v>633</v>
      </c>
      <c r="D81" s="1235" t="s">
        <v>633</v>
      </c>
      <c r="E81" s="1235">
        <v>3</v>
      </c>
      <c r="F81" s="1235" t="s">
        <v>6684</v>
      </c>
      <c r="G81" s="1235" t="s">
        <v>6646</v>
      </c>
      <c r="H81" s="1235" t="s">
        <v>6413</v>
      </c>
      <c r="I81" s="1235" t="s">
        <v>6433</v>
      </c>
      <c r="J81" s="1235">
        <v>78</v>
      </c>
      <c r="K81" s="1235">
        <v>166.32</v>
      </c>
      <c r="L81" s="1235">
        <v>21320</v>
      </c>
    </row>
    <row r="82" spans="1:12">
      <c r="A82" s="3486">
        <v>44995.333831018521</v>
      </c>
      <c r="B82" s="1235" t="s">
        <v>6662</v>
      </c>
      <c r="C82" s="1235" t="s">
        <v>633</v>
      </c>
      <c r="D82" s="1235" t="s">
        <v>633</v>
      </c>
      <c r="E82" s="1235">
        <v>3</v>
      </c>
      <c r="F82" s="1235" t="s">
        <v>6699</v>
      </c>
      <c r="G82" s="1235" t="s">
        <v>6697</v>
      </c>
      <c r="H82" s="1235" t="s">
        <v>6413</v>
      </c>
      <c r="I82" s="1235" t="s">
        <v>6414</v>
      </c>
      <c r="J82" s="1235">
        <v>89</v>
      </c>
      <c r="K82" s="1235">
        <v>216.1</v>
      </c>
      <c r="L82" s="1235">
        <v>24205</v>
      </c>
    </row>
    <row r="83" spans="1:12">
      <c r="A83" s="3486">
        <v>44994.333831018521</v>
      </c>
      <c r="B83" s="1235" t="s">
        <v>6577</v>
      </c>
      <c r="C83" s="1235" t="s">
        <v>633</v>
      </c>
      <c r="D83" s="1235" t="s">
        <v>633</v>
      </c>
      <c r="E83" s="1235">
        <v>6</v>
      </c>
      <c r="F83" s="1235" t="s">
        <v>6680</v>
      </c>
      <c r="G83" s="1235" t="s">
        <v>6646</v>
      </c>
      <c r="H83" s="1235" t="s">
        <v>6413</v>
      </c>
      <c r="I83" s="1235" t="s">
        <v>6414</v>
      </c>
      <c r="J83" s="1235">
        <v>90</v>
      </c>
      <c r="K83" s="1235">
        <v>213.01</v>
      </c>
      <c r="L83" s="1235">
        <v>23795</v>
      </c>
    </row>
    <row r="84" spans="1:12">
      <c r="A84" s="3486">
        <v>44994.333831018521</v>
      </c>
      <c r="B84" s="1235" t="s">
        <v>6662</v>
      </c>
      <c r="C84" s="1235" t="s">
        <v>633</v>
      </c>
      <c r="D84" s="1235" t="s">
        <v>633</v>
      </c>
      <c r="E84" s="1235">
        <v>3</v>
      </c>
      <c r="F84" s="1235" t="s">
        <v>6700</v>
      </c>
      <c r="G84" s="1235" t="s">
        <v>6697</v>
      </c>
      <c r="H84" s="1235" t="s">
        <v>6413</v>
      </c>
      <c r="I84" s="1235" t="s">
        <v>6414</v>
      </c>
      <c r="J84" s="1235">
        <v>89</v>
      </c>
      <c r="K84" s="1235">
        <v>259.39999999999998</v>
      </c>
      <c r="L84" s="1235">
        <v>29054</v>
      </c>
    </row>
    <row r="85" spans="1:12">
      <c r="A85" s="3486">
        <v>44994.333831018521</v>
      </c>
      <c r="B85" s="1235" t="s">
        <v>6577</v>
      </c>
      <c r="C85" s="1235" t="s">
        <v>633</v>
      </c>
      <c r="D85" s="1235" t="s">
        <v>633</v>
      </c>
      <c r="E85" s="1235">
        <v>1</v>
      </c>
      <c r="F85" s="1235" t="s">
        <v>6701</v>
      </c>
      <c r="G85" s="1235" t="s">
        <v>6646</v>
      </c>
      <c r="H85" s="1235" t="s">
        <v>6413</v>
      </c>
      <c r="I85" s="1235" t="s">
        <v>6414</v>
      </c>
      <c r="J85" s="1235">
        <v>90</v>
      </c>
      <c r="K85" s="1235">
        <v>221.61</v>
      </c>
      <c r="L85" s="1235">
        <v>24755</v>
      </c>
    </row>
    <row r="86" spans="1:12">
      <c r="A86" s="3486">
        <v>44993.333831018521</v>
      </c>
      <c r="B86" s="1235" t="s">
        <v>6577</v>
      </c>
      <c r="C86" s="1235" t="s">
        <v>633</v>
      </c>
      <c r="D86" s="1235" t="s">
        <v>633</v>
      </c>
      <c r="E86" s="1235">
        <v>7</v>
      </c>
      <c r="F86" s="1235" t="s">
        <v>6660</v>
      </c>
      <c r="G86" s="1235" t="s">
        <v>6646</v>
      </c>
      <c r="H86" s="1235" t="s">
        <v>6413</v>
      </c>
      <c r="I86" s="1235" t="s">
        <v>6414</v>
      </c>
      <c r="J86" s="1235">
        <v>90</v>
      </c>
      <c r="K86" s="1235">
        <v>213.73</v>
      </c>
      <c r="L86" s="1235">
        <v>23795</v>
      </c>
    </row>
    <row r="87" spans="1:12">
      <c r="A87" s="3486">
        <v>44993.333831018521</v>
      </c>
      <c r="B87" s="1235" t="s">
        <v>6577</v>
      </c>
      <c r="C87" s="1235" t="s">
        <v>633</v>
      </c>
      <c r="D87" s="1235" t="s">
        <v>633</v>
      </c>
      <c r="E87" s="1235">
        <v>7</v>
      </c>
      <c r="F87" s="1235" t="s">
        <v>6698</v>
      </c>
      <c r="G87" s="1235" t="s">
        <v>6646</v>
      </c>
      <c r="H87" s="1235" t="s">
        <v>6413</v>
      </c>
      <c r="I87" s="1235" t="s">
        <v>6414</v>
      </c>
      <c r="J87" s="1235">
        <v>90</v>
      </c>
      <c r="K87" s="1235">
        <v>213.01</v>
      </c>
      <c r="L87" s="1235">
        <v>23795</v>
      </c>
    </row>
    <row r="88" spans="1:12">
      <c r="A88" s="3486">
        <v>44993.333831018521</v>
      </c>
      <c r="B88" s="1235" t="s">
        <v>6577</v>
      </c>
      <c r="C88" s="1235" t="s">
        <v>633</v>
      </c>
      <c r="D88" s="1235" t="s">
        <v>633</v>
      </c>
      <c r="E88" s="1235">
        <v>7</v>
      </c>
      <c r="F88" s="1235" t="s">
        <v>6693</v>
      </c>
      <c r="G88" s="1235" t="s">
        <v>6646</v>
      </c>
      <c r="H88" s="1235" t="s">
        <v>6413</v>
      </c>
      <c r="I88" s="1235" t="s">
        <v>6414</v>
      </c>
      <c r="J88" s="1235">
        <v>90</v>
      </c>
      <c r="K88" s="1235">
        <v>213.73</v>
      </c>
      <c r="L88" s="1235">
        <v>23795</v>
      </c>
    </row>
    <row r="89" spans="1:12">
      <c r="A89" s="3486">
        <v>44993.333831018521</v>
      </c>
      <c r="B89" s="1235" t="s">
        <v>6662</v>
      </c>
      <c r="C89" s="1235" t="s">
        <v>633</v>
      </c>
      <c r="D89" s="1235" t="s">
        <v>633</v>
      </c>
      <c r="E89" s="1235">
        <v>3</v>
      </c>
      <c r="F89" s="1235" t="s">
        <v>6686</v>
      </c>
      <c r="G89" s="1235" t="s">
        <v>6697</v>
      </c>
      <c r="H89" s="1235" t="s">
        <v>6413</v>
      </c>
      <c r="I89" s="1235" t="s">
        <v>6414</v>
      </c>
      <c r="J89" s="1235">
        <v>89</v>
      </c>
      <c r="K89" s="1235">
        <v>218.28</v>
      </c>
      <c r="L89" s="1235">
        <v>24449</v>
      </c>
    </row>
    <row r="90" spans="1:12">
      <c r="A90" s="3486">
        <v>44992.333831018521</v>
      </c>
      <c r="B90" s="1235" t="s">
        <v>6577</v>
      </c>
      <c r="C90" s="1235" t="s">
        <v>633</v>
      </c>
      <c r="D90" s="1235" t="s">
        <v>633</v>
      </c>
      <c r="E90" s="1235">
        <v>4</v>
      </c>
      <c r="F90" s="1235" t="s">
        <v>6702</v>
      </c>
      <c r="G90" s="1235" t="s">
        <v>6646</v>
      </c>
      <c r="H90" s="1235" t="s">
        <v>6413</v>
      </c>
      <c r="I90" s="1235" t="s">
        <v>6414</v>
      </c>
      <c r="J90" s="1235">
        <v>90</v>
      </c>
      <c r="K90" s="1235">
        <v>208.28</v>
      </c>
      <c r="L90" s="1235">
        <v>23189</v>
      </c>
    </row>
    <row r="91" spans="1:12">
      <c r="A91" s="3486">
        <v>44991.333831018521</v>
      </c>
      <c r="B91" s="1235" t="s">
        <v>6600</v>
      </c>
      <c r="C91" s="1235" t="s">
        <v>633</v>
      </c>
      <c r="D91" s="1235" t="s">
        <v>633</v>
      </c>
      <c r="E91" s="1235">
        <v>3</v>
      </c>
      <c r="F91" s="1235" t="s">
        <v>6700</v>
      </c>
      <c r="G91" s="1235" t="s">
        <v>6646</v>
      </c>
      <c r="H91" s="1235" t="s">
        <v>6413</v>
      </c>
      <c r="I91" s="1235" t="s">
        <v>6414</v>
      </c>
      <c r="J91" s="1235">
        <v>90</v>
      </c>
      <c r="K91" s="1235">
        <v>202.51</v>
      </c>
      <c r="L91" s="1235">
        <v>22607</v>
      </c>
    </row>
    <row r="92" spans="1:12">
      <c r="A92" s="3486">
        <v>44991.333831018521</v>
      </c>
      <c r="B92" s="1235" t="s">
        <v>6621</v>
      </c>
      <c r="C92" s="1235" t="s">
        <v>633</v>
      </c>
      <c r="D92" s="1235" t="s">
        <v>633</v>
      </c>
      <c r="E92" s="1235">
        <v>1</v>
      </c>
      <c r="F92" s="1235" t="s">
        <v>6678</v>
      </c>
      <c r="G92" s="1235" t="s">
        <v>6646</v>
      </c>
      <c r="H92" s="1235" t="s">
        <v>6413</v>
      </c>
      <c r="I92" s="1235" t="s">
        <v>6433</v>
      </c>
      <c r="J92" s="1235">
        <v>78</v>
      </c>
      <c r="K92" s="1235">
        <v>163.22</v>
      </c>
      <c r="L92" s="1235">
        <v>20923</v>
      </c>
    </row>
    <row r="93" spans="1:12">
      <c r="A93" s="3486">
        <v>44991.333831018521</v>
      </c>
      <c r="B93" s="1235" t="s">
        <v>6577</v>
      </c>
      <c r="C93" s="1235" t="s">
        <v>633</v>
      </c>
      <c r="D93" s="1235" t="s">
        <v>633</v>
      </c>
      <c r="E93" s="1235">
        <v>3</v>
      </c>
      <c r="F93" s="1235" t="s">
        <v>6700</v>
      </c>
      <c r="G93" s="1235" t="s">
        <v>6697</v>
      </c>
      <c r="H93" s="1235" t="s">
        <v>6413</v>
      </c>
      <c r="I93" s="1235" t="s">
        <v>6414</v>
      </c>
      <c r="J93" s="1235">
        <v>89</v>
      </c>
      <c r="K93" s="1235">
        <v>237.26</v>
      </c>
      <c r="L93" s="1235">
        <v>26611</v>
      </c>
    </row>
    <row r="94" spans="1:12">
      <c r="A94" s="3486">
        <v>44991.333831018521</v>
      </c>
      <c r="B94" s="1235" t="s">
        <v>6644</v>
      </c>
      <c r="C94" s="1235" t="s">
        <v>633</v>
      </c>
      <c r="D94" s="1235" t="s">
        <v>633</v>
      </c>
      <c r="E94" s="1235">
        <v>6</v>
      </c>
      <c r="F94" s="1235" t="s">
        <v>6703</v>
      </c>
      <c r="G94" s="1235" t="s">
        <v>6646</v>
      </c>
      <c r="H94" s="1235" t="s">
        <v>6413</v>
      </c>
      <c r="I94" s="1235" t="s">
        <v>6433</v>
      </c>
      <c r="J94" s="1235">
        <v>77</v>
      </c>
      <c r="K94" s="1235">
        <v>159.99</v>
      </c>
      <c r="L94" s="1235">
        <v>20713</v>
      </c>
    </row>
    <row r="95" spans="1:12">
      <c r="A95" s="3486">
        <v>44989.333831018521</v>
      </c>
      <c r="B95" s="1235" t="s">
        <v>6644</v>
      </c>
      <c r="C95" s="1235" t="s">
        <v>633</v>
      </c>
      <c r="D95" s="1235" t="s">
        <v>633</v>
      </c>
      <c r="E95" s="1235">
        <v>6</v>
      </c>
      <c r="F95" s="1235" t="s">
        <v>6704</v>
      </c>
      <c r="G95" s="1235" t="s">
        <v>6646</v>
      </c>
      <c r="H95" s="1235" t="s">
        <v>6413</v>
      </c>
      <c r="I95" s="1235" t="s">
        <v>6433</v>
      </c>
      <c r="J95" s="1235">
        <v>77</v>
      </c>
      <c r="K95" s="1235">
        <v>159.99</v>
      </c>
      <c r="L95" s="1235">
        <v>20713</v>
      </c>
    </row>
    <row r="96" spans="1:12">
      <c r="A96" s="3486">
        <v>44988.333831018521</v>
      </c>
      <c r="B96" s="1235" t="s">
        <v>6577</v>
      </c>
      <c r="C96" s="1235" t="s">
        <v>633</v>
      </c>
      <c r="D96" s="1235" t="s">
        <v>633</v>
      </c>
      <c r="E96" s="1235">
        <v>4</v>
      </c>
      <c r="F96" s="1235" t="s">
        <v>6705</v>
      </c>
      <c r="G96" s="1235" t="s">
        <v>6646</v>
      </c>
      <c r="H96" s="1235" t="s">
        <v>6413</v>
      </c>
      <c r="I96" s="1235" t="s">
        <v>6414</v>
      </c>
      <c r="J96" s="1235">
        <v>90</v>
      </c>
      <c r="K96" s="1235">
        <v>211.8</v>
      </c>
      <c r="L96" s="1235">
        <v>23660</v>
      </c>
    </row>
    <row r="97" spans="1:12">
      <c r="A97" s="3486">
        <v>44988.333831018521</v>
      </c>
      <c r="B97" s="1235" t="s">
        <v>6706</v>
      </c>
      <c r="C97" s="1235" t="s">
        <v>633</v>
      </c>
      <c r="D97" s="1235" t="s">
        <v>633</v>
      </c>
      <c r="E97" s="1235">
        <v>3</v>
      </c>
      <c r="F97" s="1235" t="s">
        <v>6687</v>
      </c>
      <c r="G97" s="1235" t="s">
        <v>6648</v>
      </c>
      <c r="H97" s="1235" t="s">
        <v>6413</v>
      </c>
      <c r="I97" s="1235" t="s">
        <v>6414</v>
      </c>
      <c r="J97" s="1235">
        <v>89</v>
      </c>
      <c r="K97" s="1235">
        <v>229.61</v>
      </c>
      <c r="L97" s="1235">
        <v>25927</v>
      </c>
    </row>
    <row r="98" spans="1:12">
      <c r="A98" s="3486">
        <v>44988.333831018521</v>
      </c>
      <c r="B98" s="1235" t="s">
        <v>6644</v>
      </c>
      <c r="C98" s="1235" t="s">
        <v>633</v>
      </c>
      <c r="D98" s="1235" t="s">
        <v>633</v>
      </c>
      <c r="E98" s="1235">
        <v>6</v>
      </c>
      <c r="F98" s="1235" t="s">
        <v>6707</v>
      </c>
      <c r="G98" s="1235" t="s">
        <v>6646</v>
      </c>
      <c r="H98" s="1235" t="s">
        <v>6413</v>
      </c>
      <c r="I98" s="1235" t="s">
        <v>6433</v>
      </c>
      <c r="J98" s="1235">
        <v>77</v>
      </c>
      <c r="K98" s="1235">
        <v>159.99</v>
      </c>
      <c r="L98" s="1235">
        <v>20713</v>
      </c>
    </row>
    <row r="99" spans="1:12">
      <c r="A99" s="3486">
        <v>44987.333831018521</v>
      </c>
      <c r="B99" s="1235" t="s">
        <v>6577</v>
      </c>
      <c r="C99" s="1235" t="s">
        <v>633</v>
      </c>
      <c r="D99" s="1235" t="s">
        <v>633</v>
      </c>
      <c r="E99" s="1235">
        <v>9</v>
      </c>
      <c r="F99" s="1235" t="s">
        <v>6708</v>
      </c>
      <c r="G99" s="1235" t="s">
        <v>6646</v>
      </c>
      <c r="H99" s="1235" t="s">
        <v>6413</v>
      </c>
      <c r="I99" s="1235" t="s">
        <v>6414</v>
      </c>
      <c r="J99" s="1235">
        <v>90</v>
      </c>
      <c r="K99" s="1235">
        <v>206.27</v>
      </c>
      <c r="L99" s="1235">
        <v>23041</v>
      </c>
    </row>
    <row r="100" spans="1:12">
      <c r="A100" s="3486">
        <v>44987.333831018521</v>
      </c>
      <c r="B100" s="1235" t="s">
        <v>6655</v>
      </c>
      <c r="C100" s="1235" t="s">
        <v>633</v>
      </c>
      <c r="D100" s="1235" t="s">
        <v>633</v>
      </c>
      <c r="E100" s="1235">
        <v>3</v>
      </c>
      <c r="F100" s="1235">
        <v>303</v>
      </c>
      <c r="G100" s="1235" t="s">
        <v>6646</v>
      </c>
      <c r="H100" s="1235" t="s">
        <v>6413</v>
      </c>
      <c r="I100" s="1235" t="s">
        <v>6433</v>
      </c>
      <c r="J100" s="1235">
        <v>76</v>
      </c>
      <c r="K100" s="1235">
        <v>168.89</v>
      </c>
      <c r="L100" s="1235">
        <v>22307</v>
      </c>
    </row>
    <row r="101" spans="1:12">
      <c r="A101" s="3486">
        <v>44986.333831018521</v>
      </c>
      <c r="B101" s="1235" t="s">
        <v>6577</v>
      </c>
      <c r="C101" s="1235" t="s">
        <v>633</v>
      </c>
      <c r="D101" s="1235" t="s">
        <v>633</v>
      </c>
      <c r="E101" s="1235">
        <v>5</v>
      </c>
      <c r="F101" s="1235" t="s">
        <v>6709</v>
      </c>
      <c r="G101" s="1235" t="s">
        <v>6646</v>
      </c>
      <c r="H101" s="1235" t="s">
        <v>6413</v>
      </c>
      <c r="I101" s="1235" t="s">
        <v>6414</v>
      </c>
      <c r="J101" s="1235">
        <v>90</v>
      </c>
      <c r="K101" s="1235">
        <v>211.8</v>
      </c>
      <c r="L101" s="1235">
        <v>23660</v>
      </c>
    </row>
    <row r="102" spans="1:12">
      <c r="L102" s="1235">
        <f>AVERAGE(L2:L101)</f>
        <v>23088.14</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workbookViewId="0">
      <selection activeCell="J21" sqref="J21"/>
    </sheetView>
  </sheetViews>
  <sheetFormatPr defaultColWidth="8.625" defaultRowHeight="13.5"/>
  <cols>
    <col min="1" max="16384" width="8.625" style="1235"/>
  </cols>
  <sheetData>
    <row r="1" spans="1:12">
      <c r="A1" s="1235" t="s">
        <v>6398</v>
      </c>
      <c r="B1" s="1235" t="s">
        <v>6399</v>
      </c>
      <c r="C1" s="1235" t="s">
        <v>6400</v>
      </c>
      <c r="D1" s="1235" t="s">
        <v>6401</v>
      </c>
      <c r="E1" s="1235" t="s">
        <v>6402</v>
      </c>
      <c r="F1" s="1235" t="s">
        <v>6403</v>
      </c>
      <c r="G1" s="1235" t="s">
        <v>6404</v>
      </c>
      <c r="H1" s="1235" t="s">
        <v>6405</v>
      </c>
      <c r="I1" s="1235" t="s">
        <v>6406</v>
      </c>
      <c r="J1" s="1235" t="s">
        <v>6407</v>
      </c>
      <c r="K1" s="1235" t="s">
        <v>6408</v>
      </c>
      <c r="L1" s="1235" t="s">
        <v>6409</v>
      </c>
    </row>
    <row r="2" spans="1:12">
      <c r="A2" s="3486">
        <v>45142.333831018521</v>
      </c>
      <c r="B2" s="1235" t="s">
        <v>6577</v>
      </c>
      <c r="C2" s="1235" t="s">
        <v>633</v>
      </c>
      <c r="D2" s="1235" t="s">
        <v>633</v>
      </c>
      <c r="E2" s="1235">
        <v>2</v>
      </c>
      <c r="F2" s="1235" t="s">
        <v>6578</v>
      </c>
      <c r="G2" s="1235" t="s">
        <v>6579</v>
      </c>
      <c r="H2" s="1235" t="s">
        <v>6413</v>
      </c>
      <c r="I2" s="1235" t="s">
        <v>6414</v>
      </c>
      <c r="J2" s="1235">
        <v>88</v>
      </c>
      <c r="K2" s="1235">
        <v>210.11</v>
      </c>
      <c r="L2" s="1235">
        <v>23800</v>
      </c>
    </row>
    <row r="3" spans="1:12">
      <c r="A3" s="3486">
        <v>45142.333831018521</v>
      </c>
      <c r="B3" s="1235" t="s">
        <v>6577</v>
      </c>
      <c r="C3" s="1235" t="s">
        <v>633</v>
      </c>
      <c r="D3" s="1235" t="s">
        <v>633</v>
      </c>
      <c r="E3" s="1235">
        <v>5</v>
      </c>
      <c r="F3" s="1235" t="s">
        <v>6580</v>
      </c>
      <c r="G3" s="1235" t="s">
        <v>6579</v>
      </c>
      <c r="H3" s="1235" t="s">
        <v>6413</v>
      </c>
      <c r="I3" s="1235" t="s">
        <v>6414</v>
      </c>
      <c r="J3" s="1235">
        <v>89</v>
      </c>
      <c r="K3" s="1235">
        <v>212.06</v>
      </c>
      <c r="L3" s="1235">
        <v>23800</v>
      </c>
    </row>
    <row r="4" spans="1:12">
      <c r="A4" s="3486">
        <v>45139.333831018521</v>
      </c>
      <c r="B4" s="1235" t="s">
        <v>6577</v>
      </c>
      <c r="C4" s="1235" t="s">
        <v>633</v>
      </c>
      <c r="D4" s="1235" t="s">
        <v>633</v>
      </c>
      <c r="E4" s="1235">
        <v>2</v>
      </c>
      <c r="F4" s="1235" t="s">
        <v>6581</v>
      </c>
      <c r="G4" s="1235" t="s">
        <v>6579</v>
      </c>
      <c r="H4" s="1235" t="s">
        <v>6413</v>
      </c>
      <c r="I4" s="1235" t="s">
        <v>6414</v>
      </c>
      <c r="J4" s="1235">
        <v>89</v>
      </c>
      <c r="K4" s="1235">
        <v>212.06</v>
      </c>
      <c r="L4" s="1235">
        <v>23800</v>
      </c>
    </row>
    <row r="5" spans="1:12">
      <c r="A5" s="3486">
        <v>45139.333831018521</v>
      </c>
      <c r="B5" s="1235" t="s">
        <v>6577</v>
      </c>
      <c r="C5" s="1235" t="s">
        <v>633</v>
      </c>
      <c r="D5" s="1235" t="s">
        <v>633</v>
      </c>
      <c r="E5" s="1235">
        <v>3</v>
      </c>
      <c r="F5" s="1235" t="s">
        <v>6582</v>
      </c>
      <c r="G5" s="1235" t="s">
        <v>6579</v>
      </c>
      <c r="H5" s="1235" t="s">
        <v>6413</v>
      </c>
      <c r="I5" s="1235" t="s">
        <v>6414</v>
      </c>
      <c r="J5" s="1235">
        <v>89</v>
      </c>
      <c r="K5" s="1235">
        <v>212.06</v>
      </c>
      <c r="L5" s="1235">
        <v>23800</v>
      </c>
    </row>
    <row r="6" spans="1:12">
      <c r="A6" s="3486">
        <v>45139.333831018521</v>
      </c>
      <c r="B6" s="1235" t="s">
        <v>6577</v>
      </c>
      <c r="C6" s="1235" t="s">
        <v>633</v>
      </c>
      <c r="D6" s="1235" t="s">
        <v>633</v>
      </c>
      <c r="E6" s="1235">
        <v>11</v>
      </c>
      <c r="F6" s="1235" t="s">
        <v>6583</v>
      </c>
      <c r="G6" s="1235" t="s">
        <v>6579</v>
      </c>
      <c r="H6" s="1235" t="s">
        <v>6413</v>
      </c>
      <c r="I6" s="1235" t="s">
        <v>6414</v>
      </c>
      <c r="J6" s="1235">
        <v>89</v>
      </c>
      <c r="K6" s="1235">
        <v>212.06</v>
      </c>
      <c r="L6" s="1235">
        <v>23800</v>
      </c>
    </row>
    <row r="7" spans="1:12">
      <c r="A7" s="3486">
        <v>45139.333831018521</v>
      </c>
      <c r="B7" s="1235" t="s">
        <v>6577</v>
      </c>
      <c r="C7" s="1235" t="s">
        <v>633</v>
      </c>
      <c r="D7" s="1235" t="s">
        <v>633</v>
      </c>
      <c r="E7" s="1235">
        <v>5</v>
      </c>
      <c r="F7" s="1235" t="s">
        <v>6584</v>
      </c>
      <c r="G7" s="1235" t="s">
        <v>6579</v>
      </c>
      <c r="H7" s="1235" t="s">
        <v>6413</v>
      </c>
      <c r="I7" s="1235" t="s">
        <v>6414</v>
      </c>
      <c r="J7" s="1235">
        <v>88</v>
      </c>
      <c r="K7" s="1235">
        <v>210.11</v>
      </c>
      <c r="L7" s="1235">
        <v>23800</v>
      </c>
    </row>
    <row r="8" spans="1:12">
      <c r="A8" s="3486">
        <v>45139.333831018521</v>
      </c>
      <c r="B8" s="1235" t="s">
        <v>6577</v>
      </c>
      <c r="C8" s="1235" t="s">
        <v>633</v>
      </c>
      <c r="D8" s="1235" t="s">
        <v>633</v>
      </c>
      <c r="E8" s="1235">
        <v>9</v>
      </c>
      <c r="F8" s="1235" t="s">
        <v>6585</v>
      </c>
      <c r="G8" s="1235" t="s">
        <v>6579</v>
      </c>
      <c r="H8" s="1235" t="s">
        <v>6413</v>
      </c>
      <c r="I8" s="1235" t="s">
        <v>6414</v>
      </c>
      <c r="J8" s="1235">
        <v>88</v>
      </c>
      <c r="K8" s="1235">
        <v>210.11</v>
      </c>
      <c r="L8" s="1235">
        <v>23800</v>
      </c>
    </row>
    <row r="9" spans="1:12">
      <c r="A9" s="3486">
        <v>45139.333831018521</v>
      </c>
      <c r="B9" s="1235" t="s">
        <v>6577</v>
      </c>
      <c r="C9" s="1235" t="s">
        <v>633</v>
      </c>
      <c r="D9" s="1235" t="s">
        <v>633</v>
      </c>
      <c r="E9" s="1235">
        <v>11</v>
      </c>
      <c r="F9" s="1235" t="s">
        <v>6586</v>
      </c>
      <c r="G9" s="1235" t="s">
        <v>6579</v>
      </c>
      <c r="H9" s="1235" t="s">
        <v>6413</v>
      </c>
      <c r="I9" s="1235" t="s">
        <v>6414</v>
      </c>
      <c r="J9" s="1235">
        <v>88</v>
      </c>
      <c r="K9" s="1235">
        <v>210.11</v>
      </c>
      <c r="L9" s="1235">
        <v>23800</v>
      </c>
    </row>
    <row r="10" spans="1:12">
      <c r="A10" s="3486">
        <v>45139.333831018521</v>
      </c>
      <c r="B10" s="1235" t="s">
        <v>6577</v>
      </c>
      <c r="C10" s="1235" t="s">
        <v>633</v>
      </c>
      <c r="D10" s="1235" t="s">
        <v>633</v>
      </c>
      <c r="E10" s="1235">
        <v>9</v>
      </c>
      <c r="F10" s="1235" t="s">
        <v>6587</v>
      </c>
      <c r="G10" s="1235" t="s">
        <v>6579</v>
      </c>
      <c r="H10" s="1235" t="s">
        <v>6413</v>
      </c>
      <c r="I10" s="1235" t="s">
        <v>6414</v>
      </c>
      <c r="J10" s="1235">
        <v>89</v>
      </c>
      <c r="K10" s="1235">
        <v>212.06</v>
      </c>
      <c r="L10" s="1235">
        <v>23800</v>
      </c>
    </row>
    <row r="11" spans="1:12">
      <c r="A11" s="3486">
        <v>45139.333831018521</v>
      </c>
      <c r="B11" s="1235" t="s">
        <v>6577</v>
      </c>
      <c r="C11" s="1235" t="s">
        <v>633</v>
      </c>
      <c r="D11" s="1235" t="s">
        <v>633</v>
      </c>
      <c r="E11" s="1235">
        <v>1</v>
      </c>
      <c r="F11" s="1235" t="s">
        <v>6588</v>
      </c>
      <c r="G11" s="1235" t="s">
        <v>6579</v>
      </c>
      <c r="H11" s="1235" t="s">
        <v>6413</v>
      </c>
      <c r="I11" s="1235" t="s">
        <v>6414</v>
      </c>
      <c r="J11" s="1235">
        <v>88</v>
      </c>
      <c r="K11" s="1235">
        <v>209.68</v>
      </c>
      <c r="L11" s="1235">
        <v>23800</v>
      </c>
    </row>
    <row r="12" spans="1:12">
      <c r="A12" s="3486">
        <v>45139.333831018521</v>
      </c>
      <c r="B12" s="1235" t="s">
        <v>6577</v>
      </c>
      <c r="C12" s="1235" t="s">
        <v>633</v>
      </c>
      <c r="D12" s="1235" t="s">
        <v>633</v>
      </c>
      <c r="E12" s="1235">
        <v>8</v>
      </c>
      <c r="F12" s="1235" t="s">
        <v>6589</v>
      </c>
      <c r="G12" s="1235" t="s">
        <v>6579</v>
      </c>
      <c r="H12" s="1235" t="s">
        <v>6413</v>
      </c>
      <c r="I12" s="1235" t="s">
        <v>6414</v>
      </c>
      <c r="J12" s="1235">
        <v>89</v>
      </c>
      <c r="K12" s="1235">
        <v>212.06</v>
      </c>
      <c r="L12" s="1235">
        <v>23800</v>
      </c>
    </row>
    <row r="13" spans="1:12">
      <c r="A13" s="3486">
        <v>45139.333831018521</v>
      </c>
      <c r="B13" s="1235" t="s">
        <v>6577</v>
      </c>
      <c r="C13" s="1235" t="s">
        <v>633</v>
      </c>
      <c r="D13" s="1235" t="s">
        <v>633</v>
      </c>
      <c r="E13" s="1235">
        <v>1</v>
      </c>
      <c r="F13" s="1235" t="s">
        <v>6590</v>
      </c>
      <c r="G13" s="1235" t="s">
        <v>6579</v>
      </c>
      <c r="H13" s="1235" t="s">
        <v>6413</v>
      </c>
      <c r="I13" s="1235" t="s">
        <v>6438</v>
      </c>
      <c r="J13" s="1235">
        <v>56</v>
      </c>
      <c r="K13" s="1235">
        <v>133.63999999999999</v>
      </c>
      <c r="L13" s="1235">
        <v>23800</v>
      </c>
    </row>
    <row r="14" spans="1:12">
      <c r="A14" s="3486">
        <v>45139.333831018521</v>
      </c>
      <c r="B14" s="1235" t="s">
        <v>6577</v>
      </c>
      <c r="C14" s="1235" t="s">
        <v>633</v>
      </c>
      <c r="D14" s="1235" t="s">
        <v>633</v>
      </c>
      <c r="E14" s="1235">
        <v>3</v>
      </c>
      <c r="F14" s="1235" t="s">
        <v>6591</v>
      </c>
      <c r="G14" s="1235" t="s">
        <v>6579</v>
      </c>
      <c r="H14" s="1235" t="s">
        <v>6413</v>
      </c>
      <c r="I14" s="1235" t="s">
        <v>6414</v>
      </c>
      <c r="J14" s="1235">
        <v>88</v>
      </c>
      <c r="K14" s="1235">
        <v>210.11</v>
      </c>
      <c r="L14" s="1235">
        <v>23800</v>
      </c>
    </row>
    <row r="15" spans="1:12">
      <c r="A15" s="3486">
        <v>45139.333831018521</v>
      </c>
      <c r="B15" s="1235" t="s">
        <v>6577</v>
      </c>
      <c r="C15" s="1235" t="s">
        <v>633</v>
      </c>
      <c r="D15" s="1235" t="s">
        <v>633</v>
      </c>
      <c r="E15" s="1235">
        <v>4</v>
      </c>
      <c r="F15" s="1235" t="s">
        <v>6592</v>
      </c>
      <c r="G15" s="1235" t="s">
        <v>6579</v>
      </c>
      <c r="H15" s="1235" t="s">
        <v>6413</v>
      </c>
      <c r="I15" s="1235" t="s">
        <v>6414</v>
      </c>
      <c r="J15" s="1235">
        <v>88</v>
      </c>
      <c r="K15" s="1235">
        <v>210.11</v>
      </c>
      <c r="L15" s="1235">
        <v>23800</v>
      </c>
    </row>
    <row r="16" spans="1:12">
      <c r="A16" s="3486">
        <v>45139.333831018521</v>
      </c>
      <c r="B16" s="1235" t="s">
        <v>6577</v>
      </c>
      <c r="C16" s="1235" t="s">
        <v>633</v>
      </c>
      <c r="D16" s="1235" t="s">
        <v>633</v>
      </c>
      <c r="E16" s="1235">
        <v>10</v>
      </c>
      <c r="F16" s="1235" t="s">
        <v>6593</v>
      </c>
      <c r="G16" s="1235" t="s">
        <v>6579</v>
      </c>
      <c r="H16" s="1235" t="s">
        <v>6413</v>
      </c>
      <c r="I16" s="1235" t="s">
        <v>6414</v>
      </c>
      <c r="J16" s="1235">
        <v>89</v>
      </c>
      <c r="K16" s="1235">
        <v>212.06</v>
      </c>
      <c r="L16" s="1235">
        <v>23800</v>
      </c>
    </row>
    <row r="17" spans="1:12">
      <c r="A17" s="3486">
        <v>45139.333831018521</v>
      </c>
      <c r="B17" s="1235" t="s">
        <v>6577</v>
      </c>
      <c r="C17" s="1235" t="s">
        <v>633</v>
      </c>
      <c r="D17" s="1235" t="s">
        <v>633</v>
      </c>
      <c r="E17" s="1235">
        <v>12</v>
      </c>
      <c r="F17" s="1235" t="s">
        <v>6594</v>
      </c>
      <c r="G17" s="1235" t="s">
        <v>6579</v>
      </c>
      <c r="H17" s="1235" t="s">
        <v>6413</v>
      </c>
      <c r="I17" s="1235" t="s">
        <v>6414</v>
      </c>
      <c r="J17" s="1235">
        <v>88</v>
      </c>
      <c r="K17" s="1235">
        <v>210.11</v>
      </c>
      <c r="L17" s="1235">
        <v>23800</v>
      </c>
    </row>
    <row r="18" spans="1:12">
      <c r="A18" s="3486">
        <v>45139.333831018521</v>
      </c>
      <c r="B18" s="1235" t="s">
        <v>6577</v>
      </c>
      <c r="C18" s="1235" t="s">
        <v>633</v>
      </c>
      <c r="D18" s="1235" t="s">
        <v>633</v>
      </c>
      <c r="E18" s="1235">
        <v>4</v>
      </c>
      <c r="F18" s="1235" t="s">
        <v>6595</v>
      </c>
      <c r="G18" s="1235" t="s">
        <v>6579</v>
      </c>
      <c r="H18" s="1235" t="s">
        <v>6413</v>
      </c>
      <c r="I18" s="1235" t="s">
        <v>6414</v>
      </c>
      <c r="J18" s="1235">
        <v>89</v>
      </c>
      <c r="K18" s="1235">
        <v>212.06</v>
      </c>
      <c r="L18" s="1235">
        <v>23800</v>
      </c>
    </row>
    <row r="19" spans="1:12">
      <c r="A19" s="3486">
        <v>45139.333831018521</v>
      </c>
      <c r="B19" s="1235" t="s">
        <v>6577</v>
      </c>
      <c r="C19" s="1235" t="s">
        <v>633</v>
      </c>
      <c r="D19" s="1235" t="s">
        <v>633</v>
      </c>
      <c r="E19" s="1235">
        <v>12</v>
      </c>
      <c r="F19" s="1235" t="s">
        <v>6596</v>
      </c>
      <c r="G19" s="1235" t="s">
        <v>6579</v>
      </c>
      <c r="H19" s="1235" t="s">
        <v>6413</v>
      </c>
      <c r="I19" s="1235" t="s">
        <v>6414</v>
      </c>
      <c r="J19" s="1235">
        <v>89</v>
      </c>
      <c r="K19" s="1235">
        <v>212.06</v>
      </c>
      <c r="L19" s="1235">
        <v>23800</v>
      </c>
    </row>
    <row r="20" spans="1:12">
      <c r="A20" s="3486">
        <v>45139.333831018521</v>
      </c>
      <c r="B20" s="1235" t="s">
        <v>6577</v>
      </c>
      <c r="C20" s="1235" t="s">
        <v>633</v>
      </c>
      <c r="D20" s="1235" t="s">
        <v>633</v>
      </c>
      <c r="E20" s="1235">
        <v>10</v>
      </c>
      <c r="F20" s="1235" t="s">
        <v>6597</v>
      </c>
      <c r="G20" s="1235" t="s">
        <v>6579</v>
      </c>
      <c r="H20" s="1235" t="s">
        <v>6413</v>
      </c>
      <c r="I20" s="1235" t="s">
        <v>6414</v>
      </c>
      <c r="J20" s="1235">
        <v>88</v>
      </c>
      <c r="K20" s="1235">
        <v>210.11</v>
      </c>
      <c r="L20" s="1235">
        <v>23800</v>
      </c>
    </row>
    <row r="21" spans="1:12">
      <c r="A21" s="3486">
        <v>45136.333831018521</v>
      </c>
      <c r="B21" s="1235" t="s">
        <v>6598</v>
      </c>
      <c r="C21" s="1235" t="s">
        <v>633</v>
      </c>
      <c r="D21" s="1235" t="s">
        <v>633</v>
      </c>
      <c r="E21" s="1235">
        <v>5</v>
      </c>
      <c r="F21" s="1235" t="s">
        <v>6580</v>
      </c>
      <c r="G21" s="1235" t="s">
        <v>6599</v>
      </c>
      <c r="H21" s="1235" t="s">
        <v>6413</v>
      </c>
      <c r="I21" s="1235" t="s">
        <v>6433</v>
      </c>
      <c r="J21" s="1235">
        <v>83</v>
      </c>
      <c r="K21" s="1235">
        <v>187</v>
      </c>
      <c r="L21" s="1235">
        <v>22398</v>
      </c>
    </row>
    <row r="22" spans="1:12">
      <c r="A22" s="3486">
        <v>45135.333831018521</v>
      </c>
      <c r="B22" s="1235" t="s">
        <v>6600</v>
      </c>
      <c r="C22" s="1235" t="s">
        <v>633</v>
      </c>
      <c r="D22" s="1235" t="s">
        <v>633</v>
      </c>
      <c r="E22" s="1235">
        <v>5</v>
      </c>
      <c r="F22" s="1235" t="s">
        <v>6601</v>
      </c>
      <c r="G22" s="1235" t="s">
        <v>6579</v>
      </c>
      <c r="H22" s="1235" t="s">
        <v>6413</v>
      </c>
      <c r="I22" s="1235" t="s">
        <v>6414</v>
      </c>
      <c r="J22" s="1235">
        <v>88</v>
      </c>
      <c r="K22" s="1235">
        <v>210</v>
      </c>
      <c r="L22" s="1235">
        <v>23828</v>
      </c>
    </row>
    <row r="23" spans="1:12">
      <c r="A23" s="3486">
        <v>45135.333831018521</v>
      </c>
      <c r="B23" s="1235" t="s">
        <v>6600</v>
      </c>
      <c r="C23" s="1235" t="s">
        <v>633</v>
      </c>
      <c r="D23" s="1235" t="s">
        <v>633</v>
      </c>
      <c r="E23" s="1235">
        <v>7</v>
      </c>
      <c r="F23" s="1235" t="s">
        <v>6602</v>
      </c>
      <c r="G23" s="1235" t="s">
        <v>6579</v>
      </c>
      <c r="H23" s="1235" t="s">
        <v>6413</v>
      </c>
      <c r="I23" s="1235" t="s">
        <v>6414</v>
      </c>
      <c r="J23" s="1235">
        <v>89</v>
      </c>
      <c r="K23" s="1235">
        <v>215.9</v>
      </c>
      <c r="L23" s="1235">
        <v>24150</v>
      </c>
    </row>
    <row r="24" spans="1:12">
      <c r="A24" s="3486">
        <v>45114.333831018521</v>
      </c>
      <c r="B24" s="1235" t="s">
        <v>6577</v>
      </c>
      <c r="C24" s="1235" t="s">
        <v>633</v>
      </c>
      <c r="D24" s="1235" t="s">
        <v>633</v>
      </c>
      <c r="E24" s="1235">
        <v>6</v>
      </c>
      <c r="F24" s="1235" t="s">
        <v>6603</v>
      </c>
      <c r="G24" s="1235" t="s">
        <v>6579</v>
      </c>
      <c r="H24" s="1235" t="s">
        <v>6413</v>
      </c>
      <c r="I24" s="1235" t="s">
        <v>6414</v>
      </c>
      <c r="J24" s="1235">
        <v>88</v>
      </c>
      <c r="K24" s="1235">
        <v>210.11</v>
      </c>
      <c r="L24" s="1235">
        <v>23800</v>
      </c>
    </row>
    <row r="25" spans="1:12">
      <c r="A25" s="3486">
        <v>45114.333831018521</v>
      </c>
      <c r="B25" s="1235" t="s">
        <v>6577</v>
      </c>
      <c r="C25" s="1235" t="s">
        <v>633</v>
      </c>
      <c r="D25" s="1235" t="s">
        <v>633</v>
      </c>
      <c r="E25" s="1235">
        <v>1</v>
      </c>
      <c r="F25" s="1235" t="s">
        <v>6604</v>
      </c>
      <c r="G25" s="1235" t="s">
        <v>6579</v>
      </c>
      <c r="H25" s="1235" t="s">
        <v>6413</v>
      </c>
      <c r="I25" s="1235" t="s">
        <v>6414</v>
      </c>
      <c r="J25" s="1235">
        <v>88</v>
      </c>
      <c r="K25" s="1235">
        <v>209.68</v>
      </c>
      <c r="L25" s="1235">
        <v>23800</v>
      </c>
    </row>
    <row r="26" spans="1:12">
      <c r="A26" s="3486">
        <v>45114.333831018521</v>
      </c>
      <c r="B26" s="1235" t="s">
        <v>6577</v>
      </c>
      <c r="C26" s="1235" t="s">
        <v>633</v>
      </c>
      <c r="D26" s="1235" t="s">
        <v>633</v>
      </c>
      <c r="E26" s="1235">
        <v>3</v>
      </c>
      <c r="F26" s="1235" t="s">
        <v>6605</v>
      </c>
      <c r="G26" s="1235" t="s">
        <v>6579</v>
      </c>
      <c r="H26" s="1235" t="s">
        <v>6413</v>
      </c>
      <c r="I26" s="1235" t="s">
        <v>6414</v>
      </c>
      <c r="J26" s="1235">
        <v>88</v>
      </c>
      <c r="K26" s="1235">
        <v>210.11</v>
      </c>
      <c r="L26" s="1235">
        <v>23800</v>
      </c>
    </row>
    <row r="27" spans="1:12">
      <c r="A27" s="3486">
        <v>45114.333831018521</v>
      </c>
      <c r="B27" s="1235" t="s">
        <v>6577</v>
      </c>
      <c r="C27" s="1235" t="s">
        <v>633</v>
      </c>
      <c r="D27" s="1235" t="s">
        <v>633</v>
      </c>
      <c r="E27" s="1235">
        <v>6</v>
      </c>
      <c r="F27" s="1235" t="s">
        <v>6606</v>
      </c>
      <c r="G27" s="1235" t="s">
        <v>6579</v>
      </c>
      <c r="H27" s="1235" t="s">
        <v>6413</v>
      </c>
      <c r="I27" s="1235" t="s">
        <v>6414</v>
      </c>
      <c r="J27" s="1235">
        <v>89</v>
      </c>
      <c r="K27" s="1235">
        <v>212.06</v>
      </c>
      <c r="L27" s="1235">
        <v>23800</v>
      </c>
    </row>
    <row r="28" spans="1:12">
      <c r="A28" s="3486">
        <v>45114.333831018521</v>
      </c>
      <c r="B28" s="1235" t="s">
        <v>6577</v>
      </c>
      <c r="C28" s="1235" t="s">
        <v>633</v>
      </c>
      <c r="D28" s="1235" t="s">
        <v>633</v>
      </c>
      <c r="E28" s="1235">
        <v>2</v>
      </c>
      <c r="F28" s="1235" t="s">
        <v>6607</v>
      </c>
      <c r="G28" s="1235" t="s">
        <v>6579</v>
      </c>
      <c r="H28" s="1235" t="s">
        <v>6413</v>
      </c>
      <c r="I28" s="1235" t="s">
        <v>6414</v>
      </c>
      <c r="J28" s="1235">
        <v>89</v>
      </c>
      <c r="K28" s="1235">
        <v>212.06</v>
      </c>
      <c r="L28" s="1235">
        <v>23800</v>
      </c>
    </row>
    <row r="29" spans="1:12">
      <c r="A29" s="3486">
        <v>45114.333831018521</v>
      </c>
      <c r="B29" s="1235" t="s">
        <v>6577</v>
      </c>
      <c r="C29" s="1235" t="s">
        <v>633</v>
      </c>
      <c r="D29" s="1235" t="s">
        <v>633</v>
      </c>
      <c r="E29" s="1235">
        <v>7</v>
      </c>
      <c r="F29" s="1235" t="s">
        <v>6608</v>
      </c>
      <c r="G29" s="1235" t="s">
        <v>6579</v>
      </c>
      <c r="H29" s="1235" t="s">
        <v>6413</v>
      </c>
      <c r="I29" s="1235" t="s">
        <v>6414</v>
      </c>
      <c r="J29" s="1235">
        <v>88</v>
      </c>
      <c r="K29" s="1235">
        <v>210.11</v>
      </c>
      <c r="L29" s="1235">
        <v>23800</v>
      </c>
    </row>
    <row r="30" spans="1:12">
      <c r="A30" s="3486">
        <v>45114.333831018521</v>
      </c>
      <c r="B30" s="1235" t="s">
        <v>6577</v>
      </c>
      <c r="C30" s="1235" t="s">
        <v>633</v>
      </c>
      <c r="D30" s="1235" t="s">
        <v>633</v>
      </c>
      <c r="E30" s="1235">
        <v>5</v>
      </c>
      <c r="F30" s="1235" t="s">
        <v>6609</v>
      </c>
      <c r="G30" s="1235" t="s">
        <v>6579</v>
      </c>
      <c r="H30" s="1235" t="s">
        <v>6413</v>
      </c>
      <c r="I30" s="1235" t="s">
        <v>6414</v>
      </c>
      <c r="J30" s="1235">
        <v>88</v>
      </c>
      <c r="K30" s="1235">
        <v>210.11</v>
      </c>
      <c r="L30" s="1235">
        <v>23800</v>
      </c>
    </row>
    <row r="31" spans="1:12">
      <c r="A31" s="3486">
        <v>45114.333831018521</v>
      </c>
      <c r="B31" s="1235" t="s">
        <v>6577</v>
      </c>
      <c r="C31" s="1235" t="s">
        <v>633</v>
      </c>
      <c r="D31" s="1235" t="s">
        <v>633</v>
      </c>
      <c r="E31" s="1235">
        <v>1</v>
      </c>
      <c r="F31" s="1235" t="s">
        <v>6610</v>
      </c>
      <c r="G31" s="1235" t="s">
        <v>6579</v>
      </c>
      <c r="H31" s="1235" t="s">
        <v>6413</v>
      </c>
      <c r="I31" s="1235" t="s">
        <v>6438</v>
      </c>
      <c r="J31" s="1235">
        <v>56</v>
      </c>
      <c r="K31" s="1235">
        <v>133.63999999999999</v>
      </c>
      <c r="L31" s="1235">
        <v>23800</v>
      </c>
    </row>
    <row r="32" spans="1:12">
      <c r="A32" s="3486">
        <v>45114.333831018521</v>
      </c>
      <c r="B32" s="1235" t="s">
        <v>6577</v>
      </c>
      <c r="C32" s="1235" t="s">
        <v>633</v>
      </c>
      <c r="D32" s="1235" t="s">
        <v>633</v>
      </c>
      <c r="E32" s="1235">
        <v>7</v>
      </c>
      <c r="F32" s="1235" t="s">
        <v>6611</v>
      </c>
      <c r="G32" s="1235" t="s">
        <v>6579</v>
      </c>
      <c r="H32" s="1235" t="s">
        <v>6413</v>
      </c>
      <c r="I32" s="1235" t="s">
        <v>6414</v>
      </c>
      <c r="J32" s="1235">
        <v>89</v>
      </c>
      <c r="K32" s="1235">
        <v>212.06</v>
      </c>
      <c r="L32" s="1235">
        <v>23800</v>
      </c>
    </row>
    <row r="33" spans="1:12">
      <c r="A33" s="3486">
        <v>45114.333831018521</v>
      </c>
      <c r="B33" s="1235" t="s">
        <v>6577</v>
      </c>
      <c r="C33" s="1235" t="s">
        <v>633</v>
      </c>
      <c r="D33" s="1235" t="s">
        <v>633</v>
      </c>
      <c r="E33" s="1235">
        <v>5</v>
      </c>
      <c r="F33" s="1235" t="s">
        <v>6612</v>
      </c>
      <c r="G33" s="1235" t="s">
        <v>6579</v>
      </c>
      <c r="H33" s="1235" t="s">
        <v>6413</v>
      </c>
      <c r="I33" s="1235" t="s">
        <v>6414</v>
      </c>
      <c r="J33" s="1235">
        <v>89</v>
      </c>
      <c r="K33" s="1235">
        <v>212.06</v>
      </c>
      <c r="L33" s="1235">
        <v>23800</v>
      </c>
    </row>
    <row r="34" spans="1:12">
      <c r="A34" s="3486">
        <v>45114.333831018521</v>
      </c>
      <c r="B34" s="1235" t="s">
        <v>6577</v>
      </c>
      <c r="C34" s="1235" t="s">
        <v>633</v>
      </c>
      <c r="D34" s="1235" t="s">
        <v>633</v>
      </c>
      <c r="E34" s="1235">
        <v>4</v>
      </c>
      <c r="F34" s="1235" t="s">
        <v>6613</v>
      </c>
      <c r="G34" s="1235" t="s">
        <v>6579</v>
      </c>
      <c r="H34" s="1235" t="s">
        <v>6413</v>
      </c>
      <c r="I34" s="1235" t="s">
        <v>6414</v>
      </c>
      <c r="J34" s="1235">
        <v>88</v>
      </c>
      <c r="K34" s="1235">
        <v>210.11</v>
      </c>
      <c r="L34" s="1235">
        <v>23800</v>
      </c>
    </row>
    <row r="35" spans="1:12">
      <c r="A35" s="3486">
        <v>45114.333831018521</v>
      </c>
      <c r="B35" s="1235" t="s">
        <v>6577</v>
      </c>
      <c r="C35" s="1235" t="s">
        <v>633</v>
      </c>
      <c r="D35" s="1235" t="s">
        <v>633</v>
      </c>
      <c r="E35" s="1235">
        <v>2</v>
      </c>
      <c r="F35" s="1235" t="s">
        <v>6614</v>
      </c>
      <c r="G35" s="1235" t="s">
        <v>6579</v>
      </c>
      <c r="H35" s="1235" t="s">
        <v>6413</v>
      </c>
      <c r="I35" s="1235" t="s">
        <v>6414</v>
      </c>
      <c r="J35" s="1235">
        <v>88</v>
      </c>
      <c r="K35" s="1235">
        <v>210.11</v>
      </c>
      <c r="L35" s="1235">
        <v>23800</v>
      </c>
    </row>
    <row r="36" spans="1:12">
      <c r="A36" s="3486">
        <v>45114.333831018521</v>
      </c>
      <c r="B36" s="1235" t="s">
        <v>6577</v>
      </c>
      <c r="C36" s="1235" t="s">
        <v>633</v>
      </c>
      <c r="D36" s="1235" t="s">
        <v>633</v>
      </c>
      <c r="E36" s="1235">
        <v>8</v>
      </c>
      <c r="F36" s="1235" t="s">
        <v>6615</v>
      </c>
      <c r="G36" s="1235" t="s">
        <v>6579</v>
      </c>
      <c r="H36" s="1235" t="s">
        <v>6413</v>
      </c>
      <c r="I36" s="1235" t="s">
        <v>6414</v>
      </c>
      <c r="J36" s="1235">
        <v>88</v>
      </c>
      <c r="K36" s="1235">
        <v>210.11</v>
      </c>
      <c r="L36" s="1235">
        <v>23800</v>
      </c>
    </row>
    <row r="37" spans="1:12">
      <c r="A37" s="3486">
        <v>45114.333831018521</v>
      </c>
      <c r="B37" s="1235" t="s">
        <v>6577</v>
      </c>
      <c r="C37" s="1235" t="s">
        <v>633</v>
      </c>
      <c r="D37" s="1235" t="s">
        <v>633</v>
      </c>
      <c r="E37" s="1235">
        <v>3</v>
      </c>
      <c r="F37" s="1235" t="s">
        <v>6616</v>
      </c>
      <c r="G37" s="1235" t="s">
        <v>6579</v>
      </c>
      <c r="H37" s="1235" t="s">
        <v>6413</v>
      </c>
      <c r="I37" s="1235" t="s">
        <v>6414</v>
      </c>
      <c r="J37" s="1235">
        <v>89</v>
      </c>
      <c r="K37" s="1235">
        <v>212.06</v>
      </c>
      <c r="L37" s="1235">
        <v>23800</v>
      </c>
    </row>
    <row r="38" spans="1:12">
      <c r="A38" s="3486">
        <v>45114.333831018521</v>
      </c>
      <c r="B38" s="1235" t="s">
        <v>6577</v>
      </c>
      <c r="C38" s="1235" t="s">
        <v>633</v>
      </c>
      <c r="D38" s="1235" t="s">
        <v>633</v>
      </c>
      <c r="E38" s="1235">
        <v>4</v>
      </c>
      <c r="F38" s="1235" t="s">
        <v>6617</v>
      </c>
      <c r="G38" s="1235" t="s">
        <v>6579</v>
      </c>
      <c r="H38" s="1235" t="s">
        <v>6413</v>
      </c>
      <c r="I38" s="1235" t="s">
        <v>6414</v>
      </c>
      <c r="J38" s="1235">
        <v>89</v>
      </c>
      <c r="K38" s="1235">
        <v>212.06</v>
      </c>
      <c r="L38" s="1235">
        <v>23800</v>
      </c>
    </row>
    <row r="39" spans="1:12">
      <c r="A39" s="3486">
        <v>45093.333831018521</v>
      </c>
      <c r="B39" s="1235" t="s">
        <v>6600</v>
      </c>
      <c r="C39" s="1235" t="s">
        <v>633</v>
      </c>
      <c r="D39" s="1235" t="s">
        <v>633</v>
      </c>
      <c r="E39" s="1235">
        <v>3</v>
      </c>
      <c r="F39" s="1235" t="s">
        <v>6591</v>
      </c>
      <c r="G39" s="1235" t="s">
        <v>6579</v>
      </c>
      <c r="H39" s="1235" t="s">
        <v>6413</v>
      </c>
      <c r="I39" s="1235" t="s">
        <v>6414</v>
      </c>
      <c r="J39" s="1235">
        <v>88</v>
      </c>
      <c r="K39" s="1235">
        <v>210</v>
      </c>
      <c r="L39" s="1235">
        <v>23828</v>
      </c>
    </row>
    <row r="40" spans="1:12">
      <c r="A40" s="3486">
        <v>45087.333831018521</v>
      </c>
      <c r="B40" s="1235" t="s">
        <v>6618</v>
      </c>
      <c r="C40" s="1235" t="s">
        <v>633</v>
      </c>
      <c r="D40" s="1235" t="s">
        <v>633</v>
      </c>
      <c r="E40" s="1235">
        <v>1</v>
      </c>
      <c r="F40" s="1235" t="s">
        <v>6619</v>
      </c>
      <c r="G40" s="1235" t="s">
        <v>6579</v>
      </c>
      <c r="H40" s="1235" t="s">
        <v>6413</v>
      </c>
      <c r="I40" s="1235" t="s">
        <v>6414</v>
      </c>
      <c r="J40" s="1235">
        <v>88</v>
      </c>
      <c r="K40" s="1235">
        <v>210</v>
      </c>
      <c r="L40" s="1235">
        <v>23923</v>
      </c>
    </row>
    <row r="41" spans="1:12">
      <c r="A41" s="3486">
        <v>45076.333831018521</v>
      </c>
      <c r="B41" s="1235" t="s">
        <v>6620</v>
      </c>
      <c r="C41" s="1235" t="s">
        <v>633</v>
      </c>
      <c r="D41" s="1235" t="s">
        <v>633</v>
      </c>
      <c r="E41" s="1235">
        <v>1</v>
      </c>
      <c r="F41" s="1235" t="s">
        <v>6588</v>
      </c>
      <c r="G41" s="1235" t="s">
        <v>6579</v>
      </c>
      <c r="H41" s="1235" t="s">
        <v>6413</v>
      </c>
      <c r="I41" s="1235" t="s">
        <v>6414</v>
      </c>
      <c r="J41" s="1235">
        <v>117</v>
      </c>
      <c r="K41" s="1235">
        <v>261.67</v>
      </c>
      <c r="L41" s="1235">
        <v>22401</v>
      </c>
    </row>
    <row r="42" spans="1:12">
      <c r="A42" s="3486">
        <v>45070.333831018521</v>
      </c>
      <c r="B42" s="1235" t="s">
        <v>6600</v>
      </c>
      <c r="C42" s="1235" t="s">
        <v>633</v>
      </c>
      <c r="D42" s="1235" t="s">
        <v>633</v>
      </c>
      <c r="E42" s="1235">
        <v>7</v>
      </c>
      <c r="F42" s="1235" t="s">
        <v>6611</v>
      </c>
      <c r="G42" s="1235" t="s">
        <v>6579</v>
      </c>
      <c r="H42" s="1235" t="s">
        <v>6413</v>
      </c>
      <c r="I42" s="1235" t="s">
        <v>6414</v>
      </c>
      <c r="J42" s="1235">
        <v>89</v>
      </c>
      <c r="K42" s="1235">
        <v>220.77</v>
      </c>
      <c r="L42" s="1235">
        <v>24695</v>
      </c>
    </row>
    <row r="43" spans="1:12">
      <c r="A43" s="3486">
        <v>45063.333831018521</v>
      </c>
      <c r="B43" s="1235" t="s">
        <v>6600</v>
      </c>
      <c r="C43" s="1235" t="s">
        <v>633</v>
      </c>
      <c r="D43" s="1235" t="s">
        <v>633</v>
      </c>
      <c r="E43" s="1235">
        <v>12</v>
      </c>
      <c r="F43" s="1235" t="s">
        <v>6596</v>
      </c>
      <c r="G43" s="1235" t="s">
        <v>6579</v>
      </c>
      <c r="H43" s="1235" t="s">
        <v>6413</v>
      </c>
      <c r="I43" s="1235" t="s">
        <v>6414</v>
      </c>
      <c r="J43" s="1235">
        <v>89</v>
      </c>
      <c r="K43" s="1235">
        <v>207</v>
      </c>
      <c r="L43" s="1235">
        <v>23154</v>
      </c>
    </row>
    <row r="44" spans="1:12">
      <c r="A44" s="3486">
        <v>45063.333831018521</v>
      </c>
      <c r="B44" s="1235" t="s">
        <v>6621</v>
      </c>
      <c r="C44" s="1235" t="s">
        <v>633</v>
      </c>
      <c r="D44" s="1235" t="s">
        <v>633</v>
      </c>
      <c r="E44" s="1235">
        <v>7</v>
      </c>
      <c r="F44" s="1235" t="s">
        <v>6622</v>
      </c>
      <c r="G44" s="1235" t="s">
        <v>6579</v>
      </c>
      <c r="H44" s="1235" t="s">
        <v>6413</v>
      </c>
      <c r="I44" s="1235" t="s">
        <v>6433</v>
      </c>
      <c r="J44" s="1235">
        <v>78</v>
      </c>
      <c r="K44" s="1235">
        <v>203.91</v>
      </c>
      <c r="L44" s="1235">
        <v>26213</v>
      </c>
    </row>
    <row r="45" spans="1:12">
      <c r="A45" s="3486">
        <v>45062.333831018521</v>
      </c>
      <c r="B45" s="1235" t="s">
        <v>6600</v>
      </c>
      <c r="C45" s="1235" t="s">
        <v>633</v>
      </c>
      <c r="D45" s="1235" t="s">
        <v>633</v>
      </c>
      <c r="E45" s="1235">
        <v>1</v>
      </c>
      <c r="F45" s="1235" t="s">
        <v>6623</v>
      </c>
      <c r="G45" s="1235" t="s">
        <v>6579</v>
      </c>
      <c r="H45" s="1235" t="s">
        <v>6413</v>
      </c>
      <c r="I45" s="1235" t="s">
        <v>6414</v>
      </c>
      <c r="J45" s="1235">
        <v>88</v>
      </c>
      <c r="K45" s="1235">
        <v>201</v>
      </c>
      <c r="L45" s="1235">
        <v>22854</v>
      </c>
    </row>
    <row r="46" spans="1:12">
      <c r="A46" s="3486">
        <v>45062.333831018521</v>
      </c>
      <c r="B46" s="1235" t="s">
        <v>6620</v>
      </c>
      <c r="C46" s="1235" t="s">
        <v>633</v>
      </c>
      <c r="D46" s="1235" t="s">
        <v>633</v>
      </c>
      <c r="E46" s="1235">
        <v>4</v>
      </c>
      <c r="F46" s="1235" t="s">
        <v>6595</v>
      </c>
      <c r="G46" s="1235" t="s">
        <v>6579</v>
      </c>
      <c r="H46" s="1235" t="s">
        <v>6413</v>
      </c>
      <c r="I46" s="1235" t="s">
        <v>6414</v>
      </c>
      <c r="J46" s="1235">
        <v>116</v>
      </c>
      <c r="K46" s="1235">
        <v>270</v>
      </c>
      <c r="L46" s="1235">
        <v>23260</v>
      </c>
    </row>
    <row r="47" spans="1:12">
      <c r="A47" s="3486">
        <v>45061.333831018521</v>
      </c>
      <c r="B47" s="1235" t="s">
        <v>6624</v>
      </c>
      <c r="C47" s="1235" t="s">
        <v>633</v>
      </c>
      <c r="D47" s="1235" t="s">
        <v>633</v>
      </c>
      <c r="E47" s="1235">
        <v>7</v>
      </c>
      <c r="F47" s="1235" t="s">
        <v>6608</v>
      </c>
      <c r="G47" s="1235" t="s">
        <v>6579</v>
      </c>
      <c r="H47" s="1235" t="s">
        <v>6413</v>
      </c>
      <c r="I47" s="1235" t="s">
        <v>6414</v>
      </c>
      <c r="J47" s="1235">
        <v>129</v>
      </c>
      <c r="K47" s="1235">
        <v>350.6</v>
      </c>
      <c r="L47" s="1235">
        <v>27219</v>
      </c>
    </row>
    <row r="48" spans="1:12">
      <c r="A48" s="3486">
        <v>45061.333831018521</v>
      </c>
      <c r="B48" s="1235" t="s">
        <v>6600</v>
      </c>
      <c r="C48" s="1235" t="s">
        <v>633</v>
      </c>
      <c r="D48" s="1235" t="s">
        <v>633</v>
      </c>
      <c r="E48" s="1235">
        <v>4</v>
      </c>
      <c r="F48" s="1235" t="s">
        <v>6595</v>
      </c>
      <c r="G48" s="1235" t="s">
        <v>6579</v>
      </c>
      <c r="H48" s="1235" t="s">
        <v>6413</v>
      </c>
      <c r="I48" s="1235" t="s">
        <v>6414</v>
      </c>
      <c r="J48" s="1235">
        <v>89</v>
      </c>
      <c r="K48" s="1235">
        <v>210</v>
      </c>
      <c r="L48" s="1235">
        <v>23490</v>
      </c>
    </row>
    <row r="49" spans="1:12">
      <c r="A49" s="3486">
        <v>45059.333831018521</v>
      </c>
      <c r="B49" s="1235" t="s">
        <v>6600</v>
      </c>
      <c r="C49" s="1235" t="s">
        <v>633</v>
      </c>
      <c r="D49" s="1235" t="s">
        <v>633</v>
      </c>
      <c r="E49" s="1235">
        <v>5</v>
      </c>
      <c r="F49" s="1235" t="s">
        <v>6609</v>
      </c>
      <c r="G49" s="1235" t="s">
        <v>6579</v>
      </c>
      <c r="H49" s="1235" t="s">
        <v>6413</v>
      </c>
      <c r="I49" s="1235" t="s">
        <v>6414</v>
      </c>
      <c r="J49" s="1235">
        <v>89</v>
      </c>
      <c r="K49" s="1235">
        <v>210</v>
      </c>
      <c r="L49" s="1235">
        <v>23707</v>
      </c>
    </row>
    <row r="50" spans="1:12">
      <c r="A50" s="3486">
        <v>45059.333831018521</v>
      </c>
      <c r="B50" s="1235" t="s">
        <v>6600</v>
      </c>
      <c r="C50" s="1235" t="s">
        <v>633</v>
      </c>
      <c r="D50" s="1235" t="s">
        <v>633</v>
      </c>
      <c r="E50" s="1235">
        <v>4</v>
      </c>
      <c r="F50" s="1235" t="s">
        <v>6613</v>
      </c>
      <c r="G50" s="1235" t="s">
        <v>6579</v>
      </c>
      <c r="H50" s="1235" t="s">
        <v>6413</v>
      </c>
      <c r="I50" s="1235" t="s">
        <v>6414</v>
      </c>
      <c r="J50" s="1235">
        <v>89</v>
      </c>
      <c r="K50" s="1235">
        <v>206.5</v>
      </c>
      <c r="L50" s="1235">
        <v>23312</v>
      </c>
    </row>
    <row r="51" spans="1:12">
      <c r="A51" s="3486">
        <v>45059.333831018521</v>
      </c>
      <c r="B51" s="1235" t="s">
        <v>6620</v>
      </c>
      <c r="C51" s="1235" t="s">
        <v>633</v>
      </c>
      <c r="D51" s="1235" t="s">
        <v>633</v>
      </c>
      <c r="E51" s="1235">
        <v>4</v>
      </c>
      <c r="F51" s="1235" t="s">
        <v>6592</v>
      </c>
      <c r="G51" s="1235" t="s">
        <v>6579</v>
      </c>
      <c r="H51" s="1235" t="s">
        <v>6413</v>
      </c>
      <c r="I51" s="1235" t="s">
        <v>6414</v>
      </c>
      <c r="J51" s="1235">
        <v>117</v>
      </c>
      <c r="K51" s="1235">
        <v>272</v>
      </c>
      <c r="L51" s="1235">
        <v>23242</v>
      </c>
    </row>
    <row r="52" spans="1:12">
      <c r="A52" s="3486">
        <v>45059.333831018521</v>
      </c>
      <c r="B52" s="1235" t="s">
        <v>6620</v>
      </c>
      <c r="C52" s="1235" t="s">
        <v>633</v>
      </c>
      <c r="D52" s="1235" t="s">
        <v>633</v>
      </c>
      <c r="E52" s="1235">
        <v>3</v>
      </c>
      <c r="F52" s="1235" t="s">
        <v>6582</v>
      </c>
      <c r="G52" s="1235" t="s">
        <v>6579</v>
      </c>
      <c r="H52" s="1235" t="s">
        <v>6413</v>
      </c>
      <c r="I52" s="1235" t="s">
        <v>6414</v>
      </c>
      <c r="J52" s="1235">
        <v>116</v>
      </c>
      <c r="K52" s="1235">
        <v>270</v>
      </c>
      <c r="L52" s="1235">
        <v>23260</v>
      </c>
    </row>
    <row r="53" spans="1:12">
      <c r="A53" s="3486">
        <v>45056.333831018521</v>
      </c>
      <c r="B53" s="1235" t="s">
        <v>6618</v>
      </c>
      <c r="C53" s="1235" t="s">
        <v>633</v>
      </c>
      <c r="D53" s="1235" t="s">
        <v>633</v>
      </c>
      <c r="E53" s="1235">
        <v>9</v>
      </c>
      <c r="F53" s="1235" t="s">
        <v>6625</v>
      </c>
      <c r="G53" s="1235" t="s">
        <v>6579</v>
      </c>
      <c r="H53" s="1235" t="s">
        <v>6413</v>
      </c>
      <c r="I53" s="1235" t="s">
        <v>6414</v>
      </c>
      <c r="J53" s="1235">
        <v>89</v>
      </c>
      <c r="K53" s="1235">
        <v>234.66</v>
      </c>
      <c r="L53" s="1235">
        <v>26411</v>
      </c>
    </row>
    <row r="54" spans="1:12">
      <c r="A54" s="3486">
        <v>45056.333831018521</v>
      </c>
      <c r="B54" s="1235" t="s">
        <v>6618</v>
      </c>
      <c r="C54" s="1235" t="s">
        <v>633</v>
      </c>
      <c r="D54" s="1235" t="s">
        <v>633</v>
      </c>
      <c r="E54" s="1235">
        <v>1</v>
      </c>
      <c r="F54" s="1235" t="s">
        <v>6588</v>
      </c>
      <c r="G54" s="1235" t="s">
        <v>6579</v>
      </c>
      <c r="H54" s="1235" t="s">
        <v>6413</v>
      </c>
      <c r="I54" s="1235" t="s">
        <v>6414</v>
      </c>
      <c r="J54" s="1235">
        <v>87</v>
      </c>
      <c r="K54" s="1235">
        <v>213.91</v>
      </c>
      <c r="L54" s="1235">
        <v>24492</v>
      </c>
    </row>
    <row r="55" spans="1:12">
      <c r="A55" s="3486">
        <v>45056.333831018521</v>
      </c>
      <c r="B55" s="1235" t="s">
        <v>6620</v>
      </c>
      <c r="C55" s="1235" t="s">
        <v>633</v>
      </c>
      <c r="D55" s="1235" t="s">
        <v>633</v>
      </c>
      <c r="E55" s="1235">
        <v>12</v>
      </c>
      <c r="F55" s="1235" t="s">
        <v>6626</v>
      </c>
      <c r="G55" s="1235" t="s">
        <v>6579</v>
      </c>
      <c r="H55" s="1235" t="s">
        <v>6413</v>
      </c>
      <c r="I55" s="1235" t="s">
        <v>6414</v>
      </c>
      <c r="J55" s="1235">
        <v>116</v>
      </c>
      <c r="K55" s="1235">
        <v>268</v>
      </c>
      <c r="L55" s="1235">
        <v>23088</v>
      </c>
    </row>
    <row r="56" spans="1:12">
      <c r="A56" s="3486">
        <v>45055.333831018521</v>
      </c>
      <c r="B56" s="1235" t="s">
        <v>6627</v>
      </c>
      <c r="C56" s="1235" t="s">
        <v>633</v>
      </c>
      <c r="D56" s="1235" t="s">
        <v>633</v>
      </c>
      <c r="E56" s="1235">
        <v>6</v>
      </c>
      <c r="F56" s="1235" t="s">
        <v>6628</v>
      </c>
      <c r="G56" s="1235" t="s">
        <v>6579</v>
      </c>
      <c r="H56" s="1235" t="s">
        <v>6413</v>
      </c>
      <c r="I56" s="1235" t="s">
        <v>6433</v>
      </c>
      <c r="J56" s="1235">
        <v>79</v>
      </c>
      <c r="K56" s="1235">
        <v>208.18</v>
      </c>
      <c r="L56" s="1235">
        <v>26282</v>
      </c>
    </row>
    <row r="57" spans="1:12">
      <c r="A57" s="3486">
        <v>45055.333831018521</v>
      </c>
      <c r="B57" s="1235" t="s">
        <v>6600</v>
      </c>
      <c r="C57" s="1235" t="s">
        <v>633</v>
      </c>
      <c r="D57" s="1235" t="s">
        <v>633</v>
      </c>
      <c r="E57" s="1235">
        <v>2</v>
      </c>
      <c r="F57" s="1235" t="s">
        <v>6614</v>
      </c>
      <c r="G57" s="1235" t="s">
        <v>6579</v>
      </c>
      <c r="H57" s="1235" t="s">
        <v>6413</v>
      </c>
      <c r="I57" s="1235" t="s">
        <v>6414</v>
      </c>
      <c r="J57" s="1235">
        <v>89</v>
      </c>
      <c r="K57" s="1235">
        <v>202</v>
      </c>
      <c r="L57" s="1235">
        <v>22804</v>
      </c>
    </row>
    <row r="58" spans="1:12">
      <c r="A58" s="3486">
        <v>45055.333831018521</v>
      </c>
      <c r="B58" s="1235" t="s">
        <v>6620</v>
      </c>
      <c r="C58" s="1235" t="s">
        <v>633</v>
      </c>
      <c r="D58" s="1235" t="s">
        <v>633</v>
      </c>
      <c r="E58" s="1235">
        <v>2</v>
      </c>
      <c r="F58" s="1235" t="s">
        <v>6581</v>
      </c>
      <c r="G58" s="1235" t="s">
        <v>6579</v>
      </c>
      <c r="H58" s="1235" t="s">
        <v>6413</v>
      </c>
      <c r="I58" s="1235" t="s">
        <v>6414</v>
      </c>
      <c r="J58" s="1235">
        <v>116</v>
      </c>
      <c r="K58" s="1235">
        <v>265</v>
      </c>
      <c r="L58" s="1235">
        <v>22829</v>
      </c>
    </row>
    <row r="59" spans="1:12">
      <c r="A59" s="3486">
        <v>45055.333831018521</v>
      </c>
      <c r="B59" s="1235" t="s">
        <v>6600</v>
      </c>
      <c r="C59" s="1235" t="s">
        <v>633</v>
      </c>
      <c r="D59" s="1235" t="s">
        <v>633</v>
      </c>
      <c r="E59" s="1235">
        <v>3</v>
      </c>
      <c r="F59" s="1235" t="s">
        <v>6605</v>
      </c>
      <c r="G59" s="1235" t="s">
        <v>6579</v>
      </c>
      <c r="H59" s="1235" t="s">
        <v>6413</v>
      </c>
      <c r="I59" s="1235" t="s">
        <v>6414</v>
      </c>
      <c r="J59" s="1235">
        <v>89</v>
      </c>
      <c r="K59" s="1235">
        <v>204</v>
      </c>
      <c r="L59" s="1235">
        <v>23030</v>
      </c>
    </row>
    <row r="60" spans="1:12">
      <c r="A60" s="3486">
        <v>45055.333831018521</v>
      </c>
      <c r="B60" s="1235" t="s">
        <v>6600</v>
      </c>
      <c r="C60" s="1235" t="s">
        <v>633</v>
      </c>
      <c r="D60" s="1235" t="s">
        <v>633</v>
      </c>
      <c r="E60" s="1235">
        <v>2</v>
      </c>
      <c r="F60" s="1235" t="s">
        <v>6607</v>
      </c>
      <c r="G60" s="1235" t="s">
        <v>6579</v>
      </c>
      <c r="H60" s="1235" t="s">
        <v>6413</v>
      </c>
      <c r="I60" s="1235" t="s">
        <v>6414</v>
      </c>
      <c r="J60" s="1235">
        <v>89</v>
      </c>
      <c r="K60" s="1235">
        <v>205</v>
      </c>
      <c r="L60" s="1235">
        <v>22931</v>
      </c>
    </row>
    <row r="61" spans="1:12">
      <c r="A61" s="3486">
        <v>45055.333831018521</v>
      </c>
      <c r="B61" s="1235" t="s">
        <v>6600</v>
      </c>
      <c r="C61" s="1235" t="s">
        <v>633</v>
      </c>
      <c r="D61" s="1235" t="s">
        <v>633</v>
      </c>
      <c r="E61" s="1235">
        <v>4</v>
      </c>
      <c r="F61" s="1235" t="s">
        <v>6617</v>
      </c>
      <c r="G61" s="1235" t="s">
        <v>6579</v>
      </c>
      <c r="H61" s="1235" t="s">
        <v>6413</v>
      </c>
      <c r="I61" s="1235" t="s">
        <v>6414</v>
      </c>
      <c r="J61" s="1235">
        <v>89</v>
      </c>
      <c r="K61" s="1235">
        <v>208.62</v>
      </c>
      <c r="L61" s="1235">
        <v>23336</v>
      </c>
    </row>
    <row r="62" spans="1:12">
      <c r="A62" s="3486">
        <v>45055.333831018521</v>
      </c>
      <c r="B62" s="1235" t="s">
        <v>6624</v>
      </c>
      <c r="C62" s="1235" t="s">
        <v>633</v>
      </c>
      <c r="D62" s="1235" t="s">
        <v>633</v>
      </c>
      <c r="E62" s="1235">
        <v>6</v>
      </c>
      <c r="F62" s="1235" t="s">
        <v>6628</v>
      </c>
      <c r="G62" s="1235" t="s">
        <v>6579</v>
      </c>
      <c r="H62" s="1235" t="s">
        <v>6413</v>
      </c>
      <c r="I62" s="1235" t="s">
        <v>6414</v>
      </c>
      <c r="J62" s="1235">
        <v>129</v>
      </c>
      <c r="K62" s="1235">
        <v>363.31</v>
      </c>
      <c r="L62" s="1235">
        <v>28205</v>
      </c>
    </row>
    <row r="63" spans="1:12">
      <c r="A63" s="3486">
        <v>45039.333831018521</v>
      </c>
      <c r="B63" s="1235" t="s">
        <v>6598</v>
      </c>
      <c r="C63" s="1235" t="s">
        <v>633</v>
      </c>
      <c r="D63" s="1235" t="s">
        <v>633</v>
      </c>
      <c r="E63" s="1235">
        <v>7</v>
      </c>
      <c r="F63" s="1235" t="s">
        <v>6608</v>
      </c>
      <c r="G63" s="1235" t="s">
        <v>6599</v>
      </c>
      <c r="H63" s="1235" t="s">
        <v>6413</v>
      </c>
      <c r="I63" s="1235" t="s">
        <v>6433</v>
      </c>
      <c r="J63" s="1235">
        <v>84</v>
      </c>
      <c r="K63" s="1235">
        <v>210.98</v>
      </c>
      <c r="L63" s="1235">
        <v>25000</v>
      </c>
    </row>
    <row r="64" spans="1:12">
      <c r="A64" s="3486">
        <v>45039.333831018521</v>
      </c>
      <c r="B64" s="1235" t="s">
        <v>6598</v>
      </c>
      <c r="C64" s="1235" t="s">
        <v>633</v>
      </c>
      <c r="D64" s="1235" t="s">
        <v>633</v>
      </c>
      <c r="E64" s="1235">
        <v>9</v>
      </c>
      <c r="F64" s="1235" t="s">
        <v>6587</v>
      </c>
      <c r="G64" s="1235" t="s">
        <v>6599</v>
      </c>
      <c r="H64" s="1235" t="s">
        <v>6413</v>
      </c>
      <c r="I64" s="1235" t="s">
        <v>6433</v>
      </c>
      <c r="J64" s="1235">
        <v>83</v>
      </c>
      <c r="K64" s="1235">
        <v>208.73</v>
      </c>
      <c r="L64" s="1235">
        <v>25000</v>
      </c>
    </row>
    <row r="65" spans="1:12">
      <c r="A65" s="3486">
        <v>45039.333831018521</v>
      </c>
      <c r="B65" s="1235" t="s">
        <v>6629</v>
      </c>
      <c r="C65" s="1235" t="s">
        <v>633</v>
      </c>
      <c r="D65" s="1235" t="s">
        <v>633</v>
      </c>
      <c r="E65" s="1235">
        <v>11</v>
      </c>
      <c r="F65" s="1235" t="s">
        <v>6630</v>
      </c>
      <c r="G65" s="1235" t="s">
        <v>6599</v>
      </c>
      <c r="H65" s="1235" t="s">
        <v>6413</v>
      </c>
      <c r="I65" s="1235" t="s">
        <v>6414</v>
      </c>
      <c r="J65" s="1235">
        <v>87</v>
      </c>
      <c r="K65" s="1235">
        <v>218.05</v>
      </c>
      <c r="L65" s="1235">
        <v>25000</v>
      </c>
    </row>
    <row r="66" spans="1:12">
      <c r="A66" s="3486">
        <v>45039.333831018521</v>
      </c>
      <c r="B66" s="1235" t="s">
        <v>6629</v>
      </c>
      <c r="C66" s="1235" t="s">
        <v>633</v>
      </c>
      <c r="D66" s="1235" t="s">
        <v>633</v>
      </c>
      <c r="E66" s="1235">
        <v>1</v>
      </c>
      <c r="F66" s="1235" t="s">
        <v>6588</v>
      </c>
      <c r="G66" s="1235" t="s">
        <v>6599</v>
      </c>
      <c r="H66" s="1235" t="s">
        <v>6413</v>
      </c>
      <c r="I66" s="1235" t="s">
        <v>6414</v>
      </c>
      <c r="J66" s="1235">
        <v>87</v>
      </c>
      <c r="K66" s="1235">
        <v>217.63</v>
      </c>
      <c r="L66" s="1235">
        <v>25000</v>
      </c>
    </row>
    <row r="67" spans="1:12">
      <c r="A67" s="3486">
        <v>45039.333831018521</v>
      </c>
      <c r="B67" s="1235" t="s">
        <v>6631</v>
      </c>
      <c r="C67" s="1235" t="s">
        <v>633</v>
      </c>
      <c r="D67" s="1235" t="s">
        <v>633</v>
      </c>
      <c r="E67" s="1235">
        <v>14</v>
      </c>
      <c r="F67" s="1235" t="s">
        <v>6632</v>
      </c>
      <c r="G67" s="1235" t="s">
        <v>6579</v>
      </c>
      <c r="H67" s="1235" t="s">
        <v>6413</v>
      </c>
      <c r="I67" s="1235" t="s">
        <v>6414</v>
      </c>
      <c r="J67" s="1235">
        <v>87</v>
      </c>
      <c r="K67" s="1235">
        <v>250.3</v>
      </c>
      <c r="L67" s="1235">
        <v>28658</v>
      </c>
    </row>
    <row r="68" spans="1:12">
      <c r="A68" s="3486">
        <v>45039.333831018521</v>
      </c>
      <c r="B68" s="1235" t="s">
        <v>6629</v>
      </c>
      <c r="C68" s="1235" t="s">
        <v>633</v>
      </c>
      <c r="D68" s="1235" t="s">
        <v>633</v>
      </c>
      <c r="E68" s="1235">
        <v>3</v>
      </c>
      <c r="F68" s="1235" t="s">
        <v>6633</v>
      </c>
      <c r="G68" s="1235" t="s">
        <v>6599</v>
      </c>
      <c r="H68" s="1235" t="s">
        <v>6413</v>
      </c>
      <c r="I68" s="1235" t="s">
        <v>6414</v>
      </c>
      <c r="J68" s="1235">
        <v>89</v>
      </c>
      <c r="K68" s="1235">
        <v>221.38</v>
      </c>
      <c r="L68" s="1235">
        <v>25000</v>
      </c>
    </row>
    <row r="69" spans="1:12">
      <c r="A69" s="3486">
        <v>45039.333831018521</v>
      </c>
      <c r="B69" s="1235" t="s">
        <v>6598</v>
      </c>
      <c r="C69" s="1235" t="s">
        <v>633</v>
      </c>
      <c r="D69" s="1235" t="s">
        <v>633</v>
      </c>
      <c r="E69" s="1235">
        <v>4</v>
      </c>
      <c r="F69" s="1235" t="s">
        <v>6617</v>
      </c>
      <c r="G69" s="1235" t="s">
        <v>6599</v>
      </c>
      <c r="H69" s="1235" t="s">
        <v>6413</v>
      </c>
      <c r="I69" s="1235" t="s">
        <v>6433</v>
      </c>
      <c r="J69" s="1235">
        <v>83</v>
      </c>
      <c r="K69" s="1235">
        <v>208.73</v>
      </c>
      <c r="L69" s="1235">
        <v>25000</v>
      </c>
    </row>
    <row r="70" spans="1:12">
      <c r="A70" s="3486">
        <v>45039.333831018521</v>
      </c>
      <c r="B70" s="1235" t="s">
        <v>6598</v>
      </c>
      <c r="C70" s="1235" t="s">
        <v>633</v>
      </c>
      <c r="D70" s="1235" t="s">
        <v>633</v>
      </c>
      <c r="E70" s="1235">
        <v>4</v>
      </c>
      <c r="F70" s="1235" t="s">
        <v>6595</v>
      </c>
      <c r="G70" s="1235" t="s">
        <v>6599</v>
      </c>
      <c r="H70" s="1235" t="s">
        <v>6413</v>
      </c>
      <c r="I70" s="1235" t="s">
        <v>6433</v>
      </c>
      <c r="J70" s="1235">
        <v>83</v>
      </c>
      <c r="K70" s="1235">
        <v>208.73</v>
      </c>
      <c r="L70" s="1235">
        <v>25000</v>
      </c>
    </row>
    <row r="71" spans="1:12">
      <c r="A71" s="3486">
        <v>45037.333831018521</v>
      </c>
      <c r="B71" s="1235" t="s">
        <v>6629</v>
      </c>
      <c r="C71" s="1235" t="s">
        <v>633</v>
      </c>
      <c r="D71" s="1235" t="s">
        <v>633</v>
      </c>
      <c r="E71" s="1235">
        <v>12</v>
      </c>
      <c r="F71" s="1235" t="s">
        <v>6594</v>
      </c>
      <c r="G71" s="1235" t="s">
        <v>6599</v>
      </c>
      <c r="H71" s="1235" t="s">
        <v>6413</v>
      </c>
      <c r="I71" s="1235" t="s">
        <v>6414</v>
      </c>
      <c r="J71" s="1235">
        <v>88</v>
      </c>
      <c r="K71" s="1235">
        <v>219.18</v>
      </c>
      <c r="L71" s="1235">
        <v>25000</v>
      </c>
    </row>
    <row r="72" spans="1:12">
      <c r="A72" s="3486">
        <v>45037.333831018521</v>
      </c>
      <c r="B72" s="1235" t="s">
        <v>6634</v>
      </c>
      <c r="C72" s="1235" t="s">
        <v>633</v>
      </c>
      <c r="D72" s="1235" t="s">
        <v>633</v>
      </c>
      <c r="E72" s="1235">
        <v>9</v>
      </c>
      <c r="F72" s="1235" t="s">
        <v>6635</v>
      </c>
      <c r="G72" s="1235" t="s">
        <v>6599</v>
      </c>
      <c r="H72" s="1235" t="s">
        <v>6413</v>
      </c>
      <c r="I72" s="1235" t="s">
        <v>6433</v>
      </c>
      <c r="J72" s="1235">
        <v>84</v>
      </c>
      <c r="K72" s="1235">
        <v>208.95</v>
      </c>
      <c r="L72" s="1235">
        <v>25000</v>
      </c>
    </row>
    <row r="73" spans="1:12">
      <c r="A73" s="3486">
        <v>45037.333831018521</v>
      </c>
      <c r="B73" s="1235" t="s">
        <v>6634</v>
      </c>
      <c r="C73" s="1235" t="s">
        <v>633</v>
      </c>
      <c r="D73" s="1235" t="s">
        <v>633</v>
      </c>
      <c r="E73" s="1235">
        <v>12</v>
      </c>
      <c r="F73" s="1235" t="s">
        <v>6626</v>
      </c>
      <c r="G73" s="1235" t="s">
        <v>6599</v>
      </c>
      <c r="H73" s="1235" t="s">
        <v>6413</v>
      </c>
      <c r="I73" s="1235" t="s">
        <v>6433</v>
      </c>
      <c r="J73" s="1235">
        <v>83</v>
      </c>
      <c r="K73" s="1235">
        <v>206.73</v>
      </c>
      <c r="L73" s="1235">
        <v>25000</v>
      </c>
    </row>
    <row r="74" spans="1:12">
      <c r="A74" s="3486">
        <v>45037.333831018521</v>
      </c>
      <c r="B74" s="1235" t="s">
        <v>6634</v>
      </c>
      <c r="C74" s="1235" t="s">
        <v>633</v>
      </c>
      <c r="D74" s="1235" t="s">
        <v>633</v>
      </c>
      <c r="E74" s="1235">
        <v>7</v>
      </c>
      <c r="F74" s="1235" t="s">
        <v>6622</v>
      </c>
      <c r="G74" s="1235" t="s">
        <v>6599</v>
      </c>
      <c r="H74" s="1235" t="s">
        <v>6413</v>
      </c>
      <c r="I74" s="1235" t="s">
        <v>6433</v>
      </c>
      <c r="J74" s="1235">
        <v>83</v>
      </c>
      <c r="K74" s="1235">
        <v>206.73</v>
      </c>
      <c r="L74" s="1235">
        <v>25000</v>
      </c>
    </row>
    <row r="75" spans="1:12">
      <c r="A75" s="3486">
        <v>45037.333831018521</v>
      </c>
      <c r="B75" s="1235" t="s">
        <v>6577</v>
      </c>
      <c r="C75" s="1235" t="s">
        <v>633</v>
      </c>
      <c r="D75" s="1235" t="s">
        <v>633</v>
      </c>
      <c r="E75" s="1235">
        <v>4</v>
      </c>
      <c r="F75" s="1235" t="s">
        <v>6592</v>
      </c>
      <c r="G75" s="1235" t="s">
        <v>6579</v>
      </c>
      <c r="H75" s="1235" t="s">
        <v>6413</v>
      </c>
      <c r="I75" s="1235" t="s">
        <v>6414</v>
      </c>
      <c r="J75" s="1235">
        <v>88</v>
      </c>
      <c r="K75" s="1235">
        <v>210.11</v>
      </c>
      <c r="L75" s="1235">
        <v>23800</v>
      </c>
    </row>
    <row r="76" spans="1:12">
      <c r="A76" s="3486">
        <v>45037.333831018521</v>
      </c>
      <c r="B76" s="1235" t="s">
        <v>6634</v>
      </c>
      <c r="C76" s="1235" t="s">
        <v>633</v>
      </c>
      <c r="D76" s="1235" t="s">
        <v>633</v>
      </c>
      <c r="E76" s="1235">
        <v>4</v>
      </c>
      <c r="F76" s="1235" t="s">
        <v>6592</v>
      </c>
      <c r="G76" s="1235" t="s">
        <v>6599</v>
      </c>
      <c r="H76" s="1235" t="s">
        <v>6413</v>
      </c>
      <c r="I76" s="1235" t="s">
        <v>6433</v>
      </c>
      <c r="J76" s="1235">
        <v>84</v>
      </c>
      <c r="K76" s="1235">
        <v>208.95</v>
      </c>
      <c r="L76" s="1235">
        <v>25000</v>
      </c>
    </row>
    <row r="77" spans="1:12">
      <c r="A77" s="3486">
        <v>45037.333831018521</v>
      </c>
      <c r="B77" s="1235" t="s">
        <v>6634</v>
      </c>
      <c r="C77" s="1235" t="s">
        <v>633</v>
      </c>
      <c r="D77" s="1235" t="s">
        <v>633</v>
      </c>
      <c r="E77" s="1235">
        <v>6</v>
      </c>
      <c r="F77" s="1235" t="s">
        <v>6636</v>
      </c>
      <c r="G77" s="1235" t="s">
        <v>6599</v>
      </c>
      <c r="H77" s="1235" t="s">
        <v>6413</v>
      </c>
      <c r="I77" s="1235" t="s">
        <v>6433</v>
      </c>
      <c r="J77" s="1235">
        <v>83</v>
      </c>
      <c r="K77" s="1235">
        <v>206.73</v>
      </c>
      <c r="L77" s="1235">
        <v>25000</v>
      </c>
    </row>
    <row r="78" spans="1:12">
      <c r="A78" s="3486">
        <v>45037.333831018521</v>
      </c>
      <c r="B78" s="1235" t="s">
        <v>6634</v>
      </c>
      <c r="C78" s="1235" t="s">
        <v>633</v>
      </c>
      <c r="D78" s="1235" t="s">
        <v>633</v>
      </c>
      <c r="E78" s="1235">
        <v>7</v>
      </c>
      <c r="F78" s="1235" t="s">
        <v>6637</v>
      </c>
      <c r="G78" s="1235" t="s">
        <v>6599</v>
      </c>
      <c r="H78" s="1235" t="s">
        <v>6413</v>
      </c>
      <c r="I78" s="1235" t="s">
        <v>6433</v>
      </c>
      <c r="J78" s="1235">
        <v>84</v>
      </c>
      <c r="K78" s="1235">
        <v>208.95</v>
      </c>
      <c r="L78" s="1235">
        <v>25000</v>
      </c>
    </row>
    <row r="79" spans="1:12">
      <c r="A79" s="3486">
        <v>45037.333831018521</v>
      </c>
      <c r="B79" s="1235" t="s">
        <v>6634</v>
      </c>
      <c r="C79" s="1235" t="s">
        <v>633</v>
      </c>
      <c r="D79" s="1235" t="s">
        <v>633</v>
      </c>
      <c r="E79" s="1235">
        <v>10</v>
      </c>
      <c r="F79" s="1235" t="s">
        <v>6638</v>
      </c>
      <c r="G79" s="1235" t="s">
        <v>6599</v>
      </c>
      <c r="H79" s="1235" t="s">
        <v>6413</v>
      </c>
      <c r="I79" s="1235" t="s">
        <v>6433</v>
      </c>
      <c r="J79" s="1235">
        <v>83</v>
      </c>
      <c r="K79" s="1235">
        <v>206.73</v>
      </c>
      <c r="L79" s="1235">
        <v>25000</v>
      </c>
    </row>
    <row r="80" spans="1:12">
      <c r="A80" s="3486">
        <v>45037.333831018521</v>
      </c>
      <c r="B80" s="1235" t="s">
        <v>6634</v>
      </c>
      <c r="C80" s="1235" t="s">
        <v>633</v>
      </c>
      <c r="D80" s="1235" t="s">
        <v>633</v>
      </c>
      <c r="E80" s="1235">
        <v>5</v>
      </c>
      <c r="F80" s="1235" t="s">
        <v>6612</v>
      </c>
      <c r="G80" s="1235" t="s">
        <v>6599</v>
      </c>
      <c r="H80" s="1235" t="s">
        <v>6413</v>
      </c>
      <c r="I80" s="1235" t="s">
        <v>6433</v>
      </c>
      <c r="J80" s="1235">
        <v>83</v>
      </c>
      <c r="K80" s="1235">
        <v>206.73</v>
      </c>
      <c r="L80" s="1235">
        <v>25000</v>
      </c>
    </row>
    <row r="81" spans="1:12">
      <c r="A81" s="3486">
        <v>45037.333831018521</v>
      </c>
      <c r="B81" s="1235" t="s">
        <v>6577</v>
      </c>
      <c r="C81" s="1235" t="s">
        <v>633</v>
      </c>
      <c r="D81" s="1235" t="s">
        <v>633</v>
      </c>
      <c r="E81" s="1235">
        <v>5</v>
      </c>
      <c r="F81" s="1235" t="s">
        <v>6584</v>
      </c>
      <c r="G81" s="1235" t="s">
        <v>6579</v>
      </c>
      <c r="H81" s="1235" t="s">
        <v>6413</v>
      </c>
      <c r="I81" s="1235" t="s">
        <v>6414</v>
      </c>
      <c r="J81" s="1235">
        <v>88</v>
      </c>
      <c r="K81" s="1235">
        <v>210.11</v>
      </c>
      <c r="L81" s="1235">
        <v>23800</v>
      </c>
    </row>
    <row r="82" spans="1:12">
      <c r="A82" s="3486">
        <v>45037.333831018521</v>
      </c>
      <c r="B82" s="1235" t="s">
        <v>6577</v>
      </c>
      <c r="C82" s="1235" t="s">
        <v>633</v>
      </c>
      <c r="D82" s="1235" t="s">
        <v>633</v>
      </c>
      <c r="E82" s="1235">
        <v>10</v>
      </c>
      <c r="F82" s="1235" t="s">
        <v>6639</v>
      </c>
      <c r="G82" s="1235" t="s">
        <v>6579</v>
      </c>
      <c r="H82" s="1235" t="s">
        <v>6413</v>
      </c>
      <c r="I82" s="1235" t="s">
        <v>6414</v>
      </c>
      <c r="J82" s="1235">
        <v>88</v>
      </c>
      <c r="K82" s="1235">
        <v>210.11</v>
      </c>
      <c r="L82" s="1235">
        <v>23800</v>
      </c>
    </row>
    <row r="83" spans="1:12">
      <c r="A83" s="3486">
        <v>45037.333831018521</v>
      </c>
      <c r="B83" s="1235" t="s">
        <v>6634</v>
      </c>
      <c r="C83" s="1235" t="s">
        <v>633</v>
      </c>
      <c r="D83" s="1235" t="s">
        <v>633</v>
      </c>
      <c r="E83" s="1235">
        <v>10</v>
      </c>
      <c r="F83" s="1235" t="s">
        <v>6639</v>
      </c>
      <c r="G83" s="1235" t="s">
        <v>6599</v>
      </c>
      <c r="H83" s="1235" t="s">
        <v>6413</v>
      </c>
      <c r="I83" s="1235" t="s">
        <v>6433</v>
      </c>
      <c r="J83" s="1235">
        <v>84</v>
      </c>
      <c r="K83" s="1235">
        <v>208.95</v>
      </c>
      <c r="L83" s="1235">
        <v>25000</v>
      </c>
    </row>
    <row r="84" spans="1:12">
      <c r="A84" s="3486">
        <v>45037.333831018521</v>
      </c>
      <c r="B84" s="1235" t="s">
        <v>6577</v>
      </c>
      <c r="C84" s="1235" t="s">
        <v>633</v>
      </c>
      <c r="D84" s="1235" t="s">
        <v>633</v>
      </c>
      <c r="E84" s="1235">
        <v>3</v>
      </c>
      <c r="F84" s="1235" t="s">
        <v>6582</v>
      </c>
      <c r="G84" s="1235" t="s">
        <v>6579</v>
      </c>
      <c r="H84" s="1235" t="s">
        <v>6413</v>
      </c>
      <c r="I84" s="1235" t="s">
        <v>6414</v>
      </c>
      <c r="J84" s="1235">
        <v>89</v>
      </c>
      <c r="K84" s="1235">
        <v>212.06</v>
      </c>
      <c r="L84" s="1235">
        <v>23800</v>
      </c>
    </row>
    <row r="85" spans="1:12">
      <c r="A85" s="3486">
        <v>45037.333831018521</v>
      </c>
      <c r="B85" s="1235" t="s">
        <v>6577</v>
      </c>
      <c r="C85" s="1235" t="s">
        <v>633</v>
      </c>
      <c r="D85" s="1235" t="s">
        <v>633</v>
      </c>
      <c r="E85" s="1235">
        <v>2</v>
      </c>
      <c r="F85" s="1235" t="s">
        <v>6581</v>
      </c>
      <c r="G85" s="1235" t="s">
        <v>6579</v>
      </c>
      <c r="H85" s="1235" t="s">
        <v>6413</v>
      </c>
      <c r="I85" s="1235" t="s">
        <v>6414</v>
      </c>
      <c r="J85" s="1235">
        <v>89</v>
      </c>
      <c r="K85" s="1235">
        <v>212.06</v>
      </c>
      <c r="L85" s="1235">
        <v>23800</v>
      </c>
    </row>
    <row r="86" spans="1:12">
      <c r="A86" s="3486">
        <v>45037.333831018521</v>
      </c>
      <c r="B86" s="1235" t="s">
        <v>6577</v>
      </c>
      <c r="C86" s="1235" t="s">
        <v>633</v>
      </c>
      <c r="D86" s="1235" t="s">
        <v>633</v>
      </c>
      <c r="E86" s="1235">
        <v>5</v>
      </c>
      <c r="F86" s="1235" t="s">
        <v>6580</v>
      </c>
      <c r="G86" s="1235" t="s">
        <v>6579</v>
      </c>
      <c r="H86" s="1235" t="s">
        <v>6413</v>
      </c>
      <c r="I86" s="1235" t="s">
        <v>6414</v>
      </c>
      <c r="J86" s="1235">
        <v>89</v>
      </c>
      <c r="K86" s="1235">
        <v>212.06</v>
      </c>
      <c r="L86" s="1235">
        <v>23800</v>
      </c>
    </row>
    <row r="87" spans="1:12">
      <c r="A87" s="3486">
        <v>45037.333831018521</v>
      </c>
      <c r="B87" s="1235" t="s">
        <v>6634</v>
      </c>
      <c r="C87" s="1235" t="s">
        <v>633</v>
      </c>
      <c r="D87" s="1235" t="s">
        <v>633</v>
      </c>
      <c r="E87" s="1235">
        <v>11</v>
      </c>
      <c r="F87" s="1235" t="s">
        <v>6640</v>
      </c>
      <c r="G87" s="1235" t="s">
        <v>6599</v>
      </c>
      <c r="H87" s="1235" t="s">
        <v>6413</v>
      </c>
      <c r="I87" s="1235" t="s">
        <v>6433</v>
      </c>
      <c r="J87" s="1235">
        <v>83</v>
      </c>
      <c r="K87" s="1235">
        <v>206.73</v>
      </c>
      <c r="L87" s="1235">
        <v>25000</v>
      </c>
    </row>
    <row r="88" spans="1:12">
      <c r="A88" s="3486">
        <v>45037.333831018521</v>
      </c>
      <c r="B88" s="1235" t="s">
        <v>6577</v>
      </c>
      <c r="C88" s="1235" t="s">
        <v>633</v>
      </c>
      <c r="D88" s="1235" t="s">
        <v>633</v>
      </c>
      <c r="E88" s="1235">
        <v>11</v>
      </c>
      <c r="F88" s="1235" t="s">
        <v>6583</v>
      </c>
      <c r="G88" s="1235" t="s">
        <v>6579</v>
      </c>
      <c r="H88" s="1235" t="s">
        <v>6413</v>
      </c>
      <c r="I88" s="1235" t="s">
        <v>6414</v>
      </c>
      <c r="J88" s="1235">
        <v>89</v>
      </c>
      <c r="K88" s="1235">
        <v>212.06</v>
      </c>
      <c r="L88" s="1235">
        <v>23800</v>
      </c>
    </row>
    <row r="89" spans="1:12">
      <c r="A89" s="3486">
        <v>45037.333831018521</v>
      </c>
      <c r="B89" s="1235" t="s">
        <v>6577</v>
      </c>
      <c r="C89" s="1235" t="s">
        <v>633</v>
      </c>
      <c r="D89" s="1235" t="s">
        <v>633</v>
      </c>
      <c r="E89" s="1235">
        <v>6</v>
      </c>
      <c r="F89" s="1235" t="s">
        <v>6641</v>
      </c>
      <c r="G89" s="1235" t="s">
        <v>6579</v>
      </c>
      <c r="H89" s="1235" t="s">
        <v>6413</v>
      </c>
      <c r="I89" s="1235" t="s">
        <v>6414</v>
      </c>
      <c r="J89" s="1235">
        <v>88</v>
      </c>
      <c r="K89" s="1235">
        <v>210.11</v>
      </c>
      <c r="L89" s="1235">
        <v>23800</v>
      </c>
    </row>
    <row r="90" spans="1:12">
      <c r="A90" s="3486">
        <v>45037.333831018521</v>
      </c>
      <c r="B90" s="1235" t="s">
        <v>6577</v>
      </c>
      <c r="C90" s="1235" t="s">
        <v>633</v>
      </c>
      <c r="D90" s="1235" t="s">
        <v>633</v>
      </c>
      <c r="E90" s="1235">
        <v>10</v>
      </c>
      <c r="F90" s="1235" t="s">
        <v>6638</v>
      </c>
      <c r="G90" s="1235" t="s">
        <v>6579</v>
      </c>
      <c r="H90" s="1235" t="s">
        <v>6413</v>
      </c>
      <c r="I90" s="1235" t="s">
        <v>6414</v>
      </c>
      <c r="J90" s="1235">
        <v>89</v>
      </c>
      <c r="K90" s="1235">
        <v>212.06</v>
      </c>
      <c r="L90" s="1235">
        <v>23800</v>
      </c>
    </row>
    <row r="91" spans="1:12">
      <c r="A91" s="3486">
        <v>45037.333831018521</v>
      </c>
      <c r="B91" s="1235" t="s">
        <v>6577</v>
      </c>
      <c r="C91" s="1235" t="s">
        <v>633</v>
      </c>
      <c r="D91" s="1235" t="s">
        <v>633</v>
      </c>
      <c r="E91" s="1235">
        <v>7</v>
      </c>
      <c r="F91" s="1235" t="s">
        <v>6622</v>
      </c>
      <c r="G91" s="1235" t="s">
        <v>6579</v>
      </c>
      <c r="H91" s="1235" t="s">
        <v>6413</v>
      </c>
      <c r="I91" s="1235" t="s">
        <v>6414</v>
      </c>
      <c r="J91" s="1235">
        <v>89</v>
      </c>
      <c r="K91" s="1235">
        <v>212.06</v>
      </c>
      <c r="L91" s="1235">
        <v>23800</v>
      </c>
    </row>
    <row r="92" spans="1:12">
      <c r="A92" s="3486">
        <v>45037.333831018521</v>
      </c>
      <c r="B92" s="1235" t="s">
        <v>6577</v>
      </c>
      <c r="C92" s="1235" t="s">
        <v>633</v>
      </c>
      <c r="D92" s="1235" t="s">
        <v>633</v>
      </c>
      <c r="E92" s="1235">
        <v>8</v>
      </c>
      <c r="F92" s="1235" t="s">
        <v>6615</v>
      </c>
      <c r="G92" s="1235" t="s">
        <v>6579</v>
      </c>
      <c r="H92" s="1235" t="s">
        <v>6413</v>
      </c>
      <c r="I92" s="1235" t="s">
        <v>6414</v>
      </c>
      <c r="J92" s="1235">
        <v>88</v>
      </c>
      <c r="K92" s="1235">
        <v>210.11</v>
      </c>
      <c r="L92" s="1235">
        <v>23800</v>
      </c>
    </row>
    <row r="93" spans="1:12">
      <c r="A93" s="3486">
        <v>45037.333831018521</v>
      </c>
      <c r="B93" s="1235" t="s">
        <v>6577</v>
      </c>
      <c r="C93" s="1235" t="s">
        <v>633</v>
      </c>
      <c r="D93" s="1235" t="s">
        <v>633</v>
      </c>
      <c r="E93" s="1235">
        <v>2</v>
      </c>
      <c r="F93" s="1235" t="s">
        <v>6614</v>
      </c>
      <c r="G93" s="1235" t="s">
        <v>6579</v>
      </c>
      <c r="H93" s="1235" t="s">
        <v>6413</v>
      </c>
      <c r="I93" s="1235" t="s">
        <v>6414</v>
      </c>
      <c r="J93" s="1235">
        <v>88</v>
      </c>
      <c r="K93" s="1235">
        <v>210.11</v>
      </c>
      <c r="L93" s="1235">
        <v>23800</v>
      </c>
    </row>
    <row r="94" spans="1:12">
      <c r="A94" s="3486">
        <v>45037.333831018521</v>
      </c>
      <c r="B94" s="1235" t="s">
        <v>6577</v>
      </c>
      <c r="C94" s="1235" t="s">
        <v>633</v>
      </c>
      <c r="D94" s="1235" t="s">
        <v>633</v>
      </c>
      <c r="E94" s="1235">
        <v>11</v>
      </c>
      <c r="F94" s="1235" t="s">
        <v>6630</v>
      </c>
      <c r="G94" s="1235" t="s">
        <v>6579</v>
      </c>
      <c r="H94" s="1235" t="s">
        <v>6413</v>
      </c>
      <c r="I94" s="1235" t="s">
        <v>6414</v>
      </c>
      <c r="J94" s="1235">
        <v>88</v>
      </c>
      <c r="K94" s="1235">
        <v>210.11</v>
      </c>
      <c r="L94" s="1235">
        <v>23800</v>
      </c>
    </row>
    <row r="95" spans="1:12">
      <c r="A95" s="3486">
        <v>45037.333831018521</v>
      </c>
      <c r="B95" s="1235" t="s">
        <v>6629</v>
      </c>
      <c r="C95" s="1235" t="s">
        <v>633</v>
      </c>
      <c r="D95" s="1235" t="s">
        <v>633</v>
      </c>
      <c r="E95" s="1235">
        <v>10</v>
      </c>
      <c r="F95" s="1235" t="s">
        <v>6642</v>
      </c>
      <c r="G95" s="1235" t="s">
        <v>6599</v>
      </c>
      <c r="H95" s="1235" t="s">
        <v>6413</v>
      </c>
      <c r="I95" s="1235" t="s">
        <v>6414</v>
      </c>
      <c r="J95" s="1235">
        <v>88</v>
      </c>
      <c r="K95" s="1235">
        <v>219.18</v>
      </c>
      <c r="L95" s="1235">
        <v>25000</v>
      </c>
    </row>
    <row r="96" spans="1:12">
      <c r="A96" s="3486">
        <v>45037.333831018521</v>
      </c>
      <c r="B96" s="1235" t="s">
        <v>6577</v>
      </c>
      <c r="C96" s="1235" t="s">
        <v>633</v>
      </c>
      <c r="D96" s="1235" t="s">
        <v>633</v>
      </c>
      <c r="E96" s="1235">
        <v>3</v>
      </c>
      <c r="F96" s="1235" t="s">
        <v>6591</v>
      </c>
      <c r="G96" s="1235" t="s">
        <v>6579</v>
      </c>
      <c r="H96" s="1235" t="s">
        <v>6413</v>
      </c>
      <c r="I96" s="1235" t="s">
        <v>6414</v>
      </c>
      <c r="J96" s="1235">
        <v>88</v>
      </c>
      <c r="K96" s="1235">
        <v>210.11</v>
      </c>
      <c r="L96" s="1235">
        <v>23800</v>
      </c>
    </row>
    <row r="97" spans="1:12">
      <c r="A97" s="3486">
        <v>45037.333831018521</v>
      </c>
      <c r="B97" s="1235" t="s">
        <v>6577</v>
      </c>
      <c r="C97" s="1235" t="s">
        <v>633</v>
      </c>
      <c r="D97" s="1235" t="s">
        <v>633</v>
      </c>
      <c r="E97" s="1235">
        <v>11</v>
      </c>
      <c r="F97" s="1235" t="s">
        <v>6640</v>
      </c>
      <c r="G97" s="1235" t="s">
        <v>6579</v>
      </c>
      <c r="H97" s="1235" t="s">
        <v>6413</v>
      </c>
      <c r="I97" s="1235" t="s">
        <v>6414</v>
      </c>
      <c r="J97" s="1235">
        <v>89</v>
      </c>
      <c r="K97" s="1235">
        <v>212.06</v>
      </c>
      <c r="L97" s="1235">
        <v>23800</v>
      </c>
    </row>
    <row r="98" spans="1:12">
      <c r="A98" s="3486">
        <v>45037.333831018521</v>
      </c>
      <c r="B98" s="1235" t="s">
        <v>6577</v>
      </c>
      <c r="C98" s="1235" t="s">
        <v>633</v>
      </c>
      <c r="D98" s="1235" t="s">
        <v>633</v>
      </c>
      <c r="E98" s="1235">
        <v>7</v>
      </c>
      <c r="F98" s="1235" t="s">
        <v>6611</v>
      </c>
      <c r="G98" s="1235" t="s">
        <v>6579</v>
      </c>
      <c r="H98" s="1235" t="s">
        <v>6413</v>
      </c>
      <c r="I98" s="1235" t="s">
        <v>6414</v>
      </c>
      <c r="J98" s="1235">
        <v>89</v>
      </c>
      <c r="K98" s="1235">
        <v>212.06</v>
      </c>
      <c r="L98" s="1235">
        <v>23800</v>
      </c>
    </row>
    <row r="99" spans="1:12">
      <c r="A99" s="3486">
        <v>45037.333831018521</v>
      </c>
      <c r="B99" s="1235" t="s">
        <v>6577</v>
      </c>
      <c r="C99" s="1235" t="s">
        <v>633</v>
      </c>
      <c r="D99" s="1235" t="s">
        <v>633</v>
      </c>
      <c r="E99" s="1235">
        <v>8</v>
      </c>
      <c r="F99" s="1235" t="s">
        <v>6589</v>
      </c>
      <c r="G99" s="1235" t="s">
        <v>6579</v>
      </c>
      <c r="H99" s="1235" t="s">
        <v>6413</v>
      </c>
      <c r="I99" s="1235" t="s">
        <v>6414</v>
      </c>
      <c r="J99" s="1235">
        <v>89</v>
      </c>
      <c r="K99" s="1235">
        <v>212.06</v>
      </c>
      <c r="L99" s="1235">
        <v>23800</v>
      </c>
    </row>
    <row r="100" spans="1:12">
      <c r="A100" s="3486">
        <v>45037.333831018521</v>
      </c>
      <c r="B100" s="1235" t="s">
        <v>6577</v>
      </c>
      <c r="C100" s="1235" t="s">
        <v>633</v>
      </c>
      <c r="D100" s="1235" t="s">
        <v>633</v>
      </c>
      <c r="E100" s="1235">
        <v>12</v>
      </c>
      <c r="F100" s="1235" t="s">
        <v>6643</v>
      </c>
      <c r="G100" s="1235" t="s">
        <v>6579</v>
      </c>
      <c r="H100" s="1235" t="s">
        <v>6413</v>
      </c>
      <c r="I100" s="1235" t="s">
        <v>6414</v>
      </c>
      <c r="J100" s="1235">
        <v>88</v>
      </c>
      <c r="K100" s="1235">
        <v>210.11</v>
      </c>
      <c r="L100" s="1235">
        <v>23800</v>
      </c>
    </row>
    <row r="101" spans="1:12">
      <c r="A101" s="3486">
        <v>45037.333831018521</v>
      </c>
      <c r="B101" s="1235" t="s">
        <v>6577</v>
      </c>
      <c r="C101" s="1235" t="s">
        <v>633</v>
      </c>
      <c r="D101" s="1235" t="s">
        <v>633</v>
      </c>
      <c r="E101" s="1235">
        <v>1</v>
      </c>
      <c r="F101" s="1235" t="s">
        <v>6590</v>
      </c>
      <c r="G101" s="1235" t="s">
        <v>6579</v>
      </c>
      <c r="H101" s="1235" t="s">
        <v>6413</v>
      </c>
      <c r="I101" s="1235" t="s">
        <v>6438</v>
      </c>
      <c r="J101" s="1235">
        <v>56</v>
      </c>
      <c r="K101" s="1235">
        <v>133.63999999999999</v>
      </c>
      <c r="L101" s="1235">
        <v>23800</v>
      </c>
    </row>
    <row r="102" spans="1:12">
      <c r="L102" s="1235">
        <f>AVERAGE(L2:L101)</f>
        <v>24134</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72" t="str">
        <f>IF(项目基本情况!B9="房地产市场价值","估价结果一览表","结果表-2")</f>
        <v>估价结果一览表</v>
      </c>
      <c r="B1" s="3572"/>
      <c r="C1" s="3572"/>
      <c r="D1" s="3572"/>
      <c r="E1" s="3572"/>
      <c r="F1" s="3572"/>
      <c r="G1" s="3572"/>
      <c r="H1" s="3572"/>
      <c r="I1" s="3572"/>
    </row>
    <row r="2" spans="1:9" ht="30" customHeight="1" thickTop="1">
      <c r="A2" s="3573" t="s">
        <v>928</v>
      </c>
      <c r="B2" s="3573" t="s">
        <v>929</v>
      </c>
      <c r="C2" s="3573" t="s">
        <v>930</v>
      </c>
      <c r="D2" s="3573" t="str">
        <f>'结果表-洋房'!D116</f>
        <v>出让国有建设用地使用权价值</v>
      </c>
      <c r="E2" s="3573"/>
      <c r="F2" s="3573" t="str">
        <f>'结果表-洋房'!F116</f>
        <v>在建建筑物价值</v>
      </c>
      <c r="G2" s="3573"/>
      <c r="H2" s="3573" t="str">
        <f>IF(项目基本情况!B9="房地产市场价值","房地产市场价值","房地产价值")</f>
        <v>房地产市场价值</v>
      </c>
      <c r="I2" s="3573"/>
    </row>
    <row r="3" spans="1:9" ht="15">
      <c r="A3" s="3574"/>
      <c r="B3" s="3574"/>
      <c r="C3" s="3574"/>
      <c r="D3" s="850" t="s">
        <v>925</v>
      </c>
      <c r="E3" s="850" t="s">
        <v>931</v>
      </c>
      <c r="F3" s="850" t="s">
        <v>925</v>
      </c>
      <c r="G3" s="850" t="s">
        <v>926</v>
      </c>
      <c r="H3" s="850" t="s">
        <v>925</v>
      </c>
      <c r="I3" s="850" t="s">
        <v>926</v>
      </c>
    </row>
    <row r="4" spans="1:9" ht="15">
      <c r="A4" s="1501" t="str">
        <f>项目基本情况!S2</f>
        <v>北京市房地产</v>
      </c>
      <c r="B4" s="850">
        <f>项目基本情况!C17</f>
        <v>178258</v>
      </c>
      <c r="C4" s="850">
        <f>项目基本情况!C18</f>
        <v>111411.25</v>
      </c>
      <c r="D4" s="850" t="e">
        <f ca="1">'结果表-洋房'!D118</f>
        <v>#REF!</v>
      </c>
      <c r="E4" s="850" t="e">
        <f ca="1">'结果表-洋房'!E118</f>
        <v>#REF!</v>
      </c>
      <c r="F4" s="850" t="e">
        <f ca="1">'结果表-洋房'!F118</f>
        <v>#REF!</v>
      </c>
      <c r="G4" s="850" t="e">
        <f ca="1">'结果表-洋房'!G118</f>
        <v>#REF!</v>
      </c>
      <c r="H4" s="850" t="e">
        <f ca="1">'结果表-洋房'!H118</f>
        <v>#REF!</v>
      </c>
      <c r="I4" s="850" t="e">
        <f ca="1">'结果表-洋房'!I118</f>
        <v>#REF!</v>
      </c>
    </row>
    <row r="5" spans="1:9" ht="30" customHeight="1">
      <c r="A5" s="3574" t="s">
        <v>927</v>
      </c>
      <c r="B5" s="3574"/>
      <c r="C5" s="3574"/>
      <c r="D5" s="3574" t="e">
        <f ca="1">'结果表-洋房'!D119</f>
        <v>#REF!</v>
      </c>
      <c r="E5" s="3574"/>
      <c r="F5" s="3574" t="e">
        <f ca="1">'结果表-洋房'!F119</f>
        <v>#REF!</v>
      </c>
      <c r="G5" s="3574"/>
      <c r="H5" s="3574" t="e">
        <f ca="1">'结果表-洋房'!H119</f>
        <v>#REF!</v>
      </c>
      <c r="I5" s="3574"/>
    </row>
    <row r="6" spans="1:9" ht="15.75">
      <c r="A6" s="3575" t="str">
        <f>'结果表-洋房'!A120</f>
        <v/>
      </c>
      <c r="B6" s="3575"/>
      <c r="C6" s="3575"/>
      <c r="D6" s="3575">
        <f>'结果表-洋房'!D120</f>
        <v>0</v>
      </c>
      <c r="E6" s="3575"/>
      <c r="F6" s="3575"/>
      <c r="G6" s="3575"/>
      <c r="H6" s="3575"/>
      <c r="I6" s="3575"/>
    </row>
    <row r="7" spans="1:9" ht="15">
      <c r="A7" s="3574" t="s">
        <v>927</v>
      </c>
      <c r="B7" s="3574"/>
      <c r="C7" s="3574"/>
      <c r="D7" s="3576" t="str">
        <f>'结果表-洋房'!D121</f>
        <v>零元整</v>
      </c>
      <c r="E7" s="3577"/>
      <c r="F7" s="3577"/>
      <c r="G7" s="3577"/>
      <c r="H7" s="3577"/>
      <c r="I7" s="3578"/>
    </row>
    <row r="8" spans="1:9" ht="15.75">
      <c r="A8" s="3575" t="str">
        <f>'结果表-洋房'!A122</f>
        <v/>
      </c>
      <c r="B8" s="3575"/>
      <c r="C8" s="3575"/>
      <c r="D8" s="3575" t="e">
        <f ca="1">'结果表-洋房'!D122</f>
        <v>#REF!</v>
      </c>
      <c r="E8" s="3575"/>
      <c r="F8" s="3575"/>
      <c r="G8" s="3575"/>
      <c r="H8" s="3575"/>
      <c r="I8" s="3575"/>
    </row>
    <row r="9" spans="1:9" ht="15">
      <c r="A9" s="3574" t="s">
        <v>927</v>
      </c>
      <c r="B9" s="3574"/>
      <c r="C9" s="3574"/>
      <c r="D9" s="3574" t="e">
        <f ca="1">'结果表-洋房'!D123</f>
        <v>#REF!</v>
      </c>
      <c r="E9" s="3574"/>
      <c r="F9" s="3574"/>
      <c r="G9" s="3574"/>
      <c r="H9" s="3574"/>
      <c r="I9" s="3574"/>
    </row>
    <row r="10" spans="1:9" ht="15.75">
      <c r="A10" s="3575" t="str">
        <f>'结果表-洋房'!A124</f>
        <v/>
      </c>
      <c r="B10" s="3575"/>
      <c r="C10" s="3575"/>
      <c r="D10" s="3575" t="str">
        <f>'结果表-洋房'!D124</f>
        <v>——</v>
      </c>
      <c r="E10" s="3575"/>
      <c r="F10" s="3575"/>
      <c r="G10" s="3575"/>
      <c r="H10" s="3575"/>
      <c r="I10" s="3575"/>
    </row>
    <row r="11" spans="1:9" ht="15">
      <c r="A11" s="3574" t="s">
        <v>927</v>
      </c>
      <c r="B11" s="3574"/>
      <c r="C11" s="3574"/>
      <c r="D11" s="3574" t="e">
        <f>'结果表-洋房'!D125</f>
        <v>#VALUE!</v>
      </c>
      <c r="E11" s="3574"/>
      <c r="F11" s="3574"/>
      <c r="G11" s="3574"/>
      <c r="H11" s="3574"/>
      <c r="I11" s="3574"/>
    </row>
    <row r="12" spans="1:9" ht="15.75">
      <c r="A12" s="3575" t="str">
        <f>'结果表-洋房'!A126</f>
        <v/>
      </c>
      <c r="B12" s="3575"/>
      <c r="C12" s="3575"/>
      <c r="D12" s="3575" t="str">
        <f>'结果表-洋房'!D126</f>
        <v>——</v>
      </c>
      <c r="E12" s="3575"/>
      <c r="F12" s="3575"/>
      <c r="G12" s="3575"/>
      <c r="H12" s="3575"/>
      <c r="I12" s="3575"/>
    </row>
    <row r="13" spans="1:9" ht="15.75" thickBot="1">
      <c r="A13" s="3579" t="s">
        <v>927</v>
      </c>
      <c r="B13" s="3579"/>
      <c r="C13" s="3579"/>
      <c r="D13" s="3579" t="e">
        <f>'结果表-洋房'!D127</f>
        <v>#VALUE!</v>
      </c>
      <c r="E13" s="3579"/>
      <c r="F13" s="3579"/>
      <c r="G13" s="3579"/>
      <c r="H13" s="3579"/>
      <c r="I13" s="3579"/>
    </row>
    <row r="14" spans="1:9" ht="15" thickTop="1">
      <c r="A14" s="3580" t="s">
        <v>932</v>
      </c>
      <c r="B14" s="3580"/>
      <c r="C14" s="3580"/>
      <c r="D14" s="3580"/>
      <c r="E14" s="3580"/>
      <c r="F14" s="3580"/>
      <c r="G14" s="3580"/>
      <c r="H14" s="3580"/>
      <c r="I14" s="358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1766</v>
      </c>
      <c r="C1" s="1234" t="s">
        <v>1662</v>
      </c>
      <c r="D1" s="1221"/>
      <c r="E1" s="3421"/>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1464</v>
      </c>
      <c r="B3" s="557">
        <f>IF(C2="——",C49,ROUND(B2*10000/D3,0))</f>
        <v>0</v>
      </c>
      <c r="C3" s="353" t="s">
        <v>1768</v>
      </c>
      <c r="D3" s="352">
        <f>IF(D1="",'数据-汇总表'!E3,SUMIF('数据-汇总表'!$C19:$C33,D1,'数据-汇总表'!$E19:$E33))</f>
        <v>178258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1769</v>
      </c>
      <c r="B4" s="355"/>
      <c r="C4" s="3652" t="s">
        <v>1770</v>
      </c>
      <c r="D4" s="3653"/>
      <c r="E4" s="3654" t="s">
        <v>1771</v>
      </c>
      <c r="F4" s="3655"/>
      <c r="G4" s="3652" t="s">
        <v>1772</v>
      </c>
      <c r="H4" s="3653"/>
      <c r="I4" s="3652" t="s">
        <v>1773</v>
      </c>
      <c r="J4" s="3653"/>
      <c r="K4" s="558" t="s">
        <v>1774</v>
      </c>
      <c r="L4" s="2711"/>
      <c r="M4" s="2712"/>
      <c r="N4" s="2712"/>
      <c r="O4" s="2712"/>
      <c r="P4" s="3656" t="s">
        <v>1775</v>
      </c>
      <c r="Q4" s="3657"/>
      <c r="R4" s="3662" t="s">
        <v>1771</v>
      </c>
      <c r="S4" s="3663"/>
      <c r="T4" s="3662" t="s">
        <v>1772</v>
      </c>
      <c r="U4" s="3663"/>
      <c r="V4" s="3676" t="s">
        <v>1773</v>
      </c>
      <c r="W4" s="3676"/>
      <c r="X4" s="1351"/>
      <c r="Y4" s="3662" t="s">
        <v>1775</v>
      </c>
      <c r="Z4" s="3663"/>
      <c r="AA4" s="3649" t="s">
        <v>1771</v>
      </c>
      <c r="AB4" s="3676" t="s">
        <v>1772</v>
      </c>
      <c r="AC4" s="3649" t="s">
        <v>1773</v>
      </c>
    </row>
    <row r="5" spans="1:29" ht="15">
      <c r="A5" s="357"/>
      <c r="B5" s="358"/>
      <c r="C5" s="3666" t="s">
        <v>1673</v>
      </c>
      <c r="D5" s="3667"/>
      <c r="E5" s="3668" t="s">
        <v>1674</v>
      </c>
      <c r="F5" s="3669"/>
      <c r="G5" s="3666" t="s">
        <v>1675</v>
      </c>
      <c r="H5" s="3667"/>
      <c r="I5" s="3666" t="s">
        <v>1676</v>
      </c>
      <c r="J5" s="3667"/>
      <c r="K5" s="558"/>
      <c r="L5" s="2711"/>
      <c r="M5" s="2712"/>
      <c r="N5" s="2712"/>
      <c r="O5" s="2712"/>
      <c r="P5" s="3658"/>
      <c r="Q5" s="3659"/>
      <c r="R5" s="3664"/>
      <c r="S5" s="3665"/>
      <c r="T5" s="3664"/>
      <c r="U5" s="3665"/>
      <c r="V5" s="3676"/>
      <c r="W5" s="3676"/>
      <c r="X5" s="1351"/>
      <c r="Y5" s="3664"/>
      <c r="Z5" s="3665"/>
      <c r="AA5" s="3650"/>
      <c r="AB5" s="3676"/>
      <c r="AC5" s="3650"/>
    </row>
    <row r="6" spans="1:29" ht="15.75" thickBot="1">
      <c r="A6" s="359"/>
      <c r="B6" s="360"/>
      <c r="C6" s="3670" t="s">
        <v>1677</v>
      </c>
      <c r="D6" s="3671"/>
      <c r="E6" s="3672" t="s">
        <v>1677</v>
      </c>
      <c r="F6" s="3673"/>
      <c r="G6" s="3670" t="s">
        <v>1677</v>
      </c>
      <c r="H6" s="3671"/>
      <c r="I6" s="3670" t="s">
        <v>1677</v>
      </c>
      <c r="J6" s="3671"/>
      <c r="K6" s="558" t="s">
        <v>1678</v>
      </c>
      <c r="L6" s="2711"/>
      <c r="M6" s="2712"/>
      <c r="N6" s="2712"/>
      <c r="O6" s="2712"/>
      <c r="P6" s="3660"/>
      <c r="Q6" s="3661"/>
      <c r="R6" s="3664"/>
      <c r="S6" s="3665"/>
      <c r="T6" s="3674"/>
      <c r="U6" s="3675"/>
      <c r="V6" s="3676"/>
      <c r="W6" s="3676"/>
      <c r="X6" s="1351"/>
      <c r="Y6" s="3674"/>
      <c r="Z6" s="3675"/>
      <c r="AA6" s="3651"/>
      <c r="AB6" s="3676"/>
      <c r="AC6" s="3651"/>
    </row>
    <row r="7" spans="1:29" s="107" customFormat="1" ht="15.75" thickBot="1">
      <c r="A7" s="361" t="s">
        <v>1679</v>
      </c>
      <c r="B7" s="362"/>
      <c r="C7" s="363">
        <f>'数据-取费表'!B2</f>
        <v>45159</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77" t="s">
        <v>1683</v>
      </c>
      <c r="Q8" s="3679"/>
      <c r="R8" s="699" t="s">
        <v>14</v>
      </c>
      <c r="S8" s="700">
        <f t="shared" si="0"/>
        <v>100</v>
      </c>
      <c r="T8" s="699" t="s">
        <v>14</v>
      </c>
      <c r="U8" s="700">
        <f t="shared" si="1"/>
        <v>100</v>
      </c>
      <c r="V8" s="699" t="s">
        <v>14</v>
      </c>
      <c r="W8" s="700">
        <f t="shared" si="2"/>
        <v>100</v>
      </c>
      <c r="X8" s="701"/>
      <c r="Y8" s="3677" t="s">
        <v>1683</v>
      </c>
      <c r="Z8" s="3679"/>
      <c r="AA8" s="702">
        <f t="shared" ref="AA8:AA46" si="3">D8/F8</f>
        <v>1</v>
      </c>
      <c r="AB8" s="702">
        <f t="shared" ref="AB8:AB46" si="4">D8/H8</f>
        <v>1</v>
      </c>
      <c r="AC8" s="702">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80"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5"/>
      <c r="M10" s="2716"/>
      <c r="N10" s="2716"/>
      <c r="O10" s="2716"/>
      <c r="P10" s="3680"/>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80"/>
      <c r="Q11" s="1339" t="str">
        <f t="shared" si="6"/>
        <v>容积率</v>
      </c>
      <c r="R11" s="699" t="s">
        <v>14</v>
      </c>
      <c r="S11" s="700" t="e">
        <f t="shared" si="0"/>
        <v>#N/A</v>
      </c>
      <c r="T11" s="699" t="s">
        <v>14</v>
      </c>
      <c r="U11" s="700" t="e">
        <f t="shared" si="1"/>
        <v>#N/A</v>
      </c>
      <c r="V11" s="699" t="s">
        <v>14</v>
      </c>
      <c r="W11" s="700" t="e">
        <f t="shared" si="2"/>
        <v>#N/A</v>
      </c>
      <c r="X11" s="701"/>
      <c r="Y11" s="3681"/>
      <c r="Z11" s="52" t="str">
        <f t="shared" si="7"/>
        <v>容积率</v>
      </c>
      <c r="AA11" s="702" t="e">
        <f t="shared" si="3"/>
        <v>#N/A</v>
      </c>
      <c r="AB11" s="702" t="e">
        <f t="shared" si="4"/>
        <v>#N/A</v>
      </c>
      <c r="AC11" s="702" t="e">
        <f t="shared" si="5"/>
        <v>#N/A</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80"/>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80"/>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80"/>
      <c r="Q14" s="1339">
        <f t="shared" si="6"/>
        <v>111</v>
      </c>
      <c r="R14" s="699" t="s">
        <v>14</v>
      </c>
      <c r="S14" s="700">
        <f t="shared" si="0"/>
        <v>100</v>
      </c>
      <c r="T14" s="699" t="s">
        <v>14</v>
      </c>
      <c r="U14" s="700">
        <f t="shared" si="1"/>
        <v>100</v>
      </c>
      <c r="V14" s="699" t="s">
        <v>14</v>
      </c>
      <c r="W14" s="700">
        <f t="shared" si="2"/>
        <v>100</v>
      </c>
      <c r="X14" s="701"/>
      <c r="Y14" s="3681"/>
      <c r="Z14" s="52">
        <f t="shared" si="7"/>
        <v>111</v>
      </c>
      <c r="AA14" s="702">
        <f t="shared" si="3"/>
        <v>1</v>
      </c>
      <c r="AB14" s="702">
        <f t="shared" si="4"/>
        <v>1</v>
      </c>
      <c r="AC14" s="702">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82" t="s">
        <v>1691</v>
      </c>
      <c r="Q15" s="1348" t="str">
        <f t="shared" si="6"/>
        <v>商业繁华度</v>
      </c>
      <c r="R15" s="703" t="s">
        <v>14</v>
      </c>
      <c r="S15" s="704">
        <f t="shared" si="0"/>
        <v>100</v>
      </c>
      <c r="T15" s="703" t="s">
        <v>14</v>
      </c>
      <c r="U15" s="704">
        <f t="shared" si="1"/>
        <v>100</v>
      </c>
      <c r="V15" s="703" t="s">
        <v>14</v>
      </c>
      <c r="W15" s="704">
        <f t="shared" si="2"/>
        <v>100</v>
      </c>
      <c r="X15" s="1351"/>
      <c r="Y15" s="3684"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683"/>
      <c r="Q16" s="1348"/>
      <c r="R16" s="703"/>
      <c r="S16" s="704"/>
      <c r="T16" s="703"/>
      <c r="U16" s="704"/>
      <c r="V16" s="703"/>
      <c r="W16" s="704"/>
      <c r="X16" s="1351"/>
      <c r="Y16" s="3685"/>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83"/>
      <c r="Q17" s="1348" t="str">
        <f>B17</f>
        <v>交通便捷度</v>
      </c>
      <c r="R17" s="703" t="s">
        <v>14</v>
      </c>
      <c r="S17" s="704">
        <f>F17</f>
        <v>100</v>
      </c>
      <c r="T17" s="703" t="s">
        <v>14</v>
      </c>
      <c r="U17" s="704">
        <f>H17</f>
        <v>100</v>
      </c>
      <c r="V17" s="703" t="s">
        <v>14</v>
      </c>
      <c r="W17" s="704">
        <f>J17</f>
        <v>100</v>
      </c>
      <c r="X17" s="1351"/>
      <c r="Y17" s="368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683"/>
      <c r="Q18" s="1348"/>
      <c r="R18" s="703"/>
      <c r="S18" s="704"/>
      <c r="T18" s="703"/>
      <c r="U18" s="704"/>
      <c r="V18" s="703"/>
      <c r="W18" s="704"/>
      <c r="X18" s="1351"/>
      <c r="Y18" s="3685"/>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83"/>
      <c r="Q19" s="1348" t="str">
        <f>B19</f>
        <v>公共配套设施</v>
      </c>
      <c r="R19" s="703" t="s">
        <v>14</v>
      </c>
      <c r="S19" s="704">
        <f>F19</f>
        <v>100</v>
      </c>
      <c r="T19" s="703" t="s">
        <v>14</v>
      </c>
      <c r="U19" s="704">
        <f>H19</f>
        <v>100</v>
      </c>
      <c r="V19" s="703" t="s">
        <v>14</v>
      </c>
      <c r="W19" s="704">
        <f>J19</f>
        <v>100</v>
      </c>
      <c r="X19" s="1351"/>
      <c r="Y19" s="368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683"/>
      <c r="Q20" s="1348"/>
      <c r="R20" s="703"/>
      <c r="S20" s="704"/>
      <c r="T20" s="703"/>
      <c r="U20" s="704"/>
      <c r="V20" s="703"/>
      <c r="W20" s="704"/>
      <c r="X20" s="1351"/>
      <c r="Y20" s="3685"/>
      <c r="Z20" s="1352"/>
      <c r="AA20" s="1349">
        <v>1</v>
      </c>
      <c r="AB20" s="1349">
        <v>1</v>
      </c>
      <c r="AC20" s="1349">
        <v>1</v>
      </c>
    </row>
    <row r="21" spans="1:29" ht="28.5">
      <c r="A21" s="378"/>
      <c r="B21" s="1127"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83"/>
      <c r="Q21" s="1348" t="str">
        <f>B21</f>
        <v>基础设施水平</v>
      </c>
      <c r="R21" s="703" t="s">
        <v>14</v>
      </c>
      <c r="S21" s="704">
        <f>F21</f>
        <v>100</v>
      </c>
      <c r="T21" s="703" t="s">
        <v>14</v>
      </c>
      <c r="U21" s="704">
        <f>H21</f>
        <v>100</v>
      </c>
      <c r="V21" s="703" t="s">
        <v>14</v>
      </c>
      <c r="W21" s="704">
        <f>J21</f>
        <v>100</v>
      </c>
      <c r="X21" s="1351"/>
      <c r="Y21" s="368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683"/>
      <c r="Q22" s="1348"/>
      <c r="R22" s="703"/>
      <c r="S22" s="704"/>
      <c r="T22" s="703"/>
      <c r="U22" s="704"/>
      <c r="V22" s="703"/>
      <c r="W22" s="704"/>
      <c r="X22" s="1351"/>
      <c r="Y22" s="3685"/>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83"/>
      <c r="Q23" s="1348" t="str">
        <f>B23</f>
        <v>自然及人文环境</v>
      </c>
      <c r="R23" s="703" t="s">
        <v>14</v>
      </c>
      <c r="S23" s="704">
        <f>F23</f>
        <v>100</v>
      </c>
      <c r="T23" s="703" t="s">
        <v>14</v>
      </c>
      <c r="U23" s="704">
        <f>H23</f>
        <v>100</v>
      </c>
      <c r="V23" s="703" t="s">
        <v>14</v>
      </c>
      <c r="W23" s="704">
        <f>J23</f>
        <v>100</v>
      </c>
      <c r="X23" s="1351"/>
      <c r="Y23" s="3685"/>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683"/>
      <c r="Q24" s="1348"/>
      <c r="R24" s="703"/>
      <c r="S24" s="704"/>
      <c r="T24" s="703"/>
      <c r="U24" s="704"/>
      <c r="V24" s="703"/>
      <c r="W24" s="704"/>
      <c r="X24" s="1351"/>
      <c r="Y24" s="3685"/>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83"/>
      <c r="Q25" s="1348" t="str">
        <f t="shared" ref="Q25:Q46" si="11">B25</f>
        <v>临街状况</v>
      </c>
      <c r="R25" s="703" t="s">
        <v>14</v>
      </c>
      <c r="S25" s="704">
        <f>F25</f>
        <v>100</v>
      </c>
      <c r="T25" s="703" t="s">
        <v>14</v>
      </c>
      <c r="U25" s="704">
        <f>H25</f>
        <v>100</v>
      </c>
      <c r="V25" s="703" t="s">
        <v>14</v>
      </c>
      <c r="W25" s="704">
        <f>J25</f>
        <v>100</v>
      </c>
      <c r="X25" s="1351"/>
      <c r="Y25" s="3685"/>
      <c r="Z25" s="1352" t="str">
        <f>Q25</f>
        <v>临街状况</v>
      </c>
      <c r="AA25" s="1349">
        <f t="shared" si="3"/>
        <v>1</v>
      </c>
      <c r="AB25" s="1349">
        <f t="shared" si="4"/>
        <v>1</v>
      </c>
      <c r="AC25" s="1349">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83"/>
      <c r="Q26" s="1348" t="str">
        <f t="shared" si="11"/>
        <v>平面位置/可视性</v>
      </c>
      <c r="R26" s="703" t="s">
        <v>14</v>
      </c>
      <c r="S26" s="704">
        <f>F26</f>
        <v>100</v>
      </c>
      <c r="T26" s="703" t="s">
        <v>14</v>
      </c>
      <c r="U26" s="704">
        <f>H26</f>
        <v>100</v>
      </c>
      <c r="V26" s="703" t="s">
        <v>14</v>
      </c>
      <c r="W26" s="704">
        <f>J26</f>
        <v>100</v>
      </c>
      <c r="X26" s="1351"/>
      <c r="Y26" s="3685"/>
      <c r="Z26" s="1352" t="str">
        <f>Q26</f>
        <v>平面位置/可视性</v>
      </c>
      <c r="AA26" s="1349">
        <f t="shared" si="3"/>
        <v>1</v>
      </c>
      <c r="AB26" s="1349">
        <f t="shared" si="4"/>
        <v>1</v>
      </c>
      <c r="AC26" s="1349">
        <f t="shared" si="5"/>
        <v>1</v>
      </c>
    </row>
    <row r="27" spans="1:29" s="107"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683"/>
      <c r="Q27" s="1339" t="str">
        <f t="shared" si="11"/>
        <v>人流量</v>
      </c>
      <c r="R27" s="699" t="s">
        <v>14</v>
      </c>
      <c r="S27" s="700">
        <f>F27</f>
        <v>100</v>
      </c>
      <c r="T27" s="699" t="s">
        <v>14</v>
      </c>
      <c r="U27" s="700">
        <f>H27</f>
        <v>100</v>
      </c>
      <c r="V27" s="699" t="s">
        <v>14</v>
      </c>
      <c r="W27" s="700">
        <f>J27</f>
        <v>100</v>
      </c>
      <c r="X27" s="701"/>
      <c r="Y27" s="3685"/>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83"/>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85"/>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83"/>
      <c r="Q29" s="1348">
        <f t="shared" si="11"/>
        <v>111</v>
      </c>
      <c r="R29" s="703" t="s">
        <v>14</v>
      </c>
      <c r="S29" s="704">
        <f t="shared" si="12"/>
        <v>100</v>
      </c>
      <c r="T29" s="703" t="s">
        <v>14</v>
      </c>
      <c r="U29" s="704">
        <f t="shared" si="13"/>
        <v>100</v>
      </c>
      <c r="V29" s="703" t="s">
        <v>14</v>
      </c>
      <c r="W29" s="704">
        <f t="shared" si="14"/>
        <v>100</v>
      </c>
      <c r="X29" s="1351"/>
      <c r="Y29" s="3685"/>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83"/>
      <c r="Q30" s="1348">
        <f t="shared" si="11"/>
        <v>111</v>
      </c>
      <c r="R30" s="703" t="s">
        <v>14</v>
      </c>
      <c r="S30" s="704">
        <f t="shared" si="12"/>
        <v>100</v>
      </c>
      <c r="T30" s="703" t="s">
        <v>14</v>
      </c>
      <c r="U30" s="704">
        <f t="shared" si="13"/>
        <v>100</v>
      </c>
      <c r="V30" s="703" t="s">
        <v>14</v>
      </c>
      <c r="W30" s="704">
        <f t="shared" si="14"/>
        <v>100</v>
      </c>
      <c r="X30" s="1351"/>
      <c r="Y30" s="3685"/>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83"/>
      <c r="Q31" s="1348">
        <f t="shared" si="11"/>
        <v>111</v>
      </c>
      <c r="R31" s="703" t="s">
        <v>14</v>
      </c>
      <c r="S31" s="704">
        <f t="shared" si="12"/>
        <v>100</v>
      </c>
      <c r="T31" s="703" t="s">
        <v>14</v>
      </c>
      <c r="U31" s="704">
        <f t="shared" si="13"/>
        <v>100</v>
      </c>
      <c r="V31" s="703" t="s">
        <v>14</v>
      </c>
      <c r="W31" s="704">
        <f t="shared" si="14"/>
        <v>100</v>
      </c>
      <c r="X31" s="1351"/>
      <c r="Y31" s="3685"/>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686" t="s">
        <v>1696</v>
      </c>
      <c r="Q32" s="1348" t="str">
        <f t="shared" si="11"/>
        <v>商业类型</v>
      </c>
      <c r="R32" s="703" t="s">
        <v>14</v>
      </c>
      <c r="S32" s="704">
        <f t="shared" si="12"/>
        <v>100</v>
      </c>
      <c r="T32" s="703" t="s">
        <v>14</v>
      </c>
      <c r="U32" s="704">
        <f t="shared" si="13"/>
        <v>100</v>
      </c>
      <c r="V32" s="703" t="s">
        <v>14</v>
      </c>
      <c r="W32" s="704">
        <f t="shared" si="14"/>
        <v>100</v>
      </c>
      <c r="X32" s="1351"/>
      <c r="Y32" s="3689" t="s">
        <v>1696</v>
      </c>
      <c r="Z32" s="1352" t="str">
        <f t="shared" si="15"/>
        <v>商业类型</v>
      </c>
      <c r="AA32" s="1349">
        <f t="shared" si="3"/>
        <v>1</v>
      </c>
      <c r="AB32" s="1349">
        <f t="shared" si="4"/>
        <v>1</v>
      </c>
      <c r="AC32" s="1349">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87"/>
      <c r="Q33" s="705" t="str">
        <f t="shared" si="11"/>
        <v>项目建筑规模</v>
      </c>
      <c r="R33" s="706" t="s">
        <v>14</v>
      </c>
      <c r="S33" s="707" t="e">
        <f t="shared" si="12"/>
        <v>#N/A</v>
      </c>
      <c r="T33" s="706" t="s">
        <v>14</v>
      </c>
      <c r="U33" s="707" t="e">
        <f t="shared" si="13"/>
        <v>#N/A</v>
      </c>
      <c r="V33" s="706" t="s">
        <v>14</v>
      </c>
      <c r="W33" s="707" t="e">
        <f t="shared" si="14"/>
        <v>#N/A</v>
      </c>
      <c r="X33" s="708"/>
      <c r="Y33" s="3689"/>
      <c r="Z33" s="709"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687"/>
      <c r="Q34" s="1348" t="str">
        <f t="shared" si="11"/>
        <v>建筑结构</v>
      </c>
      <c r="R34" s="703" t="s">
        <v>14</v>
      </c>
      <c r="S34" s="704">
        <f t="shared" si="12"/>
        <v>100</v>
      </c>
      <c r="T34" s="703" t="s">
        <v>14</v>
      </c>
      <c r="U34" s="704">
        <f t="shared" si="13"/>
        <v>100</v>
      </c>
      <c r="V34" s="703" t="s">
        <v>14</v>
      </c>
      <c r="W34" s="704">
        <f t="shared" si="14"/>
        <v>100</v>
      </c>
      <c r="X34" s="1351"/>
      <c r="Y34" s="3689"/>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687"/>
      <c r="Q35" s="1348" t="str">
        <f t="shared" si="11"/>
        <v>公共部分装修</v>
      </c>
      <c r="R35" s="703" t="s">
        <v>14</v>
      </c>
      <c r="S35" s="704">
        <f t="shared" si="12"/>
        <v>100</v>
      </c>
      <c r="T35" s="703" t="s">
        <v>14</v>
      </c>
      <c r="U35" s="704">
        <f t="shared" si="13"/>
        <v>100</v>
      </c>
      <c r="V35" s="703" t="s">
        <v>14</v>
      </c>
      <c r="W35" s="704">
        <f t="shared" si="14"/>
        <v>100</v>
      </c>
      <c r="X35" s="1351"/>
      <c r="Y35" s="3689"/>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87"/>
      <c r="Q36" s="1348" t="str">
        <f t="shared" si="11"/>
        <v>成新度</v>
      </c>
      <c r="R36" s="703" t="s">
        <v>14</v>
      </c>
      <c r="S36" s="704" t="e">
        <f t="shared" si="12"/>
        <v>#N/A</v>
      </c>
      <c r="T36" s="703" t="s">
        <v>14</v>
      </c>
      <c r="U36" s="704" t="e">
        <f t="shared" si="13"/>
        <v>#N/A</v>
      </c>
      <c r="V36" s="703" t="s">
        <v>14</v>
      </c>
      <c r="W36" s="704" t="e">
        <f t="shared" si="14"/>
        <v>#N/A</v>
      </c>
      <c r="X36" s="1351"/>
      <c r="Y36" s="3689"/>
      <c r="Z36" s="1352" t="str">
        <f t="shared" si="15"/>
        <v>成新度</v>
      </c>
      <c r="AA36" s="1349" t="e">
        <f t="shared" si="3"/>
        <v>#N/A</v>
      </c>
      <c r="AB36" s="1349" t="e">
        <f t="shared" si="4"/>
        <v>#N/A</v>
      </c>
      <c r="AC36" s="1349" t="e">
        <f t="shared" si="5"/>
        <v>#N/A</v>
      </c>
    </row>
    <row r="37" spans="1:29" s="107" customFormat="1" ht="15">
      <c r="A37" s="423"/>
      <c r="B37" s="374" t="s">
        <v>1787</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687"/>
      <c r="Q37" s="1339" t="str">
        <f t="shared" si="11"/>
        <v>市政基础设施</v>
      </c>
      <c r="R37" s="699" t="s">
        <v>14</v>
      </c>
      <c r="S37" s="700">
        <f t="shared" si="12"/>
        <v>100</v>
      </c>
      <c r="T37" s="699" t="s">
        <v>14</v>
      </c>
      <c r="U37" s="700">
        <f t="shared" si="13"/>
        <v>100</v>
      </c>
      <c r="V37" s="699" t="s">
        <v>14</v>
      </c>
      <c r="W37" s="700">
        <f t="shared" si="14"/>
        <v>100</v>
      </c>
      <c r="X37" s="701"/>
      <c r="Y37" s="3689"/>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687" t="s">
        <v>1696</v>
      </c>
      <c r="Q38" s="1348" t="str">
        <f t="shared" si="11"/>
        <v>业态</v>
      </c>
      <c r="R38" s="703" t="s">
        <v>14</v>
      </c>
      <c r="S38" s="704">
        <f t="shared" si="12"/>
        <v>100</v>
      </c>
      <c r="T38" s="703" t="s">
        <v>14</v>
      </c>
      <c r="U38" s="704">
        <f t="shared" si="13"/>
        <v>100</v>
      </c>
      <c r="V38" s="703" t="s">
        <v>14</v>
      </c>
      <c r="W38" s="704">
        <f t="shared" si="14"/>
        <v>100</v>
      </c>
      <c r="X38" s="1351"/>
      <c r="Y38" s="3689"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687"/>
      <c r="Q39" s="1348" t="str">
        <f t="shared" si="11"/>
        <v>层高</v>
      </c>
      <c r="R39" s="703" t="s">
        <v>14</v>
      </c>
      <c r="S39" s="704">
        <f t="shared" si="12"/>
        <v>100</v>
      </c>
      <c r="T39" s="703" t="s">
        <v>14</v>
      </c>
      <c r="U39" s="704">
        <f t="shared" si="13"/>
        <v>100</v>
      </c>
      <c r="V39" s="703" t="s">
        <v>14</v>
      </c>
      <c r="W39" s="704">
        <f t="shared" si="14"/>
        <v>100</v>
      </c>
      <c r="X39" s="1351"/>
      <c r="Y39" s="3689"/>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87"/>
      <c r="Q40" s="1348" t="str">
        <f t="shared" si="11"/>
        <v>单套建筑面积</v>
      </c>
      <c r="R40" s="703" t="s">
        <v>14</v>
      </c>
      <c r="S40" s="704">
        <f t="shared" si="12"/>
        <v>100</v>
      </c>
      <c r="T40" s="703" t="s">
        <v>14</v>
      </c>
      <c r="U40" s="704">
        <f t="shared" si="13"/>
        <v>100</v>
      </c>
      <c r="V40" s="703" t="s">
        <v>14</v>
      </c>
      <c r="W40" s="704">
        <f t="shared" si="14"/>
        <v>100</v>
      </c>
      <c r="X40" s="1351"/>
      <c r="Y40" s="3689"/>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87"/>
      <c r="Q41" s="705" t="str">
        <f t="shared" si="11"/>
        <v>进深比</v>
      </c>
      <c r="R41" s="706" t="s">
        <v>14</v>
      </c>
      <c r="S41" s="707">
        <f t="shared" si="12"/>
        <v>100</v>
      </c>
      <c r="T41" s="706" t="s">
        <v>14</v>
      </c>
      <c r="U41" s="707">
        <f t="shared" si="13"/>
        <v>100</v>
      </c>
      <c r="V41" s="706" t="s">
        <v>14</v>
      </c>
      <c r="W41" s="707">
        <f t="shared" si="14"/>
        <v>100</v>
      </c>
      <c r="X41" s="708"/>
      <c r="Y41" s="3689"/>
      <c r="Z41" s="709"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687"/>
      <c r="Q42" s="1348" t="str">
        <f t="shared" si="11"/>
        <v>内部装修</v>
      </c>
      <c r="R42" s="703" t="s">
        <v>14</v>
      </c>
      <c r="S42" s="704">
        <f t="shared" si="12"/>
        <v>100</v>
      </c>
      <c r="T42" s="703" t="s">
        <v>14</v>
      </c>
      <c r="U42" s="704">
        <f t="shared" si="13"/>
        <v>100</v>
      </c>
      <c r="V42" s="703" t="s">
        <v>14</v>
      </c>
      <c r="W42" s="704">
        <f t="shared" si="14"/>
        <v>100</v>
      </c>
      <c r="X42" s="1351"/>
      <c r="Y42" s="3689"/>
      <c r="Z42" s="1352" t="str">
        <f t="shared" si="15"/>
        <v>内部装修</v>
      </c>
      <c r="AA42" s="1349">
        <f t="shared" si="3"/>
        <v>1</v>
      </c>
      <c r="AB42" s="1349">
        <f t="shared" si="4"/>
        <v>1</v>
      </c>
      <c r="AC42" s="1349">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687"/>
      <c r="Q43" s="1348" t="str">
        <f t="shared" si="11"/>
        <v>内部装修维护情况</v>
      </c>
      <c r="R43" s="703" t="s">
        <v>14</v>
      </c>
      <c r="S43" s="704">
        <f t="shared" si="12"/>
        <v>100</v>
      </c>
      <c r="T43" s="703" t="s">
        <v>14</v>
      </c>
      <c r="U43" s="704">
        <f t="shared" si="13"/>
        <v>100</v>
      </c>
      <c r="V43" s="703" t="s">
        <v>14</v>
      </c>
      <c r="W43" s="704">
        <f t="shared" si="14"/>
        <v>100</v>
      </c>
      <c r="X43" s="1351"/>
      <c r="Y43" s="3689"/>
      <c r="Z43" s="1352" t="str">
        <f t="shared" si="15"/>
        <v>内部装修维护情况</v>
      </c>
      <c r="AA43" s="1349">
        <f t="shared" si="3"/>
        <v>1</v>
      </c>
      <c r="AB43" s="1349">
        <f t="shared" si="4"/>
        <v>1</v>
      </c>
      <c r="AC43" s="1349">
        <f t="shared" si="5"/>
        <v>1</v>
      </c>
    </row>
    <row r="44" spans="1:29" s="107"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87"/>
      <c r="Q44" s="1339">
        <f t="shared" si="11"/>
        <v>111</v>
      </c>
      <c r="R44" s="699" t="s">
        <v>14</v>
      </c>
      <c r="S44" s="700">
        <f t="shared" si="12"/>
        <v>100</v>
      </c>
      <c r="T44" s="699" t="s">
        <v>14</v>
      </c>
      <c r="U44" s="700">
        <f t="shared" si="13"/>
        <v>100</v>
      </c>
      <c r="V44" s="699" t="s">
        <v>14</v>
      </c>
      <c r="W44" s="700">
        <f t="shared" si="14"/>
        <v>100</v>
      </c>
      <c r="X44" s="701"/>
      <c r="Y44" s="3689"/>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87"/>
      <c r="Q45" s="1348">
        <f t="shared" si="11"/>
        <v>111</v>
      </c>
      <c r="R45" s="703" t="s">
        <v>14</v>
      </c>
      <c r="S45" s="704">
        <f t="shared" si="12"/>
        <v>100</v>
      </c>
      <c r="T45" s="703" t="s">
        <v>14</v>
      </c>
      <c r="U45" s="704">
        <f t="shared" si="13"/>
        <v>100</v>
      </c>
      <c r="V45" s="703" t="s">
        <v>14</v>
      </c>
      <c r="W45" s="704">
        <f t="shared" si="14"/>
        <v>100</v>
      </c>
      <c r="X45" s="1351"/>
      <c r="Y45" s="3689"/>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88"/>
      <c r="Q46" s="1348">
        <f t="shared" si="11"/>
        <v>111</v>
      </c>
      <c r="R46" s="703" t="s">
        <v>14</v>
      </c>
      <c r="S46" s="704">
        <f t="shared" si="12"/>
        <v>100</v>
      </c>
      <c r="T46" s="703" t="s">
        <v>14</v>
      </c>
      <c r="U46" s="704">
        <f t="shared" si="13"/>
        <v>100</v>
      </c>
      <c r="V46" s="703" t="s">
        <v>14</v>
      </c>
      <c r="W46" s="704">
        <f t="shared" si="14"/>
        <v>100</v>
      </c>
      <c r="X46" s="1351"/>
      <c r="Y46" s="3690"/>
      <c r="Z46" s="1352">
        <f t="shared" si="15"/>
        <v>111</v>
      </c>
      <c r="AA46" s="1349">
        <f t="shared" si="3"/>
        <v>1</v>
      </c>
      <c r="AB46" s="1349">
        <f t="shared" si="4"/>
        <v>1</v>
      </c>
      <c r="AC46" s="1349">
        <f t="shared" si="5"/>
        <v>1</v>
      </c>
    </row>
    <row r="47" spans="1:29" ht="15">
      <c r="A47" s="429" t="s">
        <v>1708</v>
      </c>
      <c r="B47" s="430"/>
      <c r="C47" s="1150" t="s">
        <v>0</v>
      </c>
      <c r="D47" s="1151"/>
      <c r="E47" s="1152"/>
      <c r="F47" s="1153"/>
      <c r="G47" s="1154"/>
      <c r="H47" s="1155"/>
      <c r="I47" s="1152"/>
      <c r="J47" s="1155"/>
      <c r="K47" s="712"/>
      <c r="L47" s="2720"/>
      <c r="M47" s="2721"/>
      <c r="N47" s="2712"/>
      <c r="O47" s="2721"/>
      <c r="P47" s="3691" t="str">
        <f>A47</f>
        <v>成交单价（元/平方米）</v>
      </c>
      <c r="Q47" s="3691"/>
      <c r="R47" s="3676">
        <f>E47</f>
        <v>0</v>
      </c>
      <c r="S47" s="3676"/>
      <c r="T47" s="3676">
        <f>G47</f>
        <v>0</v>
      </c>
      <c r="U47" s="3676"/>
      <c r="V47" s="3676">
        <f>I47</f>
        <v>0</v>
      </c>
      <c r="W47" s="3676"/>
      <c r="X47" s="688"/>
      <c r="Y47" s="710"/>
      <c r="Z47" s="688"/>
      <c r="AA47" s="688"/>
      <c r="AB47" s="688"/>
      <c r="AC47" s="688"/>
    </row>
    <row r="48" spans="1:29" ht="15.75" thickBot="1">
      <c r="A48" s="436" t="s">
        <v>1793</v>
      </c>
      <c r="B48" s="437"/>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40" t="s">
        <v>1794</v>
      </c>
      <c r="B49" s="441"/>
      <c r="C49" s="1159" t="e">
        <f>R49</f>
        <v>#DIV/0!</v>
      </c>
      <c r="D49" s="1159"/>
      <c r="E49" s="1159"/>
      <c r="F49" s="1159"/>
      <c r="G49" s="1159"/>
      <c r="H49" s="1159"/>
      <c r="I49" s="1159"/>
      <c r="J49" s="1159"/>
      <c r="K49" s="713"/>
      <c r="L49" s="2720"/>
      <c r="M49" s="2721"/>
      <c r="N49" s="2712"/>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1679</v>
      </c>
      <c r="B58" s="454"/>
      <c r="C58" s="1180" t="str">
        <f>YEAR(C7)&amp;"-"&amp;MONTH(C7)</f>
        <v>2023-8</v>
      </c>
      <c r="D58" s="1181">
        <f>EDATE(C58,-1)</f>
        <v>45108</v>
      </c>
      <c r="E58" s="1181">
        <f t="shared" ref="E58:N58" si="16">EDATE(D58,-1)</f>
        <v>45078</v>
      </c>
      <c r="F58" s="1181">
        <f t="shared" si="16"/>
        <v>45047</v>
      </c>
      <c r="G58" s="1181">
        <f t="shared" si="16"/>
        <v>45017</v>
      </c>
      <c r="H58" s="1181">
        <f t="shared" si="16"/>
        <v>44986</v>
      </c>
      <c r="I58" s="1181">
        <f t="shared" si="16"/>
        <v>44958</v>
      </c>
      <c r="J58" s="1181">
        <f t="shared" si="16"/>
        <v>44927</v>
      </c>
      <c r="K58" s="1181">
        <f t="shared" si="16"/>
        <v>44896</v>
      </c>
      <c r="L58" s="1181">
        <f t="shared" si="16"/>
        <v>44866</v>
      </c>
      <c r="M58" s="1181">
        <f t="shared" si="16"/>
        <v>44835</v>
      </c>
      <c r="N58" s="1181">
        <f t="shared" si="16"/>
        <v>44805</v>
      </c>
      <c r="O58" s="1181">
        <f>EDATE(N58,-1)</f>
        <v>44774</v>
      </c>
      <c r="P58" s="2736"/>
      <c r="Q58" s="2737"/>
      <c r="R58" s="2737"/>
      <c r="S58" s="2737"/>
      <c r="T58" s="2737"/>
      <c r="U58" s="2737"/>
      <c r="V58" s="2737"/>
      <c r="W58" s="2737"/>
      <c r="X58" s="2737"/>
      <c r="Y58" s="2737"/>
      <c r="Z58" s="2737"/>
      <c r="AA58" s="2737"/>
      <c r="AB58" s="2737"/>
      <c r="AC58" s="2737"/>
    </row>
    <row r="59" spans="1:29" s="107"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7"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7"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7"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1810</v>
      </c>
      <c r="C1" s="1220" t="s">
        <v>1662</v>
      </c>
      <c r="D1" s="1221"/>
      <c r="E1" s="3428"/>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178258</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1769</v>
      </c>
      <c r="B4" s="355"/>
      <c r="C4" s="3652" t="s">
        <v>1770</v>
      </c>
      <c r="D4" s="3653"/>
      <c r="E4" s="3654" t="s">
        <v>1771</v>
      </c>
      <c r="F4" s="3655"/>
      <c r="G4" s="3652" t="s">
        <v>1772</v>
      </c>
      <c r="H4" s="3653"/>
      <c r="I4" s="3652" t="s">
        <v>1773</v>
      </c>
      <c r="J4" s="3653"/>
      <c r="K4" s="558" t="s">
        <v>1774</v>
      </c>
      <c r="L4" s="2711"/>
      <c r="M4" s="2712"/>
      <c r="N4" s="2712"/>
      <c r="O4" s="2712"/>
      <c r="P4" s="3863" t="s">
        <v>1775</v>
      </c>
      <c r="Q4" s="3864"/>
      <c r="R4" s="3858" t="s">
        <v>1771</v>
      </c>
      <c r="S4" s="3859"/>
      <c r="T4" s="3858" t="s">
        <v>1772</v>
      </c>
      <c r="U4" s="3859"/>
      <c r="V4" s="3867" t="s">
        <v>1773</v>
      </c>
      <c r="W4" s="3867"/>
      <c r="X4" s="1954"/>
      <c r="Y4" s="3858" t="s">
        <v>1775</v>
      </c>
      <c r="Z4" s="3859"/>
      <c r="AA4" s="3857" t="s">
        <v>1771</v>
      </c>
      <c r="AB4" s="3857" t="s">
        <v>1772</v>
      </c>
      <c r="AC4" s="3860" t="s">
        <v>1773</v>
      </c>
    </row>
    <row r="5" spans="1:29" ht="15">
      <c r="A5" s="357"/>
      <c r="B5" s="358"/>
      <c r="C5" s="3666" t="s">
        <v>1673</v>
      </c>
      <c r="D5" s="3667"/>
      <c r="E5" s="3668" t="s">
        <v>1674</v>
      </c>
      <c r="F5" s="3669"/>
      <c r="G5" s="3666" t="s">
        <v>1675</v>
      </c>
      <c r="H5" s="3667"/>
      <c r="I5" s="3666" t="s">
        <v>1676</v>
      </c>
      <c r="J5" s="3667"/>
      <c r="K5" s="558"/>
      <c r="L5" s="2711"/>
      <c r="M5" s="2712"/>
      <c r="N5" s="2712"/>
      <c r="O5" s="2712"/>
      <c r="P5" s="3865"/>
      <c r="Q5" s="3659"/>
      <c r="R5" s="3664"/>
      <c r="S5" s="3665"/>
      <c r="T5" s="3664"/>
      <c r="U5" s="3665"/>
      <c r="V5" s="3676"/>
      <c r="W5" s="3676"/>
      <c r="X5" s="1351"/>
      <c r="Y5" s="3664"/>
      <c r="Z5" s="3665"/>
      <c r="AA5" s="3650"/>
      <c r="AB5" s="3650"/>
      <c r="AC5" s="3861"/>
    </row>
    <row r="6" spans="1:29" ht="15.75" thickBot="1">
      <c r="A6" s="359"/>
      <c r="B6" s="360"/>
      <c r="C6" s="3670" t="s">
        <v>1677</v>
      </c>
      <c r="D6" s="3671"/>
      <c r="E6" s="3672" t="s">
        <v>1677</v>
      </c>
      <c r="F6" s="3673"/>
      <c r="G6" s="3670" t="s">
        <v>1677</v>
      </c>
      <c r="H6" s="3671"/>
      <c r="I6" s="3670" t="s">
        <v>1677</v>
      </c>
      <c r="J6" s="3671"/>
      <c r="K6" s="558" t="s">
        <v>1678</v>
      </c>
      <c r="L6" s="2711"/>
      <c r="M6" s="2712"/>
      <c r="N6" s="2712"/>
      <c r="O6" s="2712"/>
      <c r="P6" s="3866"/>
      <c r="Q6" s="3661"/>
      <c r="R6" s="3664"/>
      <c r="S6" s="3665"/>
      <c r="T6" s="3674"/>
      <c r="U6" s="3675"/>
      <c r="V6" s="3676"/>
      <c r="W6" s="3676"/>
      <c r="X6" s="1351"/>
      <c r="Y6" s="3674"/>
      <c r="Z6" s="3675"/>
      <c r="AA6" s="3651"/>
      <c r="AB6" s="3651"/>
      <c r="AC6" s="3862"/>
    </row>
    <row r="7" spans="1:29" s="107" customFormat="1" ht="15.75" thickBot="1">
      <c r="A7" s="361" t="s">
        <v>1679</v>
      </c>
      <c r="B7" s="362"/>
      <c r="C7" s="363">
        <f>'数据-取费表'!B2</f>
        <v>45159</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68"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1955"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68" t="s">
        <v>1683</v>
      </c>
      <c r="Q8" s="3679"/>
      <c r="R8" s="699" t="s">
        <v>14</v>
      </c>
      <c r="S8" s="700">
        <f t="shared" si="0"/>
        <v>100</v>
      </c>
      <c r="T8" s="699" t="s">
        <v>14</v>
      </c>
      <c r="U8" s="700">
        <f t="shared" si="1"/>
        <v>100</v>
      </c>
      <c r="V8" s="699" t="s">
        <v>14</v>
      </c>
      <c r="W8" s="700">
        <f t="shared" si="2"/>
        <v>100</v>
      </c>
      <c r="X8" s="701"/>
      <c r="Y8" s="3677" t="s">
        <v>1683</v>
      </c>
      <c r="Z8" s="3679"/>
      <c r="AA8" s="702">
        <f t="shared" ref="AA8:AA47" si="3">D8/F8</f>
        <v>1</v>
      </c>
      <c r="AB8" s="702">
        <f t="shared" ref="AB8:AB47" si="4">D8/H8</f>
        <v>1</v>
      </c>
      <c r="AC8" s="1955">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680"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1955">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5"/>
      <c r="M10" s="2716"/>
      <c r="N10" s="2716"/>
      <c r="O10" s="2716"/>
      <c r="P10" s="3680"/>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80"/>
      <c r="Q11" s="1339" t="str">
        <f t="shared" si="6"/>
        <v>容积率</v>
      </c>
      <c r="R11" s="699" t="s">
        <v>14</v>
      </c>
      <c r="S11" s="700">
        <f t="shared" si="0"/>
        <v>100</v>
      </c>
      <c r="T11" s="699" t="s">
        <v>14</v>
      </c>
      <c r="U11" s="700">
        <f t="shared" si="1"/>
        <v>100</v>
      </c>
      <c r="V11" s="699" t="s">
        <v>14</v>
      </c>
      <c r="W11" s="700">
        <f t="shared" si="2"/>
        <v>100</v>
      </c>
      <c r="X11" s="701"/>
      <c r="Y11" s="3681"/>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680"/>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680"/>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680"/>
      <c r="Q14" s="1339">
        <f t="shared" si="6"/>
        <v>111</v>
      </c>
      <c r="R14" s="699" t="s">
        <v>14</v>
      </c>
      <c r="S14" s="700">
        <f t="shared" si="0"/>
        <v>100</v>
      </c>
      <c r="T14" s="699" t="s">
        <v>14</v>
      </c>
      <c r="U14" s="700">
        <f t="shared" si="1"/>
        <v>100</v>
      </c>
      <c r="V14" s="699" t="s">
        <v>14</v>
      </c>
      <c r="W14" s="700">
        <f t="shared" si="2"/>
        <v>100</v>
      </c>
      <c r="X14" s="701"/>
      <c r="Y14" s="3681"/>
      <c r="Z14" s="52">
        <f t="shared" si="7"/>
        <v>111</v>
      </c>
      <c r="AA14" s="702">
        <f t="shared" si="3"/>
        <v>1</v>
      </c>
      <c r="AB14" s="702">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682" t="s">
        <v>1691</v>
      </c>
      <c r="Q15" s="1348" t="str">
        <f t="shared" si="6"/>
        <v>办公集聚程度</v>
      </c>
      <c r="R15" s="703" t="s">
        <v>14</v>
      </c>
      <c r="S15" s="704">
        <f t="shared" si="0"/>
        <v>100</v>
      </c>
      <c r="T15" s="703" t="s">
        <v>14</v>
      </c>
      <c r="U15" s="704">
        <f t="shared" si="1"/>
        <v>100</v>
      </c>
      <c r="V15" s="703" t="s">
        <v>14</v>
      </c>
      <c r="W15" s="704">
        <f t="shared" si="2"/>
        <v>100</v>
      </c>
      <c r="X15" s="1351"/>
      <c r="Y15" s="3684"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683"/>
      <c r="Q16" s="1348"/>
      <c r="R16" s="703"/>
      <c r="S16" s="704"/>
      <c r="T16" s="703"/>
      <c r="U16" s="704"/>
      <c r="V16" s="703"/>
      <c r="W16" s="704"/>
      <c r="X16" s="1351"/>
      <c r="Y16" s="3685"/>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683"/>
      <c r="Q17" s="1348" t="str">
        <f>B17</f>
        <v>交通便捷度</v>
      </c>
      <c r="R17" s="703" t="s">
        <v>14</v>
      </c>
      <c r="S17" s="704">
        <f>F17</f>
        <v>100</v>
      </c>
      <c r="T17" s="703" t="s">
        <v>14</v>
      </c>
      <c r="U17" s="704">
        <f>H17</f>
        <v>100</v>
      </c>
      <c r="V17" s="703" t="s">
        <v>14</v>
      </c>
      <c r="W17" s="704">
        <f>J17</f>
        <v>100</v>
      </c>
      <c r="X17" s="1351"/>
      <c r="Y17" s="3685"/>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683"/>
      <c r="Q18" s="1348"/>
      <c r="R18" s="703"/>
      <c r="S18" s="704"/>
      <c r="T18" s="703"/>
      <c r="U18" s="704"/>
      <c r="V18" s="703"/>
      <c r="W18" s="704"/>
      <c r="X18" s="1351"/>
      <c r="Y18" s="3685"/>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683"/>
      <c r="Q19" s="1348" t="str">
        <f>B19</f>
        <v>公共配套设施</v>
      </c>
      <c r="R19" s="703" t="s">
        <v>14</v>
      </c>
      <c r="S19" s="704">
        <f>F19</f>
        <v>100</v>
      </c>
      <c r="T19" s="703" t="s">
        <v>14</v>
      </c>
      <c r="U19" s="704">
        <f>H19</f>
        <v>100</v>
      </c>
      <c r="V19" s="703" t="s">
        <v>14</v>
      </c>
      <c r="W19" s="704">
        <f>J19</f>
        <v>100</v>
      </c>
      <c r="X19" s="1351"/>
      <c r="Y19" s="3685"/>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683"/>
      <c r="Q20" s="1348"/>
      <c r="R20" s="703"/>
      <c r="S20" s="704"/>
      <c r="T20" s="703"/>
      <c r="U20" s="704"/>
      <c r="V20" s="703"/>
      <c r="W20" s="704"/>
      <c r="X20" s="1351"/>
      <c r="Y20" s="3685"/>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683"/>
      <c r="Q21" s="1348" t="str">
        <f>B21</f>
        <v>基础设施水平</v>
      </c>
      <c r="R21" s="703" t="s">
        <v>14</v>
      </c>
      <c r="S21" s="704">
        <f>F21</f>
        <v>100</v>
      </c>
      <c r="T21" s="703" t="s">
        <v>14</v>
      </c>
      <c r="U21" s="704">
        <f>H21</f>
        <v>100</v>
      </c>
      <c r="V21" s="703" t="s">
        <v>14</v>
      </c>
      <c r="W21" s="704">
        <f>J21</f>
        <v>100</v>
      </c>
      <c r="X21" s="1351"/>
      <c r="Y21" s="3685"/>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683"/>
      <c r="Q22" s="1348"/>
      <c r="R22" s="703"/>
      <c r="S22" s="704"/>
      <c r="T22" s="703"/>
      <c r="U22" s="704"/>
      <c r="V22" s="703"/>
      <c r="W22" s="704"/>
      <c r="X22" s="1351"/>
      <c r="Y22" s="3685"/>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683"/>
      <c r="Q23" s="1348" t="str">
        <f>B23</f>
        <v>环境质量</v>
      </c>
      <c r="R23" s="703" t="s">
        <v>14</v>
      </c>
      <c r="S23" s="704">
        <f>F23</f>
        <v>100</v>
      </c>
      <c r="T23" s="703" t="s">
        <v>14</v>
      </c>
      <c r="U23" s="704">
        <f>H23</f>
        <v>100</v>
      </c>
      <c r="V23" s="703" t="s">
        <v>14</v>
      </c>
      <c r="W23" s="704">
        <f>J23</f>
        <v>100</v>
      </c>
      <c r="X23" s="1351"/>
      <c r="Y23" s="3685"/>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683"/>
      <c r="Q24" s="1348"/>
      <c r="R24" s="703"/>
      <c r="S24" s="704"/>
      <c r="T24" s="703"/>
      <c r="U24" s="704"/>
      <c r="V24" s="703"/>
      <c r="W24" s="704"/>
      <c r="X24" s="1351"/>
      <c r="Y24" s="3685"/>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683"/>
      <c r="Q25" s="1348" t="str">
        <f>B25</f>
        <v>毗邻道路的类型与等级</v>
      </c>
      <c r="R25" s="703" t="s">
        <v>14</v>
      </c>
      <c r="S25" s="704">
        <f>F25</f>
        <v>100</v>
      </c>
      <c r="T25" s="703" t="s">
        <v>14</v>
      </c>
      <c r="U25" s="704">
        <f>H25</f>
        <v>100</v>
      </c>
      <c r="V25" s="703" t="s">
        <v>14</v>
      </c>
      <c r="W25" s="704">
        <f>J25</f>
        <v>100</v>
      </c>
      <c r="X25" s="1351"/>
      <c r="Y25" s="3685"/>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683"/>
      <c r="Q26" s="1348"/>
      <c r="R26" s="703"/>
      <c r="S26" s="704"/>
      <c r="T26" s="703"/>
      <c r="U26" s="704"/>
      <c r="V26" s="703"/>
      <c r="W26" s="704"/>
      <c r="X26" s="1351"/>
      <c r="Y26" s="3685"/>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683"/>
      <c r="Q27" s="1348" t="str">
        <f t="shared" ref="Q27:Q47" si="11">B27</f>
        <v>楼层</v>
      </c>
      <c r="R27" s="703" t="s">
        <v>14</v>
      </c>
      <c r="S27" s="704">
        <f>F27</f>
        <v>100</v>
      </c>
      <c r="T27" s="703" t="s">
        <v>14</v>
      </c>
      <c r="U27" s="704">
        <f>H27</f>
        <v>100</v>
      </c>
      <c r="V27" s="703" t="s">
        <v>14</v>
      </c>
      <c r="W27" s="704">
        <f>J27</f>
        <v>100</v>
      </c>
      <c r="X27" s="1351"/>
      <c r="Y27" s="3685"/>
      <c r="Z27" s="1352" t="str">
        <f>Q27</f>
        <v>楼层</v>
      </c>
      <c r="AA27" s="1349">
        <f t="shared" si="3"/>
        <v>1</v>
      </c>
      <c r="AB27" s="1349">
        <f t="shared" si="4"/>
        <v>1</v>
      </c>
      <c r="AC27" s="1958">
        <f t="shared" si="5"/>
        <v>1</v>
      </c>
    </row>
    <row r="28" spans="1:29" s="107"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683"/>
      <c r="Q28" s="1339" t="str">
        <f t="shared" si="11"/>
        <v>朝向</v>
      </c>
      <c r="R28" s="699" t="s">
        <v>14</v>
      </c>
      <c r="S28" s="700">
        <f>F28</f>
        <v>100</v>
      </c>
      <c r="T28" s="699" t="s">
        <v>14</v>
      </c>
      <c r="U28" s="700">
        <f>H28</f>
        <v>100</v>
      </c>
      <c r="V28" s="699" t="s">
        <v>14</v>
      </c>
      <c r="W28" s="700">
        <f>J28</f>
        <v>100</v>
      </c>
      <c r="X28" s="701"/>
      <c r="Y28" s="3685"/>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683"/>
      <c r="Q29" s="1348">
        <f t="shared" si="11"/>
        <v>111</v>
      </c>
      <c r="R29" s="703" t="s">
        <v>14</v>
      </c>
      <c r="S29" s="704">
        <f t="shared" ref="S29:S47" si="12">F29</f>
        <v>100</v>
      </c>
      <c r="T29" s="703" t="s">
        <v>14</v>
      </c>
      <c r="U29" s="704">
        <f t="shared" ref="U29:U47" si="13">H29</f>
        <v>100</v>
      </c>
      <c r="V29" s="703" t="s">
        <v>14</v>
      </c>
      <c r="W29" s="704">
        <f t="shared" ref="W29:W47" si="14">J29</f>
        <v>100</v>
      </c>
      <c r="X29" s="1351"/>
      <c r="Y29" s="3685"/>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683"/>
      <c r="Q30" s="1348">
        <f t="shared" si="11"/>
        <v>111</v>
      </c>
      <c r="R30" s="703" t="s">
        <v>14</v>
      </c>
      <c r="S30" s="704">
        <f t="shared" si="12"/>
        <v>100</v>
      </c>
      <c r="T30" s="703" t="s">
        <v>14</v>
      </c>
      <c r="U30" s="704">
        <f t="shared" si="13"/>
        <v>100</v>
      </c>
      <c r="V30" s="703" t="s">
        <v>14</v>
      </c>
      <c r="W30" s="704">
        <f t="shared" si="14"/>
        <v>100</v>
      </c>
      <c r="X30" s="1351"/>
      <c r="Y30" s="3685"/>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683"/>
      <c r="Q31" s="1348">
        <f t="shared" si="11"/>
        <v>111</v>
      </c>
      <c r="R31" s="703" t="s">
        <v>14</v>
      </c>
      <c r="S31" s="704">
        <f t="shared" si="12"/>
        <v>100</v>
      </c>
      <c r="T31" s="703" t="s">
        <v>14</v>
      </c>
      <c r="U31" s="704">
        <f t="shared" si="13"/>
        <v>100</v>
      </c>
      <c r="V31" s="703" t="s">
        <v>14</v>
      </c>
      <c r="W31" s="704">
        <f t="shared" si="14"/>
        <v>100</v>
      </c>
      <c r="X31" s="1351"/>
      <c r="Y31" s="3685"/>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683"/>
      <c r="Q32" s="1348">
        <f t="shared" si="11"/>
        <v>111</v>
      </c>
      <c r="R32" s="703" t="s">
        <v>14</v>
      </c>
      <c r="S32" s="704">
        <f t="shared" si="12"/>
        <v>100</v>
      </c>
      <c r="T32" s="703" t="s">
        <v>14</v>
      </c>
      <c r="U32" s="704">
        <f t="shared" si="13"/>
        <v>100</v>
      </c>
      <c r="V32" s="703" t="s">
        <v>14</v>
      </c>
      <c r="W32" s="704">
        <f t="shared" si="14"/>
        <v>100</v>
      </c>
      <c r="X32" s="1351"/>
      <c r="Y32" s="3685"/>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686" t="s">
        <v>1696</v>
      </c>
      <c r="Q33" s="1348" t="str">
        <f t="shared" si="11"/>
        <v>建筑类型</v>
      </c>
      <c r="R33" s="703" t="s">
        <v>14</v>
      </c>
      <c r="S33" s="704">
        <f t="shared" si="12"/>
        <v>100</v>
      </c>
      <c r="T33" s="703" t="s">
        <v>14</v>
      </c>
      <c r="U33" s="704">
        <f t="shared" si="13"/>
        <v>100</v>
      </c>
      <c r="V33" s="703" t="s">
        <v>14</v>
      </c>
      <c r="W33" s="704">
        <f t="shared" si="14"/>
        <v>100</v>
      </c>
      <c r="X33" s="1351"/>
      <c r="Y33" s="3689"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687"/>
      <c r="Q34" s="705" t="str">
        <f t="shared" si="11"/>
        <v>项目建筑规模</v>
      </c>
      <c r="R34" s="706" t="s">
        <v>14</v>
      </c>
      <c r="S34" s="707" t="e">
        <f t="shared" si="12"/>
        <v>#N/A</v>
      </c>
      <c r="T34" s="706" t="s">
        <v>14</v>
      </c>
      <c r="U34" s="707" t="e">
        <f t="shared" si="13"/>
        <v>#N/A</v>
      </c>
      <c r="V34" s="706" t="s">
        <v>14</v>
      </c>
      <c r="W34" s="707" t="e">
        <f t="shared" si="14"/>
        <v>#N/A</v>
      </c>
      <c r="X34" s="708"/>
      <c r="Y34" s="3689"/>
      <c r="Z34" s="709"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87"/>
      <c r="Q35" s="1348" t="str">
        <f t="shared" si="11"/>
        <v>建筑结构</v>
      </c>
      <c r="R35" s="703" t="s">
        <v>14</v>
      </c>
      <c r="S35" s="704">
        <f t="shared" si="12"/>
        <v>100</v>
      </c>
      <c r="T35" s="703" t="s">
        <v>14</v>
      </c>
      <c r="U35" s="704">
        <f t="shared" si="13"/>
        <v>100</v>
      </c>
      <c r="V35" s="703" t="s">
        <v>14</v>
      </c>
      <c r="W35" s="704">
        <f t="shared" si="14"/>
        <v>100</v>
      </c>
      <c r="X35" s="1351"/>
      <c r="Y35" s="3689"/>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87"/>
      <c r="Q36" s="1348" t="str">
        <f t="shared" si="11"/>
        <v>公共部分装修</v>
      </c>
      <c r="R36" s="703" t="s">
        <v>14</v>
      </c>
      <c r="S36" s="704">
        <f t="shared" si="12"/>
        <v>100</v>
      </c>
      <c r="T36" s="703" t="s">
        <v>14</v>
      </c>
      <c r="U36" s="704">
        <f t="shared" si="13"/>
        <v>100</v>
      </c>
      <c r="V36" s="703" t="s">
        <v>14</v>
      </c>
      <c r="W36" s="704">
        <f t="shared" si="14"/>
        <v>100</v>
      </c>
      <c r="X36" s="1351"/>
      <c r="Y36" s="3689"/>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687"/>
      <c r="Q37" s="1348" t="str">
        <f t="shared" si="11"/>
        <v>成新度</v>
      </c>
      <c r="R37" s="703" t="s">
        <v>14</v>
      </c>
      <c r="S37" s="704" t="e">
        <f t="shared" si="12"/>
        <v>#N/A</v>
      </c>
      <c r="T37" s="703" t="s">
        <v>14</v>
      </c>
      <c r="U37" s="704" t="e">
        <f t="shared" si="13"/>
        <v>#N/A</v>
      </c>
      <c r="V37" s="703" t="s">
        <v>14</v>
      </c>
      <c r="W37" s="704" t="e">
        <f t="shared" si="14"/>
        <v>#N/A</v>
      </c>
      <c r="X37" s="1351"/>
      <c r="Y37" s="3689"/>
      <c r="Z37" s="1352" t="str">
        <f t="shared" si="15"/>
        <v>成新度</v>
      </c>
      <c r="AA37" s="1349" t="e">
        <f t="shared" si="3"/>
        <v>#N/A</v>
      </c>
      <c r="AB37" s="1349" t="e">
        <f t="shared" si="4"/>
        <v>#N/A</v>
      </c>
      <c r="AC37" s="1958"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87"/>
      <c r="Q38" s="1339" t="str">
        <f t="shared" si="11"/>
        <v>写字楼等级</v>
      </c>
      <c r="R38" s="699" t="s">
        <v>14</v>
      </c>
      <c r="S38" s="700">
        <f t="shared" si="12"/>
        <v>100</v>
      </c>
      <c r="T38" s="699" t="s">
        <v>14</v>
      </c>
      <c r="U38" s="700">
        <f t="shared" si="13"/>
        <v>100</v>
      </c>
      <c r="V38" s="699" t="s">
        <v>14</v>
      </c>
      <c r="W38" s="700">
        <f t="shared" si="14"/>
        <v>100</v>
      </c>
      <c r="X38" s="701"/>
      <c r="Y38" s="3689"/>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87" t="s">
        <v>1696</v>
      </c>
      <c r="Q39" s="1348" t="str">
        <f t="shared" si="11"/>
        <v>物业管理</v>
      </c>
      <c r="R39" s="703" t="s">
        <v>14</v>
      </c>
      <c r="S39" s="704">
        <f t="shared" si="12"/>
        <v>100</v>
      </c>
      <c r="T39" s="703" t="s">
        <v>14</v>
      </c>
      <c r="U39" s="704">
        <f t="shared" si="13"/>
        <v>100</v>
      </c>
      <c r="V39" s="703" t="s">
        <v>14</v>
      </c>
      <c r="W39" s="704">
        <f t="shared" si="14"/>
        <v>100</v>
      </c>
      <c r="X39" s="1351"/>
      <c r="Y39" s="3689"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87"/>
      <c r="Q40" s="1348" t="str">
        <f t="shared" si="11"/>
        <v>市政基础设施</v>
      </c>
      <c r="R40" s="703" t="s">
        <v>14</v>
      </c>
      <c r="S40" s="704">
        <f t="shared" si="12"/>
        <v>100</v>
      </c>
      <c r="T40" s="703" t="s">
        <v>14</v>
      </c>
      <c r="U40" s="704">
        <f t="shared" si="13"/>
        <v>100</v>
      </c>
      <c r="V40" s="703" t="s">
        <v>14</v>
      </c>
      <c r="W40" s="704">
        <f t="shared" si="14"/>
        <v>100</v>
      </c>
      <c r="X40" s="1351"/>
      <c r="Y40" s="3689"/>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87"/>
      <c r="Q41" s="1348" t="str">
        <f t="shared" si="11"/>
        <v>层高</v>
      </c>
      <c r="R41" s="703" t="s">
        <v>14</v>
      </c>
      <c r="S41" s="704">
        <f t="shared" si="12"/>
        <v>100</v>
      </c>
      <c r="T41" s="703" t="s">
        <v>14</v>
      </c>
      <c r="U41" s="704">
        <f t="shared" si="13"/>
        <v>100</v>
      </c>
      <c r="V41" s="703" t="s">
        <v>14</v>
      </c>
      <c r="W41" s="704">
        <f t="shared" si="14"/>
        <v>100</v>
      </c>
      <c r="X41" s="1351"/>
      <c r="Y41" s="3689"/>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87"/>
      <c r="Q42" s="705" t="str">
        <f t="shared" si="11"/>
        <v>单套建筑面积</v>
      </c>
      <c r="R42" s="706" t="s">
        <v>14</v>
      </c>
      <c r="S42" s="707">
        <f t="shared" si="12"/>
        <v>100</v>
      </c>
      <c r="T42" s="706" t="s">
        <v>14</v>
      </c>
      <c r="U42" s="707">
        <f t="shared" si="13"/>
        <v>100</v>
      </c>
      <c r="V42" s="706" t="s">
        <v>14</v>
      </c>
      <c r="W42" s="707">
        <f t="shared" si="14"/>
        <v>100</v>
      </c>
      <c r="X42" s="708"/>
      <c r="Y42" s="3689"/>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687"/>
      <c r="Q43" s="1348" t="str">
        <f t="shared" si="11"/>
        <v>内部装修</v>
      </c>
      <c r="R43" s="703" t="s">
        <v>14</v>
      </c>
      <c r="S43" s="704">
        <f t="shared" si="12"/>
        <v>100</v>
      </c>
      <c r="T43" s="703" t="s">
        <v>14</v>
      </c>
      <c r="U43" s="704">
        <f t="shared" si="13"/>
        <v>100</v>
      </c>
      <c r="V43" s="703" t="s">
        <v>14</v>
      </c>
      <c r="W43" s="704">
        <f t="shared" si="14"/>
        <v>100</v>
      </c>
      <c r="X43" s="1351"/>
      <c r="Y43" s="3689"/>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687"/>
      <c r="Q44" s="1348" t="str">
        <f t="shared" si="11"/>
        <v>内部装修维护情况</v>
      </c>
      <c r="R44" s="703" t="s">
        <v>14</v>
      </c>
      <c r="S44" s="704">
        <f t="shared" si="12"/>
        <v>100</v>
      </c>
      <c r="T44" s="703" t="s">
        <v>14</v>
      </c>
      <c r="U44" s="704">
        <f t="shared" si="13"/>
        <v>100</v>
      </c>
      <c r="V44" s="703" t="s">
        <v>14</v>
      </c>
      <c r="W44" s="704">
        <f t="shared" si="14"/>
        <v>100</v>
      </c>
      <c r="X44" s="1351"/>
      <c r="Y44" s="3689"/>
      <c r="Z44" s="1352" t="str">
        <f t="shared" si="15"/>
        <v>内部装修维护情况</v>
      </c>
      <c r="AA44" s="1349">
        <f t="shared" si="3"/>
        <v>1</v>
      </c>
      <c r="AB44" s="1349">
        <f t="shared" si="4"/>
        <v>1</v>
      </c>
      <c r="AC44" s="1958">
        <f t="shared" si="5"/>
        <v>1</v>
      </c>
    </row>
    <row r="45" spans="1:29" s="107"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87"/>
      <c r="Q45" s="1339">
        <f t="shared" si="11"/>
        <v>111</v>
      </c>
      <c r="R45" s="699" t="s">
        <v>14</v>
      </c>
      <c r="S45" s="700">
        <f t="shared" si="12"/>
        <v>100</v>
      </c>
      <c r="T45" s="699" t="s">
        <v>14</v>
      </c>
      <c r="U45" s="700">
        <f t="shared" si="13"/>
        <v>100</v>
      </c>
      <c r="V45" s="699" t="s">
        <v>14</v>
      </c>
      <c r="W45" s="700">
        <f t="shared" si="14"/>
        <v>100</v>
      </c>
      <c r="X45" s="701"/>
      <c r="Y45" s="3689"/>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87"/>
      <c r="Q46" s="1348">
        <f t="shared" si="11"/>
        <v>111</v>
      </c>
      <c r="R46" s="703" t="s">
        <v>14</v>
      </c>
      <c r="S46" s="704">
        <f t="shared" si="12"/>
        <v>100</v>
      </c>
      <c r="T46" s="703" t="s">
        <v>14</v>
      </c>
      <c r="U46" s="704">
        <f t="shared" si="13"/>
        <v>100</v>
      </c>
      <c r="V46" s="703" t="s">
        <v>14</v>
      </c>
      <c r="W46" s="704">
        <f t="shared" si="14"/>
        <v>100</v>
      </c>
      <c r="X46" s="1351"/>
      <c r="Y46" s="3689"/>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88"/>
      <c r="Q47" s="1348">
        <f t="shared" si="11"/>
        <v>111</v>
      </c>
      <c r="R47" s="703" t="s">
        <v>14</v>
      </c>
      <c r="S47" s="704">
        <f t="shared" si="12"/>
        <v>100</v>
      </c>
      <c r="T47" s="703" t="s">
        <v>14</v>
      </c>
      <c r="U47" s="704">
        <f t="shared" si="13"/>
        <v>100</v>
      </c>
      <c r="V47" s="703" t="s">
        <v>14</v>
      </c>
      <c r="W47" s="704">
        <f t="shared" si="14"/>
        <v>100</v>
      </c>
      <c r="X47" s="1351"/>
      <c r="Y47" s="3690"/>
      <c r="Z47" s="1352">
        <f t="shared" si="15"/>
        <v>111</v>
      </c>
      <c r="AA47" s="1349">
        <f t="shared" si="3"/>
        <v>1</v>
      </c>
      <c r="AB47" s="1349">
        <f t="shared" si="4"/>
        <v>1</v>
      </c>
      <c r="AC47" s="1958">
        <f t="shared" si="5"/>
        <v>1</v>
      </c>
    </row>
    <row r="48" spans="1:29" ht="15">
      <c r="A48" s="429" t="s">
        <v>1708</v>
      </c>
      <c r="B48" s="430"/>
      <c r="C48" s="1150" t="s">
        <v>0</v>
      </c>
      <c r="D48" s="1151"/>
      <c r="E48" s="1152"/>
      <c r="F48" s="1153"/>
      <c r="G48" s="1154"/>
      <c r="H48" s="1155"/>
      <c r="I48" s="1152"/>
      <c r="J48" s="435"/>
      <c r="K48" s="712"/>
      <c r="L48" s="2720"/>
      <c r="M48" s="2712"/>
      <c r="N48" s="2712"/>
      <c r="O48" s="2712"/>
      <c r="P48" s="3680" t="str">
        <f>A48</f>
        <v>成交单价（元/平方米）</v>
      </c>
      <c r="Q48" s="3691"/>
      <c r="R48" s="3692">
        <f>E48</f>
        <v>0</v>
      </c>
      <c r="S48" s="3692"/>
      <c r="T48" s="3692">
        <f>G48</f>
        <v>0</v>
      </c>
      <c r="U48" s="3692"/>
      <c r="V48" s="3692">
        <f>I48</f>
        <v>0</v>
      </c>
      <c r="W48" s="3692"/>
      <c r="X48" s="396"/>
      <c r="Y48" s="710"/>
      <c r="Z48" s="396"/>
      <c r="AA48" s="396"/>
      <c r="AB48" s="396"/>
      <c r="AC48" s="577"/>
    </row>
    <row r="49" spans="1:29" ht="15.75" thickBot="1">
      <c r="A49" s="436" t="s">
        <v>1793</v>
      </c>
      <c r="B49" s="437"/>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680"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3"/>
      <c r="L50" s="2720"/>
      <c r="M50" s="2712"/>
      <c r="N50" s="2712"/>
      <c r="O50" s="2712"/>
      <c r="P50" s="3869" t="str">
        <f>A50</f>
        <v>估价对象XX用房的比较价值（楼面单价，元/平方米）</v>
      </c>
      <c r="Q50" s="3870"/>
      <c r="R50" s="3871" t="e">
        <f>IF(F1="售价",ROUND(IF(D49="简单平均",AVERAGE(R49:V49),R49*F49+T49*H49+V49*J49),0),ROUND(IF(D49="简单平均",AVERAGE(R49:V49),R49*F49+T49*H49+V49*J49),1))</f>
        <v>#DIV/0!</v>
      </c>
      <c r="S50" s="3871"/>
      <c r="T50" s="3871"/>
      <c r="U50" s="3871"/>
      <c r="V50" s="3871"/>
      <c r="W50" s="387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0" t="str">
        <f>YEAR(C7)&amp;"-"&amp;MONTH(C7)</f>
        <v>2023-8</v>
      </c>
      <c r="D59" s="1181">
        <f>EDATE(C59,-1)</f>
        <v>45108</v>
      </c>
      <c r="E59" s="1181">
        <f>EDATE(D59,-1)</f>
        <v>45078</v>
      </c>
      <c r="F59" s="1181">
        <f t="shared" ref="F59:O59" si="16">EDATE(E59,-1)</f>
        <v>45047</v>
      </c>
      <c r="G59" s="1181">
        <f t="shared" si="16"/>
        <v>45017</v>
      </c>
      <c r="H59" s="1181">
        <f t="shared" si="16"/>
        <v>44986</v>
      </c>
      <c r="I59" s="1181">
        <f t="shared" si="16"/>
        <v>44958</v>
      </c>
      <c r="J59" s="1181">
        <f t="shared" si="16"/>
        <v>44927</v>
      </c>
      <c r="K59" s="1181">
        <f t="shared" si="16"/>
        <v>44896</v>
      </c>
      <c r="L59" s="1181">
        <f t="shared" si="16"/>
        <v>44866</v>
      </c>
      <c r="M59" s="1181">
        <f t="shared" si="16"/>
        <v>44835</v>
      </c>
      <c r="N59" s="1181">
        <f t="shared" si="16"/>
        <v>44805</v>
      </c>
      <c r="O59" s="1181">
        <f t="shared" si="16"/>
        <v>44774</v>
      </c>
      <c r="P59" s="2755"/>
      <c r="Q59" s="2737"/>
      <c r="R59" s="2737"/>
      <c r="S59" s="2737"/>
      <c r="T59" s="2737"/>
      <c r="U59" s="2737"/>
      <c r="V59" s="2737"/>
      <c r="W59" s="2737"/>
      <c r="X59" s="2737"/>
      <c r="Y59" s="2737"/>
      <c r="Z59" s="2737"/>
      <c r="AA59" s="2737"/>
      <c r="AB59" s="2737"/>
      <c r="AC59" s="2737"/>
    </row>
    <row r="60" spans="1:29" s="107"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7"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7"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1826</v>
      </c>
      <c r="C1" s="1220" t="s">
        <v>1662</v>
      </c>
      <c r="D1" s="1221"/>
      <c r="E1" s="3428"/>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178258</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1769</v>
      </c>
      <c r="B4" s="355"/>
      <c r="C4" s="3652" t="s">
        <v>1770</v>
      </c>
      <c r="D4" s="3653"/>
      <c r="E4" s="3654" t="s">
        <v>1771</v>
      </c>
      <c r="F4" s="3655"/>
      <c r="G4" s="3652" t="s">
        <v>1772</v>
      </c>
      <c r="H4" s="3653"/>
      <c r="I4" s="3652" t="s">
        <v>1773</v>
      </c>
      <c r="J4" s="3653"/>
      <c r="K4" s="558" t="s">
        <v>1774</v>
      </c>
      <c r="L4" s="909"/>
      <c r="M4" s="910"/>
      <c r="N4" s="910"/>
      <c r="O4" s="910"/>
      <c r="P4" s="3656" t="s">
        <v>1775</v>
      </c>
      <c r="Q4" s="3657"/>
      <c r="R4" s="3662" t="s">
        <v>1771</v>
      </c>
      <c r="S4" s="3663"/>
      <c r="T4" s="3662" t="s">
        <v>1772</v>
      </c>
      <c r="U4" s="3663"/>
      <c r="V4" s="3676" t="s">
        <v>1773</v>
      </c>
      <c r="W4" s="3676"/>
      <c r="X4" s="1351"/>
      <c r="Y4" s="3662" t="s">
        <v>1775</v>
      </c>
      <c r="Z4" s="3663"/>
      <c r="AA4" s="3649" t="s">
        <v>1771</v>
      </c>
      <c r="AB4" s="3650" t="s">
        <v>1772</v>
      </c>
      <c r="AC4" s="3649" t="s">
        <v>1773</v>
      </c>
    </row>
    <row r="5" spans="1:29" ht="15">
      <c r="A5" s="357"/>
      <c r="B5" s="358"/>
      <c r="C5" s="3666" t="s">
        <v>1673</v>
      </c>
      <c r="D5" s="3667"/>
      <c r="E5" s="3668" t="s">
        <v>1674</v>
      </c>
      <c r="F5" s="3669"/>
      <c r="G5" s="3666" t="s">
        <v>1675</v>
      </c>
      <c r="H5" s="3667"/>
      <c r="I5" s="3666" t="s">
        <v>1676</v>
      </c>
      <c r="J5" s="3667"/>
      <c r="K5" s="558"/>
      <c r="L5" s="909"/>
      <c r="M5" s="910"/>
      <c r="N5" s="910"/>
      <c r="O5" s="910"/>
      <c r="P5" s="3658"/>
      <c r="Q5" s="3659"/>
      <c r="R5" s="3664"/>
      <c r="S5" s="3665"/>
      <c r="T5" s="3664"/>
      <c r="U5" s="3665"/>
      <c r="V5" s="3676"/>
      <c r="W5" s="3676"/>
      <c r="X5" s="1351"/>
      <c r="Y5" s="3664"/>
      <c r="Z5" s="3665"/>
      <c r="AA5" s="3650"/>
      <c r="AB5" s="3650"/>
      <c r="AC5" s="3650"/>
    </row>
    <row r="6" spans="1:29" ht="15.75" thickBot="1">
      <c r="A6" s="359"/>
      <c r="B6" s="360"/>
      <c r="C6" s="3670" t="s">
        <v>1677</v>
      </c>
      <c r="D6" s="3671"/>
      <c r="E6" s="3672" t="s">
        <v>1677</v>
      </c>
      <c r="F6" s="3673"/>
      <c r="G6" s="3670" t="s">
        <v>1677</v>
      </c>
      <c r="H6" s="3671"/>
      <c r="I6" s="3670" t="s">
        <v>1677</v>
      </c>
      <c r="J6" s="3671"/>
      <c r="K6" s="558" t="s">
        <v>1678</v>
      </c>
      <c r="L6" s="909"/>
      <c r="M6" s="910"/>
      <c r="N6" s="910"/>
      <c r="O6" s="910"/>
      <c r="P6" s="3660"/>
      <c r="Q6" s="3661"/>
      <c r="R6" s="3664"/>
      <c r="S6" s="3665"/>
      <c r="T6" s="3674"/>
      <c r="U6" s="3675"/>
      <c r="V6" s="3676"/>
      <c r="W6" s="3676"/>
      <c r="X6" s="1351"/>
      <c r="Y6" s="3674"/>
      <c r="Z6" s="3675"/>
      <c r="AA6" s="3651"/>
      <c r="AB6" s="3651"/>
      <c r="AC6" s="3651"/>
    </row>
    <row r="7" spans="1:29" s="107" customFormat="1" ht="15.75" thickBot="1">
      <c r="A7" s="361" t="s">
        <v>1679</v>
      </c>
      <c r="B7" s="362"/>
      <c r="C7" s="363">
        <f>'数据-取费表'!B2</f>
        <v>45159</v>
      </c>
      <c r="D7" s="364">
        <v>100</v>
      </c>
      <c r="E7" s="365"/>
      <c r="F7" s="366">
        <f>SUMIF(52:52,YEAR(E7)&amp;"-"&amp;MONTH(E7),53:53)</f>
        <v>0</v>
      </c>
      <c r="G7" s="365"/>
      <c r="H7" s="364">
        <f>SUMIF(52:52,YEAR(G7)&amp;"-"&amp;MONTH(G7),53:53)</f>
        <v>0</v>
      </c>
      <c r="I7" s="365"/>
      <c r="J7" s="364">
        <f>SUMIF(52:52,YEAR(I7)&amp;"-"&amp;MONTH(I7),53:53)</f>
        <v>0</v>
      </c>
      <c r="K7" s="559"/>
      <c r="L7" s="911"/>
      <c r="M7" s="912"/>
      <c r="N7" s="912"/>
      <c r="O7" s="912"/>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677" t="s">
        <v>1683</v>
      </c>
      <c r="Q8" s="3679"/>
      <c r="R8" s="699" t="s">
        <v>14</v>
      </c>
      <c r="S8" s="700">
        <f t="shared" si="0"/>
        <v>100</v>
      </c>
      <c r="T8" s="699" t="s">
        <v>14</v>
      </c>
      <c r="U8" s="700">
        <f t="shared" si="1"/>
        <v>100</v>
      </c>
      <c r="V8" s="699" t="s">
        <v>14</v>
      </c>
      <c r="W8" s="700">
        <f t="shared" si="2"/>
        <v>100</v>
      </c>
      <c r="X8" s="701"/>
      <c r="Y8" s="3677" t="s">
        <v>1683</v>
      </c>
      <c r="Z8" s="367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691"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4"/>
      <c r="M10" s="915"/>
      <c r="N10" s="915"/>
      <c r="O10" s="916"/>
      <c r="P10" s="3691"/>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691"/>
      <c r="Q11" s="1339" t="str">
        <f t="shared" si="6"/>
        <v>容积率</v>
      </c>
      <c r="R11" s="699" t="s">
        <v>14</v>
      </c>
      <c r="S11" s="700">
        <f t="shared" si="0"/>
        <v>100</v>
      </c>
      <c r="T11" s="699" t="s">
        <v>14</v>
      </c>
      <c r="U11" s="700">
        <f t="shared" si="1"/>
        <v>100</v>
      </c>
      <c r="V11" s="699" t="s">
        <v>14</v>
      </c>
      <c r="W11" s="700">
        <f t="shared" si="2"/>
        <v>100</v>
      </c>
      <c r="X11" s="701"/>
      <c r="Y11" s="3681"/>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691"/>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691"/>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691"/>
      <c r="Q14" s="1339">
        <f t="shared" si="6"/>
        <v>111</v>
      </c>
      <c r="R14" s="699" t="s">
        <v>14</v>
      </c>
      <c r="S14" s="700">
        <f t="shared" si="0"/>
        <v>100</v>
      </c>
      <c r="T14" s="699" t="s">
        <v>14</v>
      </c>
      <c r="U14" s="700">
        <f t="shared" si="1"/>
        <v>100</v>
      </c>
      <c r="V14" s="699" t="s">
        <v>14</v>
      </c>
      <c r="W14" s="700">
        <f t="shared" si="2"/>
        <v>100</v>
      </c>
      <c r="X14" s="701"/>
      <c r="Y14" s="3681"/>
      <c r="Z14" s="52">
        <f t="shared" si="7"/>
        <v>111</v>
      </c>
      <c r="AA14" s="702">
        <f t="shared" si="3"/>
        <v>1</v>
      </c>
      <c r="AB14" s="702">
        <f t="shared" si="4"/>
        <v>1</v>
      </c>
      <c r="AC14" s="702">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684" t="s">
        <v>1691</v>
      </c>
      <c r="Q15" s="1348" t="str">
        <f t="shared" si="6"/>
        <v>产业集聚程度</v>
      </c>
      <c r="R15" s="703" t="s">
        <v>14</v>
      </c>
      <c r="S15" s="704">
        <f t="shared" si="0"/>
        <v>100</v>
      </c>
      <c r="T15" s="703" t="s">
        <v>14</v>
      </c>
      <c r="U15" s="704">
        <f t="shared" si="1"/>
        <v>100</v>
      </c>
      <c r="V15" s="703" t="s">
        <v>14</v>
      </c>
      <c r="W15" s="704">
        <f t="shared" si="2"/>
        <v>100</v>
      </c>
      <c r="X15" s="1351"/>
      <c r="Y15" s="3684"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685"/>
      <c r="Q16" s="1348"/>
      <c r="R16" s="703"/>
      <c r="S16" s="704"/>
      <c r="T16" s="703"/>
      <c r="U16" s="704"/>
      <c r="V16" s="703"/>
      <c r="W16" s="704"/>
      <c r="X16" s="1351"/>
      <c r="Y16" s="3685"/>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685"/>
      <c r="Q17" s="1348" t="str">
        <f>B17</f>
        <v>交通便捷度</v>
      </c>
      <c r="R17" s="703" t="s">
        <v>14</v>
      </c>
      <c r="S17" s="704">
        <f>F17</f>
        <v>100</v>
      </c>
      <c r="T17" s="703" t="s">
        <v>14</v>
      </c>
      <c r="U17" s="704">
        <f>H17</f>
        <v>100</v>
      </c>
      <c r="V17" s="703" t="s">
        <v>14</v>
      </c>
      <c r="W17" s="704">
        <f>J17</f>
        <v>100</v>
      </c>
      <c r="X17" s="1351"/>
      <c r="Y17" s="368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685"/>
      <c r="Q18" s="1348"/>
      <c r="R18" s="703"/>
      <c r="S18" s="704"/>
      <c r="T18" s="703"/>
      <c r="U18" s="704"/>
      <c r="V18" s="703"/>
      <c r="W18" s="704"/>
      <c r="X18" s="1351"/>
      <c r="Y18" s="3685"/>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685"/>
      <c r="Q19" s="1348" t="str">
        <f>B19</f>
        <v>公共配套设施</v>
      </c>
      <c r="R19" s="703" t="s">
        <v>14</v>
      </c>
      <c r="S19" s="704">
        <f>F19</f>
        <v>100</v>
      </c>
      <c r="T19" s="703" t="s">
        <v>14</v>
      </c>
      <c r="U19" s="704">
        <f>H19</f>
        <v>100</v>
      </c>
      <c r="V19" s="703" t="s">
        <v>14</v>
      </c>
      <c r="W19" s="704">
        <f>J19</f>
        <v>100</v>
      </c>
      <c r="X19" s="1351"/>
      <c r="Y19" s="368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685"/>
      <c r="Q20" s="1348"/>
      <c r="R20" s="703"/>
      <c r="S20" s="704"/>
      <c r="T20" s="703"/>
      <c r="U20" s="704"/>
      <c r="V20" s="703"/>
      <c r="W20" s="704"/>
      <c r="X20" s="1351"/>
      <c r="Y20" s="3685"/>
      <c r="Z20" s="1352"/>
      <c r="AA20" s="1349">
        <v>1</v>
      </c>
      <c r="AB20" s="1349">
        <v>1</v>
      </c>
      <c r="AC20" s="1349">
        <v>1</v>
      </c>
    </row>
    <row r="21" spans="1:29" ht="28.5">
      <c r="A21" s="378"/>
      <c r="B21" s="1127"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685"/>
      <c r="Q21" s="1348" t="str">
        <f>B21</f>
        <v>基础设施水平</v>
      </c>
      <c r="R21" s="703" t="s">
        <v>14</v>
      </c>
      <c r="S21" s="704">
        <f>F21</f>
        <v>100</v>
      </c>
      <c r="T21" s="703" t="s">
        <v>14</v>
      </c>
      <c r="U21" s="704">
        <f>H21</f>
        <v>100</v>
      </c>
      <c r="V21" s="703" t="s">
        <v>14</v>
      </c>
      <c r="W21" s="704">
        <f>J21</f>
        <v>100</v>
      </c>
      <c r="X21" s="1351"/>
      <c r="Y21" s="368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685"/>
      <c r="Q22" s="1348"/>
      <c r="R22" s="703"/>
      <c r="S22" s="704"/>
      <c r="T22" s="703"/>
      <c r="U22" s="704"/>
      <c r="V22" s="703"/>
      <c r="W22" s="704"/>
      <c r="X22" s="1351"/>
      <c r="Y22" s="3685"/>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685"/>
      <c r="Q23" s="1348" t="str">
        <f>B23</f>
        <v>环境质量</v>
      </c>
      <c r="R23" s="703" t="s">
        <v>14</v>
      </c>
      <c r="S23" s="704">
        <f>F23</f>
        <v>100</v>
      </c>
      <c r="T23" s="703" t="s">
        <v>14</v>
      </c>
      <c r="U23" s="704">
        <f>H23</f>
        <v>100</v>
      </c>
      <c r="V23" s="703" t="s">
        <v>14</v>
      </c>
      <c r="W23" s="704">
        <f>J23</f>
        <v>100</v>
      </c>
      <c r="X23" s="1351"/>
      <c r="Y23" s="3685"/>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685"/>
      <c r="Q24" s="1348"/>
      <c r="R24" s="703"/>
      <c r="S24" s="704"/>
      <c r="T24" s="703"/>
      <c r="U24" s="704"/>
      <c r="V24" s="703"/>
      <c r="W24" s="704"/>
      <c r="X24" s="1351"/>
      <c r="Y24" s="3685"/>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685"/>
      <c r="Q25" s="1348">
        <f>B25</f>
        <v>111</v>
      </c>
      <c r="R25" s="703" t="s">
        <v>14</v>
      </c>
      <c r="S25" s="704">
        <f>F25</f>
        <v>100</v>
      </c>
      <c r="T25" s="703" t="s">
        <v>14</v>
      </c>
      <c r="U25" s="704">
        <f>H25</f>
        <v>100</v>
      </c>
      <c r="V25" s="703" t="s">
        <v>14</v>
      </c>
      <c r="W25" s="704">
        <f>J25</f>
        <v>100</v>
      </c>
      <c r="X25" s="1351"/>
      <c r="Y25" s="3685"/>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685"/>
      <c r="Q26" s="1348">
        <f t="shared" ref="Q26:Q40" si="11">B26</f>
        <v>111</v>
      </c>
      <c r="R26" s="703" t="s">
        <v>14</v>
      </c>
      <c r="S26" s="704">
        <f>F26</f>
        <v>100</v>
      </c>
      <c r="T26" s="703" t="s">
        <v>14</v>
      </c>
      <c r="U26" s="704">
        <f>H26</f>
        <v>100</v>
      </c>
      <c r="V26" s="703" t="s">
        <v>14</v>
      </c>
      <c r="W26" s="704">
        <f>J26</f>
        <v>100</v>
      </c>
      <c r="X26" s="1351"/>
      <c r="Y26" s="3685"/>
      <c r="Z26" s="1352">
        <f>Q26</f>
        <v>111</v>
      </c>
      <c r="AA26" s="1349">
        <f t="shared" si="3"/>
        <v>1</v>
      </c>
      <c r="AB26" s="1349">
        <f t="shared" si="4"/>
        <v>1</v>
      </c>
      <c r="AC26" s="1349">
        <f t="shared" si="5"/>
        <v>1</v>
      </c>
    </row>
    <row r="27" spans="1:29" s="107"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685"/>
      <c r="Q27" s="1339">
        <f t="shared" si="11"/>
        <v>111</v>
      </c>
      <c r="R27" s="699" t="s">
        <v>14</v>
      </c>
      <c r="S27" s="700">
        <f>F27</f>
        <v>100</v>
      </c>
      <c r="T27" s="699" t="s">
        <v>14</v>
      </c>
      <c r="U27" s="700">
        <f>H27</f>
        <v>100</v>
      </c>
      <c r="V27" s="699" t="s">
        <v>14</v>
      </c>
      <c r="W27" s="700">
        <f>J27</f>
        <v>100</v>
      </c>
      <c r="X27" s="701"/>
      <c r="Y27" s="3685"/>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685"/>
      <c r="Q28" s="1348">
        <f t="shared" si="11"/>
        <v>111</v>
      </c>
      <c r="R28" s="703" t="s">
        <v>14</v>
      </c>
      <c r="S28" s="704">
        <f t="shared" ref="S28:S40" si="12">F28</f>
        <v>100</v>
      </c>
      <c r="T28" s="703" t="s">
        <v>14</v>
      </c>
      <c r="U28" s="704">
        <f t="shared" ref="U28:U40" si="13">H28</f>
        <v>100</v>
      </c>
      <c r="V28" s="703" t="s">
        <v>14</v>
      </c>
      <c r="W28" s="704">
        <f t="shared" ref="W28:W40" si="14">J28</f>
        <v>100</v>
      </c>
      <c r="X28" s="1351"/>
      <c r="Y28" s="3685"/>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29" t="s">
        <v>1696</v>
      </c>
      <c r="Q29" s="1348" t="str">
        <f t="shared" si="11"/>
        <v>建筑类型</v>
      </c>
      <c r="R29" s="703" t="s">
        <v>14</v>
      </c>
      <c r="S29" s="704">
        <f t="shared" si="12"/>
        <v>100</v>
      </c>
      <c r="T29" s="703" t="s">
        <v>14</v>
      </c>
      <c r="U29" s="704">
        <f t="shared" si="13"/>
        <v>100</v>
      </c>
      <c r="V29" s="703" t="s">
        <v>14</v>
      </c>
      <c r="W29" s="704">
        <f t="shared" si="14"/>
        <v>100</v>
      </c>
      <c r="X29" s="1351"/>
      <c r="Y29" s="3689"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689"/>
      <c r="Q30" s="705" t="str">
        <f t="shared" si="11"/>
        <v>项目建筑规模</v>
      </c>
      <c r="R30" s="706" t="s">
        <v>14</v>
      </c>
      <c r="S30" s="707" t="e">
        <f t="shared" si="12"/>
        <v>#N/A</v>
      </c>
      <c r="T30" s="706" t="s">
        <v>14</v>
      </c>
      <c r="U30" s="707" t="e">
        <f t="shared" si="13"/>
        <v>#N/A</v>
      </c>
      <c r="V30" s="706" t="s">
        <v>14</v>
      </c>
      <c r="W30" s="707" t="e">
        <f t="shared" si="14"/>
        <v>#N/A</v>
      </c>
      <c r="X30" s="708"/>
      <c r="Y30" s="3689"/>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689"/>
      <c r="Q31" s="1348" t="str">
        <f t="shared" si="11"/>
        <v>建筑结构</v>
      </c>
      <c r="R31" s="703" t="s">
        <v>14</v>
      </c>
      <c r="S31" s="704">
        <f t="shared" si="12"/>
        <v>100</v>
      </c>
      <c r="T31" s="703" t="s">
        <v>14</v>
      </c>
      <c r="U31" s="704">
        <f t="shared" si="13"/>
        <v>100</v>
      </c>
      <c r="V31" s="703" t="s">
        <v>14</v>
      </c>
      <c r="W31" s="704">
        <f t="shared" si="14"/>
        <v>100</v>
      </c>
      <c r="X31" s="1351"/>
      <c r="Y31" s="3689"/>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689"/>
      <c r="Q32" s="1348" t="str">
        <f t="shared" si="11"/>
        <v>公共部分装修</v>
      </c>
      <c r="R32" s="703" t="s">
        <v>14</v>
      </c>
      <c r="S32" s="704">
        <f t="shared" si="12"/>
        <v>100</v>
      </c>
      <c r="T32" s="703" t="s">
        <v>14</v>
      </c>
      <c r="U32" s="704">
        <f t="shared" si="13"/>
        <v>100</v>
      </c>
      <c r="V32" s="703" t="s">
        <v>14</v>
      </c>
      <c r="W32" s="704">
        <f t="shared" si="14"/>
        <v>100</v>
      </c>
      <c r="X32" s="1351"/>
      <c r="Y32" s="3689"/>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689"/>
      <c r="Q33" s="1348" t="str">
        <f t="shared" si="11"/>
        <v>成新度</v>
      </c>
      <c r="R33" s="703" t="s">
        <v>14</v>
      </c>
      <c r="S33" s="704" t="e">
        <f t="shared" si="12"/>
        <v>#N/A</v>
      </c>
      <c r="T33" s="703" t="s">
        <v>14</v>
      </c>
      <c r="U33" s="704" t="e">
        <f t="shared" si="13"/>
        <v>#N/A</v>
      </c>
      <c r="V33" s="703" t="s">
        <v>14</v>
      </c>
      <c r="W33" s="704" t="e">
        <f t="shared" si="14"/>
        <v>#N/A</v>
      </c>
      <c r="X33" s="1351"/>
      <c r="Y33" s="3689"/>
      <c r="Z33" s="1352" t="str">
        <f t="shared" si="15"/>
        <v>成新度</v>
      </c>
      <c r="AA33" s="1349" t="e">
        <f t="shared" si="3"/>
        <v>#N/A</v>
      </c>
      <c r="AB33" s="1349" t="e">
        <f t="shared" si="4"/>
        <v>#N/A</v>
      </c>
      <c r="AC33" s="1349"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689"/>
      <c r="Q34" s="1339" t="str">
        <f t="shared" si="11"/>
        <v>物业管理</v>
      </c>
      <c r="R34" s="699" t="s">
        <v>14</v>
      </c>
      <c r="S34" s="700">
        <f t="shared" si="12"/>
        <v>100</v>
      </c>
      <c r="T34" s="699" t="s">
        <v>14</v>
      </c>
      <c r="U34" s="700">
        <f t="shared" si="13"/>
        <v>100</v>
      </c>
      <c r="V34" s="699" t="s">
        <v>14</v>
      </c>
      <c r="W34" s="700">
        <f t="shared" si="14"/>
        <v>100</v>
      </c>
      <c r="X34" s="701"/>
      <c r="Y34" s="3689"/>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689" t="s">
        <v>1696</v>
      </c>
      <c r="Q35" s="1348" t="str">
        <f t="shared" si="11"/>
        <v>市政基础设施</v>
      </c>
      <c r="R35" s="703" t="s">
        <v>14</v>
      </c>
      <c r="S35" s="704">
        <f t="shared" si="12"/>
        <v>100</v>
      </c>
      <c r="T35" s="703" t="s">
        <v>14</v>
      </c>
      <c r="U35" s="704">
        <f t="shared" si="13"/>
        <v>100</v>
      </c>
      <c r="V35" s="703" t="s">
        <v>14</v>
      </c>
      <c r="W35" s="704">
        <f t="shared" si="14"/>
        <v>100</v>
      </c>
      <c r="X35" s="1351"/>
      <c r="Y35" s="3689"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689"/>
      <c r="Q36" s="1348" t="str">
        <f t="shared" si="11"/>
        <v>内部装修</v>
      </c>
      <c r="R36" s="703" t="s">
        <v>14</v>
      </c>
      <c r="S36" s="704">
        <f t="shared" si="12"/>
        <v>100</v>
      </c>
      <c r="T36" s="703" t="s">
        <v>14</v>
      </c>
      <c r="U36" s="704">
        <f t="shared" si="13"/>
        <v>100</v>
      </c>
      <c r="V36" s="703" t="s">
        <v>14</v>
      </c>
      <c r="W36" s="704">
        <f t="shared" si="14"/>
        <v>100</v>
      </c>
      <c r="X36" s="1351"/>
      <c r="Y36" s="3689"/>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689"/>
      <c r="Q37" s="1348" t="str">
        <f t="shared" si="11"/>
        <v>内部装修状况</v>
      </c>
      <c r="R37" s="703" t="s">
        <v>14</v>
      </c>
      <c r="S37" s="704">
        <f t="shared" si="12"/>
        <v>100</v>
      </c>
      <c r="T37" s="703" t="s">
        <v>14</v>
      </c>
      <c r="U37" s="704">
        <f t="shared" si="13"/>
        <v>100</v>
      </c>
      <c r="V37" s="703" t="s">
        <v>14</v>
      </c>
      <c r="W37" s="704">
        <f t="shared" si="14"/>
        <v>100</v>
      </c>
      <c r="X37" s="1351"/>
      <c r="Y37" s="3689"/>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689"/>
      <c r="Q38" s="705">
        <f t="shared" si="11"/>
        <v>111</v>
      </c>
      <c r="R38" s="706" t="s">
        <v>14</v>
      </c>
      <c r="S38" s="707">
        <f t="shared" si="12"/>
        <v>100</v>
      </c>
      <c r="T38" s="706" t="s">
        <v>14</v>
      </c>
      <c r="U38" s="707">
        <f t="shared" si="13"/>
        <v>100</v>
      </c>
      <c r="V38" s="706" t="s">
        <v>14</v>
      </c>
      <c r="W38" s="707">
        <f t="shared" si="14"/>
        <v>100</v>
      </c>
      <c r="X38" s="708"/>
      <c r="Y38" s="3689"/>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689"/>
      <c r="Q39" s="1348">
        <f t="shared" si="11"/>
        <v>111</v>
      </c>
      <c r="R39" s="703" t="s">
        <v>14</v>
      </c>
      <c r="S39" s="704">
        <f t="shared" si="12"/>
        <v>100</v>
      </c>
      <c r="T39" s="703" t="s">
        <v>14</v>
      </c>
      <c r="U39" s="704">
        <f t="shared" si="13"/>
        <v>100</v>
      </c>
      <c r="V39" s="703" t="s">
        <v>14</v>
      </c>
      <c r="W39" s="704">
        <f t="shared" si="14"/>
        <v>100</v>
      </c>
      <c r="X39" s="1351"/>
      <c r="Y39" s="3689"/>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690"/>
      <c r="Q40" s="1348">
        <f t="shared" si="11"/>
        <v>111</v>
      </c>
      <c r="R40" s="703" t="s">
        <v>14</v>
      </c>
      <c r="S40" s="704">
        <f t="shared" si="12"/>
        <v>100</v>
      </c>
      <c r="T40" s="703" t="s">
        <v>14</v>
      </c>
      <c r="U40" s="704">
        <f t="shared" si="13"/>
        <v>100</v>
      </c>
      <c r="V40" s="703" t="s">
        <v>14</v>
      </c>
      <c r="W40" s="704">
        <f t="shared" si="14"/>
        <v>100</v>
      </c>
      <c r="X40" s="1351"/>
      <c r="Y40" s="3690"/>
      <c r="Z40" s="1352">
        <f t="shared" si="15"/>
        <v>111</v>
      </c>
      <c r="AA40" s="1349">
        <f t="shared" si="3"/>
        <v>1</v>
      </c>
      <c r="AB40" s="1349">
        <f t="shared" si="4"/>
        <v>1</v>
      </c>
      <c r="AC40" s="1349">
        <f t="shared" si="5"/>
        <v>1</v>
      </c>
    </row>
    <row r="41" spans="1:29" ht="15">
      <c r="A41" s="429" t="s">
        <v>1708</v>
      </c>
      <c r="B41" s="430"/>
      <c r="C41" s="1150" t="s">
        <v>0</v>
      </c>
      <c r="D41" s="1151"/>
      <c r="E41" s="1152"/>
      <c r="F41" s="1153"/>
      <c r="G41" s="1154"/>
      <c r="H41" s="1155"/>
      <c r="I41" s="1152"/>
      <c r="J41" s="1155"/>
      <c r="K41" s="712"/>
      <c r="L41" s="922"/>
      <c r="M41" s="923"/>
      <c r="N41" s="910"/>
      <c r="O41" s="923"/>
      <c r="P41" s="3691" t="str">
        <f>A41</f>
        <v>成交单价（元/平方米）</v>
      </c>
      <c r="Q41" s="3691"/>
      <c r="R41" s="3692">
        <f>E41</f>
        <v>0</v>
      </c>
      <c r="S41" s="3692"/>
      <c r="T41" s="3692">
        <f>G41</f>
        <v>0</v>
      </c>
      <c r="U41" s="3692"/>
      <c r="V41" s="3692">
        <f>I41</f>
        <v>0</v>
      </c>
      <c r="W41" s="3692"/>
      <c r="X41" s="688"/>
      <c r="Y41" s="710"/>
      <c r="Z41" s="688"/>
      <c r="AA41" s="688"/>
      <c r="AB41" s="688"/>
      <c r="AC41" s="688"/>
    </row>
    <row r="42" spans="1:29" ht="15.75" thickBot="1">
      <c r="A42" s="436" t="s">
        <v>1793</v>
      </c>
      <c r="B42" s="437"/>
      <c r="C42" s="1156" t="e">
        <f>R43</f>
        <v>#DIV/0!</v>
      </c>
      <c r="D42" s="2313" t="s">
        <v>2138</v>
      </c>
      <c r="E42" s="1157" t="e">
        <f>R42</f>
        <v>#DIV/0!</v>
      </c>
      <c r="F42" s="2314"/>
      <c r="G42" s="1156" t="e">
        <f>T42</f>
        <v>#DIV/0!</v>
      </c>
      <c r="H42" s="2314"/>
      <c r="I42" s="1157" t="e">
        <f>V42</f>
        <v>#DIV/0!</v>
      </c>
      <c r="J42" s="2314"/>
      <c r="K42" s="2316">
        <f>F42+H42+J42</f>
        <v>0</v>
      </c>
      <c r="L42" s="922"/>
      <c r="M42" s="923"/>
      <c r="N42" s="910"/>
      <c r="O42" s="923"/>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8"/>
      <c r="Y42" s="688"/>
      <c r="Z42" s="688"/>
      <c r="AA42" s="688"/>
      <c r="AB42" s="688"/>
      <c r="AC42" s="688"/>
    </row>
    <row r="43" spans="1:29" ht="15.75" thickBot="1">
      <c r="A43" s="440" t="s">
        <v>1794</v>
      </c>
      <c r="B43" s="441"/>
      <c r="C43" s="1159" t="e">
        <f>R43</f>
        <v>#DIV/0!</v>
      </c>
      <c r="D43" s="1159"/>
      <c r="E43" s="1159"/>
      <c r="F43" s="1159"/>
      <c r="G43" s="1159"/>
      <c r="H43" s="1159"/>
      <c r="I43" s="1159"/>
      <c r="J43" s="1159"/>
      <c r="K43" s="713"/>
      <c r="L43" s="922"/>
      <c r="M43" s="923"/>
      <c r="N43" s="923"/>
      <c r="O43" s="923"/>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1798</v>
      </c>
      <c r="B51" s="688"/>
      <c r="C51" s="693"/>
      <c r="D51" s="693"/>
      <c r="E51" s="693"/>
      <c r="F51" s="694"/>
      <c r="G51" s="694"/>
      <c r="H51" s="693"/>
      <c r="I51" s="693"/>
      <c r="J51" s="693"/>
      <c r="K51" s="937"/>
      <c r="L51" s="938"/>
      <c r="M51" s="936"/>
      <c r="N51" s="936"/>
      <c r="O51" s="936"/>
      <c r="P51" s="451"/>
      <c r="Q51" s="452"/>
    </row>
    <row r="52" spans="1:17" s="456" customFormat="1" ht="15">
      <c r="A52" s="453" t="s">
        <v>1679</v>
      </c>
      <c r="B52" s="454"/>
      <c r="C52" s="1180" t="str">
        <f>YEAR(C7)&amp;"-"&amp;MONTH(C7)</f>
        <v>2023-8</v>
      </c>
      <c r="D52" s="1181">
        <f>EDATE(C52,-1)</f>
        <v>45108</v>
      </c>
      <c r="E52" s="1181">
        <f t="shared" ref="E52:O52" si="16">EDATE(D52,-1)</f>
        <v>45078</v>
      </c>
      <c r="F52" s="1181">
        <f t="shared" si="16"/>
        <v>45047</v>
      </c>
      <c r="G52" s="1181">
        <f t="shared" si="16"/>
        <v>45017</v>
      </c>
      <c r="H52" s="1181">
        <f t="shared" si="16"/>
        <v>44986</v>
      </c>
      <c r="I52" s="1181">
        <f t="shared" si="16"/>
        <v>44958</v>
      </c>
      <c r="J52" s="1181">
        <f t="shared" si="16"/>
        <v>44927</v>
      </c>
      <c r="K52" s="1181">
        <f t="shared" si="16"/>
        <v>44896</v>
      </c>
      <c r="L52" s="1181">
        <f t="shared" si="16"/>
        <v>44866</v>
      </c>
      <c r="M52" s="1181">
        <f t="shared" si="16"/>
        <v>44835</v>
      </c>
      <c r="N52" s="1181">
        <f t="shared" si="16"/>
        <v>44805</v>
      </c>
      <c r="O52" s="1181">
        <f t="shared" si="16"/>
        <v>44774</v>
      </c>
      <c r="P52" s="455"/>
    </row>
    <row r="53" spans="1:17" s="107" customFormat="1" ht="15">
      <c r="A53" s="457"/>
      <c r="B53" s="458"/>
      <c r="C53" s="1179">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1769</v>
      </c>
      <c r="B4" s="355"/>
      <c r="C4" s="3652" t="s">
        <v>1770</v>
      </c>
      <c r="D4" s="3653"/>
      <c r="E4" s="3654" t="s">
        <v>1771</v>
      </c>
      <c r="F4" s="3655"/>
      <c r="G4" s="3652" t="s">
        <v>1772</v>
      </c>
      <c r="H4" s="3653"/>
      <c r="I4" s="3652" t="s">
        <v>1773</v>
      </c>
      <c r="J4" s="3653"/>
      <c r="K4" s="558" t="s">
        <v>1774</v>
      </c>
      <c r="L4" s="2711"/>
      <c r="M4" s="2712"/>
      <c r="N4" s="2712"/>
      <c r="O4" s="2712"/>
      <c r="P4" s="3656" t="s">
        <v>1775</v>
      </c>
      <c r="Q4" s="3657"/>
      <c r="R4" s="3662" t="s">
        <v>1771</v>
      </c>
      <c r="S4" s="3663"/>
      <c r="T4" s="3662" t="s">
        <v>1772</v>
      </c>
      <c r="U4" s="3663"/>
      <c r="V4" s="3676" t="s">
        <v>1773</v>
      </c>
      <c r="W4" s="3676"/>
      <c r="X4" s="1351"/>
      <c r="Y4" s="3662" t="s">
        <v>1775</v>
      </c>
      <c r="Z4" s="3663"/>
      <c r="AA4" s="3649" t="s">
        <v>1771</v>
      </c>
      <c r="AB4" s="3650" t="s">
        <v>1772</v>
      </c>
      <c r="AC4" s="3649" t="s">
        <v>1773</v>
      </c>
    </row>
    <row r="5" spans="1:30" ht="15">
      <c r="A5" s="357"/>
      <c r="B5" s="358"/>
      <c r="C5" s="3666" t="s">
        <v>1673</v>
      </c>
      <c r="D5" s="3667"/>
      <c r="E5" s="3668" t="s">
        <v>1674</v>
      </c>
      <c r="F5" s="3669"/>
      <c r="G5" s="3666" t="s">
        <v>1675</v>
      </c>
      <c r="H5" s="3667"/>
      <c r="I5" s="3666" t="s">
        <v>1676</v>
      </c>
      <c r="J5" s="3667"/>
      <c r="K5" s="558"/>
      <c r="L5" s="2711"/>
      <c r="M5" s="2712"/>
      <c r="N5" s="2712"/>
      <c r="O5" s="2712"/>
      <c r="P5" s="3658"/>
      <c r="Q5" s="3659"/>
      <c r="R5" s="3664"/>
      <c r="S5" s="3665"/>
      <c r="T5" s="3664"/>
      <c r="U5" s="3665"/>
      <c r="V5" s="3676"/>
      <c r="W5" s="3676"/>
      <c r="X5" s="1351"/>
      <c r="Y5" s="3664"/>
      <c r="Z5" s="3665"/>
      <c r="AA5" s="3650"/>
      <c r="AB5" s="3650"/>
      <c r="AC5" s="3650"/>
    </row>
    <row r="6" spans="1:30" ht="15.75" thickBot="1">
      <c r="A6" s="359"/>
      <c r="B6" s="360"/>
      <c r="C6" s="3670" t="s">
        <v>1677</v>
      </c>
      <c r="D6" s="3671"/>
      <c r="E6" s="3672" t="s">
        <v>1677</v>
      </c>
      <c r="F6" s="3673"/>
      <c r="G6" s="3670" t="s">
        <v>1677</v>
      </c>
      <c r="H6" s="3671"/>
      <c r="I6" s="3670" t="s">
        <v>1677</v>
      </c>
      <c r="J6" s="3671"/>
      <c r="K6" s="558" t="s">
        <v>1678</v>
      </c>
      <c r="L6" s="2711"/>
      <c r="M6" s="2712"/>
      <c r="N6" s="2712"/>
      <c r="O6" s="2712"/>
      <c r="P6" s="3660"/>
      <c r="Q6" s="3661"/>
      <c r="R6" s="3664"/>
      <c r="S6" s="3665"/>
      <c r="T6" s="3674"/>
      <c r="U6" s="3675"/>
      <c r="V6" s="3676"/>
      <c r="W6" s="3676"/>
      <c r="X6" s="1351"/>
      <c r="Y6" s="3674"/>
      <c r="Z6" s="3675"/>
      <c r="AA6" s="3651"/>
      <c r="AB6" s="3651"/>
      <c r="AC6" s="3651"/>
    </row>
    <row r="7" spans="1:30" s="107" customFormat="1" ht="15.75" thickBot="1">
      <c r="A7" s="361" t="s">
        <v>1679</v>
      </c>
      <c r="B7" s="362"/>
      <c r="C7" s="363">
        <f>'数据-取费表'!B2</f>
        <v>45159</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77" t="s">
        <v>1683</v>
      </c>
      <c r="Q8" s="3679"/>
      <c r="R8" s="699" t="s">
        <v>14</v>
      </c>
      <c r="S8" s="700">
        <f t="shared" si="0"/>
        <v>0</v>
      </c>
      <c r="T8" s="699" t="s">
        <v>14</v>
      </c>
      <c r="U8" s="700">
        <f t="shared" si="1"/>
        <v>0</v>
      </c>
      <c r="V8" s="699" t="s">
        <v>14</v>
      </c>
      <c r="W8" s="700">
        <f t="shared" si="2"/>
        <v>0</v>
      </c>
      <c r="X8" s="701"/>
      <c r="Y8" s="3677" t="s">
        <v>1683</v>
      </c>
      <c r="Z8" s="3679"/>
      <c r="AA8" s="702" t="e">
        <f t="shared" ref="AA8:AA45" si="3">D8/F8</f>
        <v>#DIV/0!</v>
      </c>
      <c r="AB8" s="702" t="e">
        <f t="shared" ref="AB8:AB45" si="4">D8/H8</f>
        <v>#DIV/0!</v>
      </c>
      <c r="AC8" s="702" t="e">
        <f t="shared" ref="AC8:AC45" si="5">D8/J8</f>
        <v>#DIV/0!</v>
      </c>
    </row>
    <row r="9" spans="1:30" s="107"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691"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104</v>
      </c>
      <c r="G10" s="413"/>
      <c r="H10" s="126">
        <f>ROUND(100/'数据-取费表'!G16,0)</f>
        <v>104</v>
      </c>
      <c r="I10" s="413"/>
      <c r="J10" s="126">
        <f>ROUND(100/'数据-取费表'!G16,0)</f>
        <v>104</v>
      </c>
      <c r="K10" s="619"/>
      <c r="L10" s="2715"/>
      <c r="M10" s="2716"/>
      <c r="N10" s="2716"/>
      <c r="O10" s="2769"/>
      <c r="P10" s="3691"/>
      <c r="Q10" s="1339" t="str">
        <f t="shared" si="6"/>
        <v>土地使用年限（年）</v>
      </c>
      <c r="R10" s="699" t="s">
        <v>14</v>
      </c>
      <c r="S10" s="700">
        <f t="shared" si="0"/>
        <v>104</v>
      </c>
      <c r="T10" s="699" t="s">
        <v>14</v>
      </c>
      <c r="U10" s="700">
        <f t="shared" si="1"/>
        <v>104</v>
      </c>
      <c r="V10" s="699" t="s">
        <v>14</v>
      </c>
      <c r="W10" s="700">
        <f t="shared" si="2"/>
        <v>104</v>
      </c>
      <c r="X10" s="701"/>
      <c r="Y10" s="3681"/>
      <c r="Z10" s="52" t="str">
        <f t="shared" si="7"/>
        <v>土地使用年限（年）</v>
      </c>
      <c r="AA10" s="702">
        <f t="shared" si="3"/>
        <v>0.96153846153846156</v>
      </c>
      <c r="AB10" s="702">
        <f t="shared" si="4"/>
        <v>0.96153846153846156</v>
      </c>
      <c r="AC10" s="702">
        <f t="shared" si="5"/>
        <v>0.96153846153846156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91"/>
      <c r="Q11" s="1339" t="str">
        <f t="shared" si="6"/>
        <v>容积率</v>
      </c>
      <c r="R11" s="699" t="s">
        <v>14</v>
      </c>
      <c r="S11" s="700" t="e">
        <f t="shared" si="0"/>
        <v>#N/A</v>
      </c>
      <c r="T11" s="699" t="s">
        <v>14</v>
      </c>
      <c r="U11" s="700" t="e">
        <f t="shared" si="1"/>
        <v>#N/A</v>
      </c>
      <c r="V11" s="699" t="s">
        <v>14</v>
      </c>
      <c r="W11" s="700" t="e">
        <f t="shared" si="2"/>
        <v>#N/A</v>
      </c>
      <c r="X11" s="701"/>
      <c r="Y11" s="3681"/>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91"/>
      <c r="Q12" s="1339" t="str">
        <f t="shared" si="6"/>
        <v>配建</v>
      </c>
      <c r="R12" s="699" t="s">
        <v>14</v>
      </c>
      <c r="S12" s="700">
        <f t="shared" si="0"/>
        <v>100</v>
      </c>
      <c r="T12" s="699" t="s">
        <v>14</v>
      </c>
      <c r="U12" s="700">
        <f t="shared" si="1"/>
        <v>100</v>
      </c>
      <c r="V12" s="699" t="s">
        <v>14</v>
      </c>
      <c r="W12" s="700">
        <f t="shared" si="2"/>
        <v>100</v>
      </c>
      <c r="X12" s="701"/>
      <c r="Y12" s="3681"/>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91"/>
      <c r="Q13" s="1339">
        <f t="shared" si="6"/>
        <v>111</v>
      </c>
      <c r="R13" s="699" t="s">
        <v>14</v>
      </c>
      <c r="S13" s="700">
        <f t="shared" si="0"/>
        <v>100</v>
      </c>
      <c r="T13" s="699" t="s">
        <v>14</v>
      </c>
      <c r="U13" s="700">
        <f t="shared" si="1"/>
        <v>100</v>
      </c>
      <c r="V13" s="699" t="s">
        <v>14</v>
      </c>
      <c r="W13" s="700">
        <f t="shared" si="2"/>
        <v>100</v>
      </c>
      <c r="X13" s="701"/>
      <c r="Y13" s="3681"/>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91"/>
      <c r="Q14" s="1339">
        <f t="shared" si="6"/>
        <v>111</v>
      </c>
      <c r="R14" s="699" t="s">
        <v>14</v>
      </c>
      <c r="S14" s="700">
        <f t="shared" si="0"/>
        <v>100</v>
      </c>
      <c r="T14" s="699" t="s">
        <v>14</v>
      </c>
      <c r="U14" s="700">
        <f t="shared" si="1"/>
        <v>100</v>
      </c>
      <c r="V14" s="699" t="s">
        <v>14</v>
      </c>
      <c r="W14" s="700">
        <f t="shared" si="2"/>
        <v>100</v>
      </c>
      <c r="X14" s="701"/>
      <c r="Y14" s="3681"/>
      <c r="Z14" s="52">
        <f t="shared" si="7"/>
        <v>111</v>
      </c>
      <c r="AA14" s="702">
        <f>D14/F14</f>
        <v>1</v>
      </c>
      <c r="AB14" s="702">
        <f>D14/H14</f>
        <v>1</v>
      </c>
      <c r="AC14" s="702">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84" t="s">
        <v>1691</v>
      </c>
      <c r="Q15" s="1348" t="str">
        <f t="shared" si="6"/>
        <v>居住社区成熟度</v>
      </c>
      <c r="R15" s="703" t="s">
        <v>14</v>
      </c>
      <c r="S15" s="704">
        <f t="shared" si="0"/>
        <v>100</v>
      </c>
      <c r="T15" s="703" t="s">
        <v>14</v>
      </c>
      <c r="U15" s="704">
        <f t="shared" si="1"/>
        <v>100</v>
      </c>
      <c r="V15" s="703" t="s">
        <v>14</v>
      </c>
      <c r="W15" s="704">
        <f t="shared" si="2"/>
        <v>100</v>
      </c>
      <c r="X15" s="1351"/>
      <c r="Y15" s="3684"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685"/>
      <c r="Q16" s="1348"/>
      <c r="R16" s="703"/>
      <c r="S16" s="704"/>
      <c r="T16" s="703"/>
      <c r="U16" s="704"/>
      <c r="V16" s="703"/>
      <c r="W16" s="704"/>
      <c r="X16" s="1351"/>
      <c r="Y16" s="3685"/>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85"/>
      <c r="Q17" s="1348" t="str">
        <f>B17</f>
        <v>商业繁华度</v>
      </c>
      <c r="R17" s="703" t="s">
        <v>14</v>
      </c>
      <c r="S17" s="704">
        <f>F17</f>
        <v>100</v>
      </c>
      <c r="T17" s="703" t="s">
        <v>14</v>
      </c>
      <c r="U17" s="704">
        <f>H17</f>
        <v>100</v>
      </c>
      <c r="V17" s="703" t="s">
        <v>14</v>
      </c>
      <c r="W17" s="704">
        <f>J17</f>
        <v>100</v>
      </c>
      <c r="X17" s="1351"/>
      <c r="Y17" s="3685"/>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685"/>
      <c r="Q18" s="1348"/>
      <c r="R18" s="703"/>
      <c r="S18" s="704"/>
      <c r="T18" s="703"/>
      <c r="U18" s="704"/>
      <c r="V18" s="703"/>
      <c r="W18" s="704"/>
      <c r="X18" s="1351"/>
      <c r="Y18" s="3685"/>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85"/>
      <c r="Q19" s="1348" t="str">
        <f>B19</f>
        <v>办公集聚程度</v>
      </c>
      <c r="R19" s="703" t="s">
        <v>14</v>
      </c>
      <c r="S19" s="704">
        <f>F19</f>
        <v>100</v>
      </c>
      <c r="T19" s="703" t="s">
        <v>14</v>
      </c>
      <c r="U19" s="704">
        <f>H19</f>
        <v>100</v>
      </c>
      <c r="V19" s="703" t="s">
        <v>14</v>
      </c>
      <c r="W19" s="704">
        <f>J19</f>
        <v>100</v>
      </c>
      <c r="X19" s="1351"/>
      <c r="Y19" s="3685"/>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685"/>
      <c r="Q20" s="1348"/>
      <c r="R20" s="703"/>
      <c r="S20" s="704"/>
      <c r="T20" s="703"/>
      <c r="U20" s="704"/>
      <c r="V20" s="703"/>
      <c r="W20" s="704"/>
      <c r="X20" s="1351"/>
      <c r="Y20" s="3685"/>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85"/>
      <c r="Q21" s="1348" t="str">
        <f>B21</f>
        <v>交通便捷度</v>
      </c>
      <c r="R21" s="703" t="s">
        <v>14</v>
      </c>
      <c r="S21" s="704">
        <f>F21</f>
        <v>100</v>
      </c>
      <c r="T21" s="703" t="s">
        <v>14</v>
      </c>
      <c r="U21" s="704">
        <f>H21</f>
        <v>100</v>
      </c>
      <c r="V21" s="703" t="s">
        <v>14</v>
      </c>
      <c r="W21" s="704">
        <f>J21</f>
        <v>100</v>
      </c>
      <c r="X21" s="1351"/>
      <c r="Y21" s="3685"/>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685"/>
      <c r="Q22" s="1348"/>
      <c r="R22" s="703"/>
      <c r="S22" s="704"/>
      <c r="T22" s="703"/>
      <c r="U22" s="704"/>
      <c r="V22" s="703"/>
      <c r="W22" s="704"/>
      <c r="X22" s="1351"/>
      <c r="Y22" s="3685"/>
      <c r="Z22" s="1352"/>
      <c r="AA22" s="1349">
        <v>1</v>
      </c>
      <c r="AB22" s="1349">
        <v>1</v>
      </c>
      <c r="AC22" s="1349">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85"/>
      <c r="Q23" s="1348" t="str">
        <f t="shared" ref="Q23:Q37" si="8">B23</f>
        <v>区域土地利用方向</v>
      </c>
      <c r="R23" s="703" t="s">
        <v>14</v>
      </c>
      <c r="S23" s="704">
        <f>F23</f>
        <v>100</v>
      </c>
      <c r="T23" s="703" t="s">
        <v>14</v>
      </c>
      <c r="U23" s="704">
        <f>H23</f>
        <v>100</v>
      </c>
      <c r="V23" s="703" t="s">
        <v>14</v>
      </c>
      <c r="W23" s="704">
        <f>J23</f>
        <v>100</v>
      </c>
      <c r="X23" s="1351"/>
      <c r="Y23" s="3685"/>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685"/>
      <c r="Q24" s="1348"/>
      <c r="R24" s="703"/>
      <c r="S24" s="704"/>
      <c r="T24" s="703"/>
      <c r="U24" s="704"/>
      <c r="V24" s="703"/>
      <c r="W24" s="704"/>
      <c r="X24" s="1351"/>
      <c r="Y24" s="3685"/>
      <c r="Z24" s="1352"/>
      <c r="AA24" s="1349"/>
      <c r="AB24" s="1349"/>
      <c r="AC24" s="1349"/>
    </row>
    <row r="25" spans="1:29" ht="57">
      <c r="A25" s="357"/>
      <c r="B25" s="1127"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85"/>
      <c r="Q25" s="1348" t="str">
        <f t="shared" si="8"/>
        <v>自然及人文环境状况</v>
      </c>
      <c r="R25" s="703" t="s">
        <v>14</v>
      </c>
      <c r="S25" s="704">
        <f>F25</f>
        <v>100</v>
      </c>
      <c r="T25" s="703" t="s">
        <v>14</v>
      </c>
      <c r="U25" s="704">
        <f>H25</f>
        <v>100</v>
      </c>
      <c r="V25" s="703" t="s">
        <v>14</v>
      </c>
      <c r="W25" s="704">
        <f>J25</f>
        <v>100</v>
      </c>
      <c r="X25" s="1351"/>
      <c r="Y25" s="3685"/>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685"/>
      <c r="Q26" s="1348"/>
      <c r="R26" s="703"/>
      <c r="S26" s="704"/>
      <c r="T26" s="703"/>
      <c r="U26" s="704"/>
      <c r="V26" s="703"/>
      <c r="W26" s="704"/>
      <c r="X26" s="1351"/>
      <c r="Y26" s="3685"/>
      <c r="Z26" s="1352"/>
      <c r="AA26" s="1349">
        <v>1</v>
      </c>
      <c r="AB26" s="1349">
        <v>1</v>
      </c>
      <c r="AC26" s="1349">
        <v>1</v>
      </c>
    </row>
    <row r="27" spans="1:29" s="107" customFormat="1" ht="42.75">
      <c r="A27" s="596"/>
      <c r="B27" s="1127"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85"/>
      <c r="Q27" s="1339" t="str">
        <f t="shared" si="8"/>
        <v>公共配套设施</v>
      </c>
      <c r="R27" s="699" t="s">
        <v>14</v>
      </c>
      <c r="S27" s="700">
        <f>F27</f>
        <v>100</v>
      </c>
      <c r="T27" s="699" t="s">
        <v>14</v>
      </c>
      <c r="U27" s="700">
        <f>H27</f>
        <v>100</v>
      </c>
      <c r="V27" s="699" t="s">
        <v>14</v>
      </c>
      <c r="W27" s="700">
        <f>J27</f>
        <v>100</v>
      </c>
      <c r="X27" s="701"/>
      <c r="Y27" s="3685"/>
      <c r="Z27" s="52" t="str">
        <f>Q27</f>
        <v>公共配套设施</v>
      </c>
      <c r="AA27" s="1349">
        <f>D27/F27</f>
        <v>1</v>
      </c>
      <c r="AB27" s="1349">
        <f>D27/H27</f>
        <v>1</v>
      </c>
      <c r="AC27" s="1349">
        <f>D27/J27</f>
        <v>1</v>
      </c>
    </row>
    <row r="28" spans="1:29" s="107" customFormat="1" ht="15">
      <c r="A28" s="596"/>
      <c r="B28" s="406"/>
      <c r="C28" s="1974"/>
      <c r="D28" s="398"/>
      <c r="E28" s="1900"/>
      <c r="F28" s="398"/>
      <c r="G28" s="1900"/>
      <c r="H28" s="398"/>
      <c r="I28" s="397"/>
      <c r="J28" s="398"/>
      <c r="K28" s="619"/>
      <c r="L28" s="2713"/>
      <c r="M28" s="2714"/>
      <c r="N28" s="2714"/>
      <c r="O28" s="2768"/>
      <c r="P28" s="3685"/>
      <c r="Q28" s="1339"/>
      <c r="R28" s="699"/>
      <c r="S28" s="700"/>
      <c r="T28" s="699"/>
      <c r="U28" s="700"/>
      <c r="V28" s="699"/>
      <c r="W28" s="700"/>
      <c r="X28" s="701"/>
      <c r="Y28" s="3685"/>
      <c r="Z28" s="52"/>
      <c r="AA28" s="1349">
        <v>1</v>
      </c>
      <c r="AB28" s="1349">
        <v>1</v>
      </c>
      <c r="AC28" s="1349">
        <v>1</v>
      </c>
    </row>
    <row r="29" spans="1:29" s="107" customFormat="1" ht="28.5">
      <c r="A29" s="596"/>
      <c r="B29" s="1127"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85"/>
      <c r="Q29" s="1339" t="str">
        <f t="shared" ref="Q29" si="9">B29</f>
        <v>基础设施水平</v>
      </c>
      <c r="R29" s="699" t="s">
        <v>14</v>
      </c>
      <c r="S29" s="700">
        <f>F29</f>
        <v>100</v>
      </c>
      <c r="T29" s="699" t="s">
        <v>14</v>
      </c>
      <c r="U29" s="700">
        <f>H29</f>
        <v>100</v>
      </c>
      <c r="V29" s="699" t="s">
        <v>14</v>
      </c>
      <c r="W29" s="700">
        <f>J29</f>
        <v>100</v>
      </c>
      <c r="X29" s="701"/>
      <c r="Y29" s="3685"/>
      <c r="Z29" s="52" t="str">
        <f>Q29</f>
        <v>基础设施水平</v>
      </c>
      <c r="AA29" s="1349">
        <f>D29/F29</f>
        <v>1</v>
      </c>
      <c r="AB29" s="1349">
        <f>D29/H29</f>
        <v>1</v>
      </c>
      <c r="AC29" s="1349">
        <f>D29/J29</f>
        <v>1</v>
      </c>
    </row>
    <row r="30" spans="1:29" s="107" customFormat="1" ht="15">
      <c r="A30" s="596"/>
      <c r="B30" s="406"/>
      <c r="C30" s="1974"/>
      <c r="D30" s="398"/>
      <c r="E30" s="1975"/>
      <c r="F30" s="398"/>
      <c r="G30" s="1975"/>
      <c r="H30" s="398"/>
      <c r="I30" s="1975"/>
      <c r="J30" s="398"/>
      <c r="K30" s="619"/>
      <c r="L30" s="2713"/>
      <c r="M30" s="2714"/>
      <c r="N30" s="2714"/>
      <c r="O30" s="2768"/>
      <c r="P30" s="3685"/>
      <c r="Q30" s="1339"/>
      <c r="R30" s="699"/>
      <c r="S30" s="700"/>
      <c r="T30" s="699"/>
      <c r="U30" s="700"/>
      <c r="V30" s="699"/>
      <c r="W30" s="700"/>
      <c r="X30" s="701"/>
      <c r="Y30" s="3685"/>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85"/>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85"/>
      <c r="Z31" s="1352" t="str">
        <f t="shared" ref="Z31:Z45" si="13">Q31</f>
        <v>临街状况</v>
      </c>
      <c r="AA31" s="1349">
        <f t="shared" si="3"/>
        <v>1</v>
      </c>
      <c r="AB31" s="1349">
        <f t="shared" si="4"/>
        <v>1</v>
      </c>
      <c r="AC31" s="1349">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85"/>
      <c r="Q32" s="1348" t="str">
        <f t="shared" si="8"/>
        <v>毗邻道路的类型与等级</v>
      </c>
      <c r="R32" s="703" t="s">
        <v>14</v>
      </c>
      <c r="S32" s="704">
        <f t="shared" si="10"/>
        <v>100</v>
      </c>
      <c r="T32" s="703" t="s">
        <v>14</v>
      </c>
      <c r="U32" s="704">
        <f t="shared" si="11"/>
        <v>100</v>
      </c>
      <c r="V32" s="703" t="s">
        <v>14</v>
      </c>
      <c r="W32" s="704">
        <f t="shared" si="12"/>
        <v>100</v>
      </c>
      <c r="X32" s="1351"/>
      <c r="Y32" s="3685"/>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685"/>
      <c r="Q33" s="1348"/>
      <c r="R33" s="703"/>
      <c r="S33" s="704"/>
      <c r="T33" s="703"/>
      <c r="U33" s="704"/>
      <c r="V33" s="703"/>
      <c r="W33" s="704"/>
      <c r="X33" s="1351"/>
      <c r="Y33" s="3685"/>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85"/>
      <c r="Q34" s="1348" t="str">
        <f t="shared" si="8"/>
        <v>土地级别</v>
      </c>
      <c r="R34" s="703" t="s">
        <v>14</v>
      </c>
      <c r="S34" s="704">
        <f t="shared" si="10"/>
        <v>100</v>
      </c>
      <c r="T34" s="703" t="s">
        <v>14</v>
      </c>
      <c r="U34" s="704">
        <f t="shared" si="11"/>
        <v>100</v>
      </c>
      <c r="V34" s="703" t="s">
        <v>14</v>
      </c>
      <c r="W34" s="704">
        <f t="shared" si="12"/>
        <v>100</v>
      </c>
      <c r="X34" s="1351"/>
      <c r="Y34" s="3685"/>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85"/>
      <c r="Q35" s="1348">
        <f t="shared" si="8"/>
        <v>111</v>
      </c>
      <c r="R35" s="703" t="s">
        <v>14</v>
      </c>
      <c r="S35" s="704">
        <f t="shared" si="10"/>
        <v>100</v>
      </c>
      <c r="T35" s="703" t="s">
        <v>14</v>
      </c>
      <c r="U35" s="704">
        <f t="shared" si="11"/>
        <v>100</v>
      </c>
      <c r="V35" s="703" t="s">
        <v>14</v>
      </c>
      <c r="W35" s="704">
        <f t="shared" si="12"/>
        <v>100</v>
      </c>
      <c r="X35" s="1351"/>
      <c r="Y35" s="3685"/>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29" t="s">
        <v>1696</v>
      </c>
      <c r="Q36" s="1348">
        <f t="shared" si="8"/>
        <v>111</v>
      </c>
      <c r="R36" s="703" t="s">
        <v>14</v>
      </c>
      <c r="S36" s="704">
        <f t="shared" si="10"/>
        <v>100</v>
      </c>
      <c r="T36" s="703" t="s">
        <v>14</v>
      </c>
      <c r="U36" s="704">
        <f t="shared" si="11"/>
        <v>100</v>
      </c>
      <c r="V36" s="703" t="s">
        <v>14</v>
      </c>
      <c r="W36" s="704">
        <f t="shared" si="12"/>
        <v>100</v>
      </c>
      <c r="X36" s="1351"/>
      <c r="Y36" s="3689" t="s">
        <v>1696</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89"/>
      <c r="Q37" s="1348">
        <f t="shared" si="8"/>
        <v>111</v>
      </c>
      <c r="R37" s="706" t="s">
        <v>14</v>
      </c>
      <c r="S37" s="707">
        <f t="shared" si="10"/>
        <v>100</v>
      </c>
      <c r="T37" s="706" t="s">
        <v>14</v>
      </c>
      <c r="U37" s="707">
        <f t="shared" si="11"/>
        <v>100</v>
      </c>
      <c r="V37" s="706" t="s">
        <v>14</v>
      </c>
      <c r="W37" s="707">
        <f t="shared" si="12"/>
        <v>100</v>
      </c>
      <c r="X37" s="708"/>
      <c r="Y37" s="3689"/>
      <c r="Z37" s="709">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89"/>
      <c r="Q38" s="1348" t="str">
        <f>B38</f>
        <v>宗地面积</v>
      </c>
      <c r="R38" s="703" t="s">
        <v>14</v>
      </c>
      <c r="S38" s="704" t="e">
        <f t="shared" si="10"/>
        <v>#N/A</v>
      </c>
      <c r="T38" s="703" t="s">
        <v>14</v>
      </c>
      <c r="U38" s="704" t="e">
        <f t="shared" si="11"/>
        <v>#N/A</v>
      </c>
      <c r="V38" s="703" t="s">
        <v>14</v>
      </c>
      <c r="W38" s="704" t="e">
        <f t="shared" si="12"/>
        <v>#N/A</v>
      </c>
      <c r="X38" s="1351"/>
      <c r="Y38" s="3689"/>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689"/>
      <c r="Q39" s="1348" t="str">
        <f t="shared" ref="Q39:Q45" si="14">B39</f>
        <v>宗地形状</v>
      </c>
      <c r="R39" s="703" t="s">
        <v>14</v>
      </c>
      <c r="S39" s="704">
        <f t="shared" si="10"/>
        <v>100</v>
      </c>
      <c r="T39" s="703" t="s">
        <v>14</v>
      </c>
      <c r="U39" s="704">
        <f t="shared" si="11"/>
        <v>100</v>
      </c>
      <c r="V39" s="703" t="s">
        <v>14</v>
      </c>
      <c r="W39" s="704">
        <f t="shared" si="12"/>
        <v>100</v>
      </c>
      <c r="X39" s="1351"/>
      <c r="Y39" s="3689"/>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689"/>
      <c r="Q40" s="1348" t="str">
        <f t="shared" si="14"/>
        <v>临街宽度及深度</v>
      </c>
      <c r="R40" s="703" t="s">
        <v>14</v>
      </c>
      <c r="S40" s="704">
        <f t="shared" si="10"/>
        <v>100</v>
      </c>
      <c r="T40" s="703" t="s">
        <v>14</v>
      </c>
      <c r="U40" s="704">
        <f t="shared" si="11"/>
        <v>100</v>
      </c>
      <c r="V40" s="703" t="s">
        <v>14</v>
      </c>
      <c r="W40" s="704">
        <f t="shared" si="12"/>
        <v>100</v>
      </c>
      <c r="X40" s="1351"/>
      <c r="Y40" s="3689"/>
      <c r="Z40" s="1352" t="str">
        <f t="shared" si="13"/>
        <v>临街宽度及深度</v>
      </c>
      <c r="AA40" s="1349">
        <f t="shared" si="3"/>
        <v>1</v>
      </c>
      <c r="AB40" s="1349">
        <f t="shared" si="4"/>
        <v>1</v>
      </c>
      <c r="AC40" s="1349">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689"/>
      <c r="Q41" s="1348" t="str">
        <f t="shared" si="14"/>
        <v>宗地开发程度</v>
      </c>
      <c r="R41" s="699" t="s">
        <v>14</v>
      </c>
      <c r="S41" s="700">
        <f t="shared" si="10"/>
        <v>100</v>
      </c>
      <c r="T41" s="699" t="s">
        <v>14</v>
      </c>
      <c r="U41" s="700">
        <f t="shared" si="11"/>
        <v>100</v>
      </c>
      <c r="V41" s="699" t="s">
        <v>14</v>
      </c>
      <c r="W41" s="700">
        <f t="shared" si="12"/>
        <v>100</v>
      </c>
      <c r="X41" s="701"/>
      <c r="Y41" s="3689"/>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689" t="s">
        <v>1696</v>
      </c>
      <c r="Q42" s="1348" t="str">
        <f t="shared" si="14"/>
        <v>工程地质条件</v>
      </c>
      <c r="R42" s="703" t="s">
        <v>14</v>
      </c>
      <c r="S42" s="704">
        <f t="shared" si="10"/>
        <v>100</v>
      </c>
      <c r="T42" s="703" t="s">
        <v>14</v>
      </c>
      <c r="U42" s="704">
        <f t="shared" si="11"/>
        <v>100</v>
      </c>
      <c r="V42" s="703" t="s">
        <v>14</v>
      </c>
      <c r="W42" s="704">
        <f t="shared" si="12"/>
        <v>100</v>
      </c>
      <c r="X42" s="1351"/>
      <c r="Y42" s="3689" t="s">
        <v>1696</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89"/>
      <c r="Q43" s="1348">
        <f t="shared" si="14"/>
        <v>111</v>
      </c>
      <c r="R43" s="703" t="s">
        <v>14</v>
      </c>
      <c r="S43" s="704">
        <f t="shared" si="10"/>
        <v>100</v>
      </c>
      <c r="T43" s="703" t="s">
        <v>14</v>
      </c>
      <c r="U43" s="704">
        <f t="shared" si="11"/>
        <v>100</v>
      </c>
      <c r="V43" s="703" t="s">
        <v>14</v>
      </c>
      <c r="W43" s="704">
        <f t="shared" si="12"/>
        <v>100</v>
      </c>
      <c r="X43" s="1351"/>
      <c r="Y43" s="3689"/>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89"/>
      <c r="Q44" s="1348">
        <f t="shared" si="14"/>
        <v>111</v>
      </c>
      <c r="R44" s="703" t="s">
        <v>14</v>
      </c>
      <c r="S44" s="704">
        <f t="shared" si="10"/>
        <v>100</v>
      </c>
      <c r="T44" s="703" t="s">
        <v>14</v>
      </c>
      <c r="U44" s="704">
        <f t="shared" si="11"/>
        <v>100</v>
      </c>
      <c r="V44" s="703" t="s">
        <v>14</v>
      </c>
      <c r="W44" s="704">
        <f t="shared" si="12"/>
        <v>100</v>
      </c>
      <c r="X44" s="1351"/>
      <c r="Y44" s="3689"/>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89"/>
      <c r="Q45" s="1348">
        <f t="shared" si="14"/>
        <v>111</v>
      </c>
      <c r="R45" s="706" t="s">
        <v>14</v>
      </c>
      <c r="S45" s="707">
        <f t="shared" si="10"/>
        <v>100</v>
      </c>
      <c r="T45" s="706" t="s">
        <v>14</v>
      </c>
      <c r="U45" s="707">
        <f t="shared" si="11"/>
        <v>100</v>
      </c>
      <c r="V45" s="706" t="s">
        <v>14</v>
      </c>
      <c r="W45" s="707">
        <f t="shared" si="12"/>
        <v>100</v>
      </c>
      <c r="X45" s="708"/>
      <c r="Y45" s="3689"/>
      <c r="Z45" s="709">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2"/>
      <c r="L46" s="2720"/>
      <c r="M46" s="2721"/>
      <c r="N46" s="2712"/>
      <c r="O46" s="2721"/>
      <c r="P46" s="3691" t="str">
        <f>A46</f>
        <v>成交单价</v>
      </c>
      <c r="Q46" s="3691"/>
      <c r="R46" s="3676">
        <f>E46</f>
        <v>0</v>
      </c>
      <c r="S46" s="3676"/>
      <c r="T46" s="3676">
        <f>G46</f>
        <v>0</v>
      </c>
      <c r="U46" s="3676"/>
      <c r="V46" s="3676">
        <f>I46</f>
        <v>0</v>
      </c>
      <c r="W46" s="3676"/>
      <c r="X46" s="688"/>
      <c r="Y46" s="710"/>
      <c r="Z46" s="688"/>
      <c r="AA46" s="688"/>
      <c r="AB46" s="688"/>
      <c r="AC46" s="688"/>
    </row>
    <row r="47" spans="1:29" ht="15.75" thickBot="1">
      <c r="A47" s="436" t="s">
        <v>1793</v>
      </c>
      <c r="B47" s="630"/>
      <c r="C47" s="439" t="e">
        <f>R48</f>
        <v>#DIV/0!</v>
      </c>
      <c r="D47" s="2313" t="s">
        <v>2138</v>
      </c>
      <c r="E47" s="439" t="e">
        <f>R47</f>
        <v>#DIV/0!</v>
      </c>
      <c r="F47" s="2314"/>
      <c r="G47" s="438" t="e">
        <f>T47</f>
        <v>#DIV/0!</v>
      </c>
      <c r="H47" s="2314"/>
      <c r="I47" s="439" t="e">
        <f>V47</f>
        <v>#DIV/0!</v>
      </c>
      <c r="J47" s="2314"/>
      <c r="K47" s="2316">
        <f>F47+H47+J47</f>
        <v>0</v>
      </c>
      <c r="L47" s="2720"/>
      <c r="M47" s="2721"/>
      <c r="N47" s="2721"/>
      <c r="O47" s="2721"/>
      <c r="P47" s="3691" t="str">
        <f>A47</f>
        <v>比较价值（元/平方米）</v>
      </c>
      <c r="Q47" s="3691"/>
      <c r="R47" s="3872" t="e">
        <f>ROUND(PRODUCT(R46,AA7:AA45),0)</f>
        <v>#DIV/0!</v>
      </c>
      <c r="S47" s="3872"/>
      <c r="T47" s="3872" t="e">
        <f>ROUND(PRODUCT(T46,AB7:AB45),0)</f>
        <v>#DIV/0!</v>
      </c>
      <c r="U47" s="3872"/>
      <c r="V47" s="3872" t="e">
        <f>ROUND(PRODUCT(V46,AC7:AC45),0)</f>
        <v>#DIV/0!</v>
      </c>
      <c r="W47" s="387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693" t="str">
        <f>A48</f>
        <v>估价对象XX用房的比较价值（楼面单价，元/平方米）</v>
      </c>
      <c r="Q48" s="3694"/>
      <c r="R48" s="3873" t="e">
        <f>ROUND(IF(D47="简单平均",AVERAGE(R47:W47),R47*F47+T47*H47+V47*J47),0)</f>
        <v>#DIV/0!</v>
      </c>
      <c r="S48" s="3873"/>
      <c r="T48" s="3873"/>
      <c r="U48" s="3873"/>
      <c r="V48" s="3873"/>
      <c r="W48" s="3873"/>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6" t="s">
        <v>1886</v>
      </c>
      <c r="G55" s="3652" t="s">
        <v>1887</v>
      </c>
      <c r="H55" s="3874"/>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0">
        <v>1</v>
      </c>
      <c r="E56" s="637">
        <f>'数据-汇总表'!E8+'数据-汇总表'!E9</f>
        <v>43817</v>
      </c>
      <c r="F56" s="882" t="e">
        <f t="shared" ref="F56:F64" si="15">ROUND(B56*E56/10000,0)</f>
        <v>#DIV/0!</v>
      </c>
      <c r="G56" s="3680"/>
      <c r="H56" s="369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0.5</v>
      </c>
      <c r="D57" s="941">
        <v>0.25</v>
      </c>
      <c r="E57" s="641"/>
      <c r="F57" s="882" t="e">
        <f t="shared" si="15"/>
        <v>#DIV/0!</v>
      </c>
      <c r="G57" s="3002" t="s">
        <v>1892</v>
      </c>
      <c r="H57" s="883" t="str">
        <f>项目基本情况!B37</f>
        <v>九级</v>
      </c>
      <c r="I57" s="887">
        <f>SUMIF(修正!A57:A68,H57,修正!B57:B68)</f>
        <v>0.5</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0.2</v>
      </c>
      <c r="D58" s="941">
        <v>0.25</v>
      </c>
      <c r="E58" s="641"/>
      <c r="F58" s="882" t="e">
        <f t="shared" si="15"/>
        <v>#DIV/0!</v>
      </c>
      <c r="G58" s="3003"/>
      <c r="H58" s="883" t="str">
        <f>项目基本情况!B37</f>
        <v>九级</v>
      </c>
      <c r="I58" s="887">
        <f>SUMIF(修正!A57:A68,H58,修正!C57:C68)</f>
        <v>0.2</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0.2</v>
      </c>
      <c r="D59" s="941">
        <v>0.25</v>
      </c>
      <c r="E59" s="641"/>
      <c r="F59" s="882" t="e">
        <f t="shared" si="15"/>
        <v>#DIV/0!</v>
      </c>
      <c r="G59" s="3003"/>
      <c r="H59" s="883" t="str">
        <f>项目基本情况!B37</f>
        <v>九级</v>
      </c>
      <c r="I59" s="887">
        <f>SUMIF(修正!A57:A68,H59,修正!D57:D68)</f>
        <v>0.2</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0.2</v>
      </c>
      <c r="D60" s="941">
        <v>0.25</v>
      </c>
      <c r="E60" s="216">
        <f>'数据-汇总表'!E11</f>
        <v>0</v>
      </c>
      <c r="F60" s="882" t="e">
        <f t="shared" si="15"/>
        <v>#DIV/0!</v>
      </c>
      <c r="G60" s="1983" t="s">
        <v>1896</v>
      </c>
      <c r="H60" s="883" t="str">
        <f>项目基本情况!C37</f>
        <v>九级</v>
      </c>
      <c r="I60" s="887">
        <f>SUMIF(修正!A57:A68,H60,修正!E57:E68)</f>
        <v>0.2</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0.2</v>
      </c>
      <c r="D61" s="941">
        <v>0.25</v>
      </c>
      <c r="E61" s="216">
        <f>'数据-汇总表'!E12</f>
        <v>61672</v>
      </c>
      <c r="F61" s="882" t="e">
        <f t="shared" si="15"/>
        <v>#DIV/0!</v>
      </c>
      <c r="G61" s="888" t="s">
        <v>1898</v>
      </c>
      <c r="H61" s="883" t="str">
        <f>IF(G61="商业",项目基本情况!B37,IF(G61="办公",项目基本情况!C37,IF(G61="住宅",项目基本情况!D37,项目基本情况!E37)))</f>
        <v>九级</v>
      </c>
      <c r="I61" s="887">
        <f>SUMIF(修正!A57:A68,H61,修正!F57:F68)</f>
        <v>0.2</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0.1</v>
      </c>
      <c r="D62" s="941">
        <v>0.25</v>
      </c>
      <c r="E62" s="216">
        <f>'数据-汇总表'!E13</f>
        <v>72769</v>
      </c>
      <c r="F62" s="882" t="e">
        <f t="shared" si="15"/>
        <v>#DIV/0!</v>
      </c>
      <c r="G62" s="888" t="s">
        <v>1900</v>
      </c>
      <c r="H62" s="883" t="str">
        <f>IF(G62="商业",项目基本情况!B37,IF(G62="办公",项目基本情况!C37,IF(G62="住宅",项目基本情况!D37,项目基本情况!E37)))</f>
        <v>九级</v>
      </c>
      <c r="I62" s="887">
        <f>SUMIF(修正!A57:A68,H62,修正!G57:G68)</f>
        <v>0.1</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0.1</v>
      </c>
      <c r="D63" s="941">
        <v>0.25</v>
      </c>
      <c r="E63" s="216">
        <f>'数据-汇总表'!E14</f>
        <v>0</v>
      </c>
      <c r="F63" s="882" t="e">
        <f t="shared" si="15"/>
        <v>#DIV/0!</v>
      </c>
      <c r="G63" s="1983" t="s">
        <v>1892</v>
      </c>
      <c r="H63" s="883" t="str">
        <f>项目基本情况!B37</f>
        <v>九级</v>
      </c>
      <c r="I63" s="887">
        <f>SUMIF(修正!A57:A68,H63,修正!G57:G68)</f>
        <v>0.1</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0.1</v>
      </c>
      <c r="D64" s="941">
        <v>0.25</v>
      </c>
      <c r="E64" s="216">
        <f>'数据-汇总表'!E15</f>
        <v>0</v>
      </c>
      <c r="F64" s="882" t="e">
        <f t="shared" si="15"/>
        <v>#DIV/0!</v>
      </c>
      <c r="G64" s="1984" t="s">
        <v>1896</v>
      </c>
      <c r="H64" s="893" t="str">
        <f>项目基本情况!C37</f>
        <v>九级</v>
      </c>
      <c r="I64" s="889">
        <f>SUMIF(修正!A57:A68,H64,修正!G57:G68)</f>
        <v>0.1</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178258</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72"/>
      <c r="Q69" s="2737"/>
      <c r="R69" s="2737"/>
      <c r="S69" s="2737"/>
      <c r="T69" s="2737"/>
      <c r="U69" s="2737"/>
      <c r="V69" s="2737"/>
      <c r="W69" s="2737"/>
      <c r="X69" s="2737"/>
      <c r="Y69" s="2737"/>
      <c r="Z69" s="2737"/>
      <c r="AA69" s="2737"/>
      <c r="AB69" s="2737"/>
      <c r="AC69" s="2737"/>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1769</v>
      </c>
      <c r="B4" s="355"/>
      <c r="C4" s="3652" t="s">
        <v>1770</v>
      </c>
      <c r="D4" s="3653"/>
      <c r="E4" s="3654" t="s">
        <v>1771</v>
      </c>
      <c r="F4" s="3655"/>
      <c r="G4" s="3652" t="s">
        <v>1772</v>
      </c>
      <c r="H4" s="3653"/>
      <c r="I4" s="3652" t="s">
        <v>1773</v>
      </c>
      <c r="J4" s="3653"/>
      <c r="K4" s="558" t="s">
        <v>1774</v>
      </c>
      <c r="L4" s="2711"/>
      <c r="M4" s="2712"/>
      <c r="N4" s="2712"/>
      <c r="O4" s="2712"/>
      <c r="P4" s="3656" t="s">
        <v>1775</v>
      </c>
      <c r="Q4" s="3657"/>
      <c r="R4" s="3662" t="s">
        <v>1771</v>
      </c>
      <c r="S4" s="3663"/>
      <c r="T4" s="3662" t="s">
        <v>1772</v>
      </c>
      <c r="U4" s="3663"/>
      <c r="V4" s="3676" t="s">
        <v>1773</v>
      </c>
      <c r="W4" s="3676"/>
      <c r="X4" s="1351"/>
      <c r="Y4" s="3662" t="s">
        <v>1775</v>
      </c>
      <c r="Z4" s="3663"/>
      <c r="AA4" s="3649" t="s">
        <v>1771</v>
      </c>
      <c r="AB4" s="3650" t="s">
        <v>1772</v>
      </c>
      <c r="AC4" s="3649" t="s">
        <v>1773</v>
      </c>
    </row>
    <row r="5" spans="1:29" ht="15">
      <c r="A5" s="357"/>
      <c r="B5" s="358"/>
      <c r="C5" s="3666" t="s">
        <v>1673</v>
      </c>
      <c r="D5" s="3667"/>
      <c r="E5" s="3668" t="s">
        <v>1674</v>
      </c>
      <c r="F5" s="3669"/>
      <c r="G5" s="3666" t="s">
        <v>1675</v>
      </c>
      <c r="H5" s="3667"/>
      <c r="I5" s="3666" t="s">
        <v>1676</v>
      </c>
      <c r="J5" s="3667"/>
      <c r="K5" s="558"/>
      <c r="L5" s="2711"/>
      <c r="M5" s="2712"/>
      <c r="N5" s="2712"/>
      <c r="O5" s="2712"/>
      <c r="P5" s="3658"/>
      <c r="Q5" s="3659"/>
      <c r="R5" s="3664"/>
      <c r="S5" s="3665"/>
      <c r="T5" s="3664"/>
      <c r="U5" s="3665"/>
      <c r="V5" s="3676"/>
      <c r="W5" s="3676"/>
      <c r="X5" s="1351"/>
      <c r="Y5" s="3664"/>
      <c r="Z5" s="3665"/>
      <c r="AA5" s="3650"/>
      <c r="AB5" s="3650"/>
      <c r="AC5" s="3650"/>
    </row>
    <row r="6" spans="1:29" ht="15.75" thickBot="1">
      <c r="A6" s="359"/>
      <c r="B6" s="360"/>
      <c r="C6" s="3875" t="s">
        <v>1919</v>
      </c>
      <c r="D6" s="3876"/>
      <c r="E6" s="3877" t="s">
        <v>1919</v>
      </c>
      <c r="F6" s="3878"/>
      <c r="G6" s="3875" t="s">
        <v>1919</v>
      </c>
      <c r="H6" s="3876"/>
      <c r="I6" s="3875" t="s">
        <v>1919</v>
      </c>
      <c r="J6" s="3876"/>
      <c r="K6" s="558" t="s">
        <v>1678</v>
      </c>
      <c r="L6" s="2711"/>
      <c r="M6" s="2712"/>
      <c r="N6" s="2712"/>
      <c r="O6" s="2712"/>
      <c r="P6" s="3660"/>
      <c r="Q6" s="3661"/>
      <c r="R6" s="3664"/>
      <c r="S6" s="3665"/>
      <c r="T6" s="3674"/>
      <c r="U6" s="3675"/>
      <c r="V6" s="3676"/>
      <c r="W6" s="3676"/>
      <c r="X6" s="1351"/>
      <c r="Y6" s="3674"/>
      <c r="Z6" s="3675"/>
      <c r="AA6" s="3651"/>
      <c r="AB6" s="3651"/>
      <c r="AC6" s="3651"/>
    </row>
    <row r="7" spans="1:29" s="107" customFormat="1" ht="15.75" thickBot="1">
      <c r="A7" s="361" t="s">
        <v>1679</v>
      </c>
      <c r="B7" s="362"/>
      <c r="C7" s="363">
        <f>'数据-取费表'!B2</f>
        <v>45159</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677" t="s">
        <v>1680</v>
      </c>
      <c r="Q7" s="3678"/>
      <c r="R7" s="699" t="s">
        <v>14</v>
      </c>
      <c r="S7" s="700">
        <f t="shared" ref="S7:S15" si="0">F7</f>
        <v>0</v>
      </c>
      <c r="T7" s="699" t="s">
        <v>14</v>
      </c>
      <c r="U7" s="700">
        <f t="shared" ref="U7:U15" si="1">H7</f>
        <v>0</v>
      </c>
      <c r="V7" s="699" t="s">
        <v>14</v>
      </c>
      <c r="W7" s="700">
        <f t="shared" ref="W7:W15" si="2">J7</f>
        <v>0</v>
      </c>
      <c r="X7" s="701"/>
      <c r="Y7" s="3677" t="s">
        <v>1680</v>
      </c>
      <c r="Z7" s="367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77" t="s">
        <v>1683</v>
      </c>
      <c r="Q8" s="3679"/>
      <c r="R8" s="699" t="s">
        <v>14</v>
      </c>
      <c r="S8" s="700">
        <f t="shared" si="0"/>
        <v>0</v>
      </c>
      <c r="T8" s="699" t="s">
        <v>14</v>
      </c>
      <c r="U8" s="700">
        <f t="shared" si="1"/>
        <v>0</v>
      </c>
      <c r="V8" s="699" t="s">
        <v>14</v>
      </c>
      <c r="W8" s="700">
        <f t="shared" si="2"/>
        <v>0</v>
      </c>
      <c r="X8" s="701"/>
      <c r="Y8" s="3677" t="s">
        <v>1683</v>
      </c>
      <c r="Z8" s="3679"/>
      <c r="AA8" s="702" t="e">
        <f t="shared" ref="AA8:AA40" si="3">D8/F8</f>
        <v>#DIV/0!</v>
      </c>
      <c r="AB8" s="702" t="e">
        <f t="shared" ref="AB8:AB40" si="4">D8/H8</f>
        <v>#DIV/0!</v>
      </c>
      <c r="AC8" s="702" t="e">
        <f t="shared" ref="AC8:AC40" si="5">D8/J8</f>
        <v>#DIV/0!</v>
      </c>
    </row>
    <row r="9" spans="1:29" s="107"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691" t="s">
        <v>1686</v>
      </c>
      <c r="Q9" s="1339" t="str">
        <f t="shared" ref="Q9:Q15" si="6">B9</f>
        <v>用途</v>
      </c>
      <c r="R9" s="699" t="s">
        <v>14</v>
      </c>
      <c r="S9" s="700">
        <f t="shared" si="0"/>
        <v>100</v>
      </c>
      <c r="T9" s="699" t="s">
        <v>14</v>
      </c>
      <c r="U9" s="700">
        <f t="shared" si="1"/>
        <v>100</v>
      </c>
      <c r="V9" s="699" t="s">
        <v>14</v>
      </c>
      <c r="W9" s="700">
        <f t="shared" si="2"/>
        <v>100</v>
      </c>
      <c r="X9" s="701"/>
      <c r="Y9" s="3681"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104</v>
      </c>
      <c r="G10" s="382"/>
      <c r="H10" s="126">
        <f>ROUND(100/'数据-取费表'!G16,0)</f>
        <v>104</v>
      </c>
      <c r="I10" s="382"/>
      <c r="J10" s="126">
        <f>ROUND(100/'数据-取费表'!G16,0)</f>
        <v>104</v>
      </c>
      <c r="K10" s="619"/>
      <c r="L10" s="2715"/>
      <c r="M10" s="2716"/>
      <c r="N10" s="2716"/>
      <c r="O10" s="2769"/>
      <c r="P10" s="3691"/>
      <c r="Q10" s="1339" t="str">
        <f t="shared" si="6"/>
        <v>土地使用年限（年）</v>
      </c>
      <c r="R10" s="699" t="s">
        <v>14</v>
      </c>
      <c r="S10" s="700">
        <f t="shared" si="0"/>
        <v>104</v>
      </c>
      <c r="T10" s="699" t="s">
        <v>14</v>
      </c>
      <c r="U10" s="700">
        <f t="shared" si="1"/>
        <v>104</v>
      </c>
      <c r="V10" s="699" t="s">
        <v>14</v>
      </c>
      <c r="W10" s="700">
        <f t="shared" si="2"/>
        <v>104</v>
      </c>
      <c r="X10" s="701"/>
      <c r="Y10" s="3681"/>
      <c r="Z10" s="52" t="str">
        <f t="shared" si="7"/>
        <v>土地使用年限（年）</v>
      </c>
      <c r="AA10" s="702">
        <f t="shared" si="3"/>
        <v>0.96153846153846156</v>
      </c>
      <c r="AB10" s="702">
        <f t="shared" si="4"/>
        <v>0.96153846153846156</v>
      </c>
      <c r="AC10" s="702">
        <f t="shared" si="5"/>
        <v>0.96153846153846156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91"/>
      <c r="Q11" s="1339" t="str">
        <f t="shared" si="6"/>
        <v>容积率</v>
      </c>
      <c r="R11" s="699" t="s">
        <v>14</v>
      </c>
      <c r="S11" s="700" t="e">
        <f t="shared" si="0"/>
        <v>#N/A</v>
      </c>
      <c r="T11" s="699" t="s">
        <v>14</v>
      </c>
      <c r="U11" s="700" t="e">
        <f t="shared" si="1"/>
        <v>#N/A</v>
      </c>
      <c r="V11" s="699" t="s">
        <v>14</v>
      </c>
      <c r="W11" s="700" t="e">
        <f t="shared" si="2"/>
        <v>#N/A</v>
      </c>
      <c r="X11" s="701"/>
      <c r="Y11" s="3681"/>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91"/>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91"/>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91"/>
      <c r="Q14" s="1339">
        <f t="shared" si="6"/>
        <v>111</v>
      </c>
      <c r="R14" s="699" t="s">
        <v>14</v>
      </c>
      <c r="S14" s="700">
        <f t="shared" si="0"/>
        <v>100</v>
      </c>
      <c r="T14" s="699" t="s">
        <v>14</v>
      </c>
      <c r="U14" s="700">
        <f t="shared" si="1"/>
        <v>100</v>
      </c>
      <c r="V14" s="699" t="s">
        <v>14</v>
      </c>
      <c r="W14" s="700">
        <f t="shared" si="2"/>
        <v>100</v>
      </c>
      <c r="X14" s="701"/>
      <c r="Y14" s="3681"/>
      <c r="Z14" s="52">
        <f t="shared" si="7"/>
        <v>111</v>
      </c>
      <c r="AA14" s="702">
        <f t="shared" si="3"/>
        <v>1</v>
      </c>
      <c r="AB14" s="702">
        <f t="shared" si="4"/>
        <v>1</v>
      </c>
      <c r="AC14" s="702">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84" t="s">
        <v>1691</v>
      </c>
      <c r="Q15" s="1348" t="str">
        <f t="shared" si="6"/>
        <v>产业集聚程度</v>
      </c>
      <c r="R15" s="703" t="s">
        <v>14</v>
      </c>
      <c r="S15" s="704">
        <f t="shared" si="0"/>
        <v>100</v>
      </c>
      <c r="T15" s="703" t="s">
        <v>14</v>
      </c>
      <c r="U15" s="704">
        <f t="shared" si="1"/>
        <v>100</v>
      </c>
      <c r="V15" s="703" t="s">
        <v>14</v>
      </c>
      <c r="W15" s="704">
        <f t="shared" si="2"/>
        <v>100</v>
      </c>
      <c r="X15" s="1351"/>
      <c r="Y15" s="3684"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685"/>
      <c r="Q16" s="1348"/>
      <c r="R16" s="703"/>
      <c r="S16" s="704"/>
      <c r="T16" s="703"/>
      <c r="U16" s="704"/>
      <c r="V16" s="703"/>
      <c r="W16" s="704"/>
      <c r="X16" s="1351"/>
      <c r="Y16" s="3685"/>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85"/>
      <c r="Q17" s="1348" t="str">
        <f>B17</f>
        <v>交通便捷度</v>
      </c>
      <c r="R17" s="703" t="s">
        <v>14</v>
      </c>
      <c r="S17" s="704">
        <f>F17</f>
        <v>100</v>
      </c>
      <c r="T17" s="703" t="s">
        <v>14</v>
      </c>
      <c r="U17" s="704">
        <f>H17</f>
        <v>100</v>
      </c>
      <c r="V17" s="703" t="s">
        <v>14</v>
      </c>
      <c r="W17" s="704">
        <f>J17</f>
        <v>100</v>
      </c>
      <c r="X17" s="1351"/>
      <c r="Y17" s="3685"/>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685"/>
      <c r="Q18" s="1348"/>
      <c r="R18" s="703"/>
      <c r="S18" s="704"/>
      <c r="T18" s="703"/>
      <c r="U18" s="704"/>
      <c r="V18" s="703"/>
      <c r="W18" s="704"/>
      <c r="X18" s="1351"/>
      <c r="Y18" s="3685"/>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85"/>
      <c r="Q19" s="1348" t="str">
        <f t="shared" ref="Q19:Q33" si="8">B19</f>
        <v>区域土地利用方向</v>
      </c>
      <c r="R19" s="703" t="s">
        <v>14</v>
      </c>
      <c r="S19" s="704">
        <f>F19</f>
        <v>100</v>
      </c>
      <c r="T19" s="703" t="s">
        <v>14</v>
      </c>
      <c r="U19" s="704">
        <f>H19</f>
        <v>100</v>
      </c>
      <c r="V19" s="703" t="s">
        <v>14</v>
      </c>
      <c r="W19" s="704">
        <f>J19</f>
        <v>100</v>
      </c>
      <c r="X19" s="1351"/>
      <c r="Y19" s="3685"/>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685"/>
      <c r="Q20" s="1348"/>
      <c r="R20" s="703"/>
      <c r="S20" s="704"/>
      <c r="T20" s="703"/>
      <c r="U20" s="704"/>
      <c r="V20" s="703"/>
      <c r="W20" s="704"/>
      <c r="X20" s="1351"/>
      <c r="Y20" s="3685"/>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85"/>
      <c r="Q21" s="1348" t="str">
        <f t="shared" si="8"/>
        <v>环境状况</v>
      </c>
      <c r="R21" s="703" t="s">
        <v>14</v>
      </c>
      <c r="S21" s="704">
        <f>F21</f>
        <v>100</v>
      </c>
      <c r="T21" s="703" t="s">
        <v>14</v>
      </c>
      <c r="U21" s="704">
        <f>H21</f>
        <v>100</v>
      </c>
      <c r="V21" s="703" t="s">
        <v>14</v>
      </c>
      <c r="W21" s="704">
        <f>J21</f>
        <v>100</v>
      </c>
      <c r="X21" s="1351"/>
      <c r="Y21" s="3685"/>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685"/>
      <c r="Q22" s="1348"/>
      <c r="R22" s="703"/>
      <c r="S22" s="704"/>
      <c r="T22" s="703"/>
      <c r="U22" s="704"/>
      <c r="V22" s="703"/>
      <c r="W22" s="704"/>
      <c r="X22" s="1351"/>
      <c r="Y22" s="3685"/>
      <c r="Z22" s="1352"/>
      <c r="AA22" s="1349">
        <v>1</v>
      </c>
      <c r="AB22" s="1349">
        <v>1</v>
      </c>
      <c r="AC22" s="1349">
        <v>1</v>
      </c>
    </row>
    <row r="23" spans="1:29" s="107"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85"/>
      <c r="Q23" s="1339" t="str">
        <f t="shared" si="8"/>
        <v>公共配套设施</v>
      </c>
      <c r="R23" s="699" t="s">
        <v>14</v>
      </c>
      <c r="S23" s="700">
        <f>F23</f>
        <v>100</v>
      </c>
      <c r="T23" s="699" t="s">
        <v>14</v>
      </c>
      <c r="U23" s="700">
        <f>H23</f>
        <v>100</v>
      </c>
      <c r="V23" s="699" t="s">
        <v>14</v>
      </c>
      <c r="W23" s="700">
        <f>J23</f>
        <v>100</v>
      </c>
      <c r="X23" s="701"/>
      <c r="Y23" s="3685"/>
      <c r="Z23" s="52" t="str">
        <f>Q23</f>
        <v>公共配套设施</v>
      </c>
      <c r="AA23" s="1349">
        <f>D23/F23</f>
        <v>1</v>
      </c>
      <c r="AB23" s="1349">
        <f>D23/H23</f>
        <v>1</v>
      </c>
      <c r="AC23" s="1349">
        <f>D23/J23</f>
        <v>1</v>
      </c>
    </row>
    <row r="24" spans="1:29" s="107" customFormat="1" ht="15">
      <c r="A24" s="596"/>
      <c r="B24" s="579"/>
      <c r="C24" s="1974"/>
      <c r="D24" s="398"/>
      <c r="E24" s="1900"/>
      <c r="F24" s="398"/>
      <c r="G24" s="1900"/>
      <c r="H24" s="398"/>
      <c r="I24" s="397"/>
      <c r="J24" s="398"/>
      <c r="K24" s="619"/>
      <c r="L24" s="2713"/>
      <c r="M24" s="2714"/>
      <c r="N24" s="2714"/>
      <c r="O24" s="2768"/>
      <c r="P24" s="3685"/>
      <c r="Q24" s="1339"/>
      <c r="R24" s="699"/>
      <c r="S24" s="700"/>
      <c r="T24" s="699"/>
      <c r="U24" s="700"/>
      <c r="V24" s="699"/>
      <c r="W24" s="700"/>
      <c r="X24" s="701"/>
      <c r="Y24" s="3685"/>
      <c r="Z24" s="52"/>
      <c r="AA24" s="702">
        <v>1</v>
      </c>
      <c r="AB24" s="702">
        <v>1</v>
      </c>
      <c r="AC24" s="702">
        <v>1</v>
      </c>
    </row>
    <row r="25" spans="1:29" s="107"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85"/>
      <c r="Q25" s="1339" t="str">
        <f t="shared" ref="Q25" si="9">B25</f>
        <v>基础设施水平</v>
      </c>
      <c r="R25" s="699" t="s">
        <v>14</v>
      </c>
      <c r="S25" s="700">
        <f>F25</f>
        <v>100</v>
      </c>
      <c r="T25" s="699" t="s">
        <v>14</v>
      </c>
      <c r="U25" s="700">
        <f>H25</f>
        <v>100</v>
      </c>
      <c r="V25" s="699" t="s">
        <v>14</v>
      </c>
      <c r="W25" s="700">
        <f>J25</f>
        <v>100</v>
      </c>
      <c r="X25" s="701"/>
      <c r="Y25" s="3685"/>
      <c r="Z25" s="52" t="str">
        <f>Q25</f>
        <v>基础设施水平</v>
      </c>
      <c r="AA25" s="1349">
        <f>D25/F25</f>
        <v>1</v>
      </c>
      <c r="AB25" s="1349">
        <f>D25/H25</f>
        <v>1</v>
      </c>
      <c r="AC25" s="1349">
        <f>D25/J25</f>
        <v>1</v>
      </c>
    </row>
    <row r="26" spans="1:29" s="107" customFormat="1" ht="15">
      <c r="A26" s="596"/>
      <c r="B26" s="579"/>
      <c r="C26" s="1974"/>
      <c r="D26" s="398"/>
      <c r="E26" s="1975"/>
      <c r="F26" s="398"/>
      <c r="G26" s="1975"/>
      <c r="H26" s="398"/>
      <c r="I26" s="1975"/>
      <c r="J26" s="398"/>
      <c r="K26" s="619"/>
      <c r="L26" s="2713"/>
      <c r="M26" s="2714"/>
      <c r="N26" s="2714"/>
      <c r="O26" s="2768"/>
      <c r="P26" s="3685"/>
      <c r="Q26" s="1339"/>
      <c r="R26" s="699"/>
      <c r="S26" s="700"/>
      <c r="T26" s="699"/>
      <c r="U26" s="700"/>
      <c r="V26" s="699"/>
      <c r="W26" s="700"/>
      <c r="X26" s="701"/>
      <c r="Y26" s="3685"/>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85"/>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85"/>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85"/>
      <c r="Q28" s="1348" t="str">
        <f t="shared" si="8"/>
        <v>毗邻道路的类型与等级</v>
      </c>
      <c r="R28" s="703" t="s">
        <v>14</v>
      </c>
      <c r="S28" s="704">
        <f t="shared" si="10"/>
        <v>100</v>
      </c>
      <c r="T28" s="703" t="s">
        <v>14</v>
      </c>
      <c r="U28" s="704">
        <f t="shared" si="11"/>
        <v>100</v>
      </c>
      <c r="V28" s="703" t="s">
        <v>14</v>
      </c>
      <c r="W28" s="704">
        <f t="shared" si="12"/>
        <v>100</v>
      </c>
      <c r="X28" s="1351"/>
      <c r="Y28" s="3685"/>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685"/>
      <c r="Q29" s="1348"/>
      <c r="R29" s="703"/>
      <c r="S29" s="704"/>
      <c r="T29" s="703"/>
      <c r="U29" s="704"/>
      <c r="V29" s="703"/>
      <c r="W29" s="704"/>
      <c r="X29" s="1351"/>
      <c r="Y29" s="3685"/>
      <c r="Z29" s="1352"/>
      <c r="AA29" s="1349">
        <v>1</v>
      </c>
      <c r="AB29" s="1349">
        <v>1</v>
      </c>
      <c r="AC29" s="1349">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85"/>
      <c r="Q30" s="1348" t="str">
        <f t="shared" si="8"/>
        <v>土地级别</v>
      </c>
      <c r="R30" s="703" t="s">
        <v>14</v>
      </c>
      <c r="S30" s="704">
        <f t="shared" si="10"/>
        <v>100</v>
      </c>
      <c r="T30" s="703" t="s">
        <v>14</v>
      </c>
      <c r="U30" s="704">
        <f t="shared" si="11"/>
        <v>100</v>
      </c>
      <c r="V30" s="703" t="s">
        <v>14</v>
      </c>
      <c r="W30" s="704">
        <f t="shared" si="12"/>
        <v>100</v>
      </c>
      <c r="X30" s="1351"/>
      <c r="Y30" s="3685"/>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85"/>
      <c r="Q31" s="1348">
        <f t="shared" si="8"/>
        <v>111</v>
      </c>
      <c r="R31" s="703" t="s">
        <v>14</v>
      </c>
      <c r="S31" s="704">
        <f t="shared" si="10"/>
        <v>100</v>
      </c>
      <c r="T31" s="703" t="s">
        <v>14</v>
      </c>
      <c r="U31" s="704">
        <f t="shared" si="11"/>
        <v>100</v>
      </c>
      <c r="V31" s="703" t="s">
        <v>14</v>
      </c>
      <c r="W31" s="704">
        <f t="shared" si="12"/>
        <v>100</v>
      </c>
      <c r="X31" s="1351"/>
      <c r="Y31" s="3685"/>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29" t="s">
        <v>1696</v>
      </c>
      <c r="Q32" s="1348">
        <f t="shared" si="8"/>
        <v>111</v>
      </c>
      <c r="R32" s="703" t="s">
        <v>14</v>
      </c>
      <c r="S32" s="704">
        <f t="shared" si="10"/>
        <v>100</v>
      </c>
      <c r="T32" s="703" t="s">
        <v>14</v>
      </c>
      <c r="U32" s="704">
        <f t="shared" si="11"/>
        <v>100</v>
      </c>
      <c r="V32" s="703" t="s">
        <v>14</v>
      </c>
      <c r="W32" s="704">
        <f t="shared" si="12"/>
        <v>100</v>
      </c>
      <c r="X32" s="1351"/>
      <c r="Y32" s="3689"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89"/>
      <c r="Q33" s="1348">
        <f t="shared" si="8"/>
        <v>111</v>
      </c>
      <c r="R33" s="706" t="s">
        <v>14</v>
      </c>
      <c r="S33" s="707">
        <f t="shared" si="10"/>
        <v>100</v>
      </c>
      <c r="T33" s="706" t="s">
        <v>14</v>
      </c>
      <c r="U33" s="707">
        <f t="shared" si="11"/>
        <v>100</v>
      </c>
      <c r="V33" s="706" t="s">
        <v>14</v>
      </c>
      <c r="W33" s="707">
        <f t="shared" si="12"/>
        <v>100</v>
      </c>
      <c r="X33" s="708"/>
      <c r="Y33" s="3689"/>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89"/>
      <c r="Q34" s="1348" t="str">
        <f>B34</f>
        <v>宗地面积</v>
      </c>
      <c r="R34" s="703" t="s">
        <v>14</v>
      </c>
      <c r="S34" s="704" t="e">
        <f t="shared" si="10"/>
        <v>#N/A</v>
      </c>
      <c r="T34" s="703" t="s">
        <v>14</v>
      </c>
      <c r="U34" s="704" t="e">
        <f t="shared" si="11"/>
        <v>#N/A</v>
      </c>
      <c r="V34" s="703" t="s">
        <v>14</v>
      </c>
      <c r="W34" s="704" t="e">
        <f t="shared" si="12"/>
        <v>#N/A</v>
      </c>
      <c r="X34" s="1351"/>
      <c r="Y34" s="3689"/>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689"/>
      <c r="Q35" s="1348" t="str">
        <f t="shared" ref="Q35:Q40" si="14">B35</f>
        <v>宗地形状</v>
      </c>
      <c r="R35" s="703" t="s">
        <v>14</v>
      </c>
      <c r="S35" s="704">
        <f t="shared" si="10"/>
        <v>100</v>
      </c>
      <c r="T35" s="703" t="s">
        <v>14</v>
      </c>
      <c r="U35" s="704">
        <f t="shared" si="11"/>
        <v>100</v>
      </c>
      <c r="V35" s="703" t="s">
        <v>14</v>
      </c>
      <c r="W35" s="704">
        <f t="shared" si="12"/>
        <v>100</v>
      </c>
      <c r="X35" s="1351"/>
      <c r="Y35" s="3689"/>
      <c r="Z35" s="1352" t="str">
        <f t="shared" si="13"/>
        <v>宗地形状</v>
      </c>
      <c r="AA35" s="1349">
        <f t="shared" si="3"/>
        <v>1</v>
      </c>
      <c r="AB35" s="1349">
        <f t="shared" si="4"/>
        <v>1</v>
      </c>
      <c r="AC35" s="1349">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689"/>
      <c r="Q36" s="1348" t="str">
        <f t="shared" si="14"/>
        <v>宗地开发程度</v>
      </c>
      <c r="R36" s="699" t="s">
        <v>14</v>
      </c>
      <c r="S36" s="700">
        <f t="shared" si="10"/>
        <v>100</v>
      </c>
      <c r="T36" s="699" t="s">
        <v>14</v>
      </c>
      <c r="U36" s="700">
        <f t="shared" si="11"/>
        <v>100</v>
      </c>
      <c r="V36" s="699" t="s">
        <v>14</v>
      </c>
      <c r="W36" s="700">
        <f t="shared" si="12"/>
        <v>100</v>
      </c>
      <c r="X36" s="701"/>
      <c r="Y36" s="3689"/>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689" t="s">
        <v>1696</v>
      </c>
      <c r="Q37" s="1348" t="str">
        <f t="shared" si="14"/>
        <v>工程地质条件</v>
      </c>
      <c r="R37" s="703" t="s">
        <v>14</v>
      </c>
      <c r="S37" s="704">
        <f t="shared" si="10"/>
        <v>100</v>
      </c>
      <c r="T37" s="703" t="s">
        <v>14</v>
      </c>
      <c r="U37" s="704">
        <f t="shared" si="11"/>
        <v>100</v>
      </c>
      <c r="V37" s="703" t="s">
        <v>14</v>
      </c>
      <c r="W37" s="704">
        <f t="shared" si="12"/>
        <v>100</v>
      </c>
      <c r="X37" s="1351"/>
      <c r="Y37" s="3689" t="s">
        <v>1696</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89"/>
      <c r="Q38" s="1348">
        <f t="shared" si="14"/>
        <v>111</v>
      </c>
      <c r="R38" s="703" t="s">
        <v>14</v>
      </c>
      <c r="S38" s="704">
        <f t="shared" si="10"/>
        <v>100</v>
      </c>
      <c r="T38" s="703" t="s">
        <v>14</v>
      </c>
      <c r="U38" s="704">
        <f t="shared" si="11"/>
        <v>100</v>
      </c>
      <c r="V38" s="703" t="s">
        <v>14</v>
      </c>
      <c r="W38" s="704">
        <f t="shared" si="12"/>
        <v>100</v>
      </c>
      <c r="X38" s="1351"/>
      <c r="Y38" s="3689"/>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89"/>
      <c r="Q39" s="1348">
        <f t="shared" si="14"/>
        <v>111</v>
      </c>
      <c r="R39" s="703" t="s">
        <v>14</v>
      </c>
      <c r="S39" s="704">
        <f t="shared" si="10"/>
        <v>100</v>
      </c>
      <c r="T39" s="703" t="s">
        <v>14</v>
      </c>
      <c r="U39" s="704">
        <f t="shared" si="11"/>
        <v>100</v>
      </c>
      <c r="V39" s="703" t="s">
        <v>14</v>
      </c>
      <c r="W39" s="704">
        <f t="shared" si="12"/>
        <v>100</v>
      </c>
      <c r="X39" s="1351"/>
      <c r="Y39" s="3689"/>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89"/>
      <c r="Q40" s="1348">
        <f t="shared" si="14"/>
        <v>111</v>
      </c>
      <c r="R40" s="706" t="s">
        <v>14</v>
      </c>
      <c r="S40" s="707">
        <f t="shared" si="10"/>
        <v>100</v>
      </c>
      <c r="T40" s="706" t="s">
        <v>14</v>
      </c>
      <c r="U40" s="707">
        <f t="shared" si="11"/>
        <v>100</v>
      </c>
      <c r="V40" s="706" t="s">
        <v>14</v>
      </c>
      <c r="W40" s="707">
        <f t="shared" si="12"/>
        <v>100</v>
      </c>
      <c r="X40" s="708"/>
      <c r="Y40" s="3689"/>
      <c r="Z40" s="709">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2"/>
      <c r="L41" s="2720"/>
      <c r="M41" s="2712"/>
      <c r="N41" s="2712"/>
      <c r="O41" s="2721"/>
      <c r="P41" s="3691" t="str">
        <f>A41</f>
        <v>成交单价</v>
      </c>
      <c r="Q41" s="3691"/>
      <c r="R41" s="3676">
        <f>E41</f>
        <v>0</v>
      </c>
      <c r="S41" s="3676"/>
      <c r="T41" s="3676">
        <f>G41</f>
        <v>0</v>
      </c>
      <c r="U41" s="3676"/>
      <c r="V41" s="3676">
        <f>I41</f>
        <v>0</v>
      </c>
      <c r="W41" s="3676"/>
      <c r="X41" s="688"/>
      <c r="Y41" s="710"/>
      <c r="Z41" s="688"/>
      <c r="AA41" s="688"/>
      <c r="AB41" s="688"/>
      <c r="AC41" s="688"/>
    </row>
    <row r="42" spans="1:31" ht="15.75" thickBot="1">
      <c r="A42" s="436" t="s">
        <v>1793</v>
      </c>
      <c r="B42" s="630"/>
      <c r="C42" s="439" t="e">
        <f>R43</f>
        <v>#DIV/0!</v>
      </c>
      <c r="D42" s="2313" t="s">
        <v>2138</v>
      </c>
      <c r="E42" s="439" t="e">
        <f>R42</f>
        <v>#DIV/0!</v>
      </c>
      <c r="F42" s="2314"/>
      <c r="G42" s="438" t="e">
        <f>T42</f>
        <v>#DIV/0!</v>
      </c>
      <c r="H42" s="2314"/>
      <c r="I42" s="439" t="e">
        <f>V42</f>
        <v>#DIV/0!</v>
      </c>
      <c r="J42" s="2314"/>
      <c r="K42" s="2316">
        <f>F42+H42+J42</f>
        <v>0</v>
      </c>
      <c r="L42" s="2720"/>
      <c r="M42" s="2712"/>
      <c r="N42" s="2712"/>
      <c r="O42" s="2721"/>
      <c r="P42" s="3691" t="str">
        <f>A42</f>
        <v>比较价值（元/平方米）</v>
      </c>
      <c r="Q42" s="3691"/>
      <c r="R42" s="3872" t="e">
        <f>ROUND(PRODUCT(R41,AA7:AA40),0)</f>
        <v>#DIV/0!</v>
      </c>
      <c r="S42" s="3872"/>
      <c r="T42" s="3872" t="e">
        <f>ROUND(PRODUCT(T41,AB7:AB40),0)</f>
        <v>#DIV/0!</v>
      </c>
      <c r="U42" s="3872"/>
      <c r="V42" s="3872" t="e">
        <f>ROUND(PRODUCT(V41,AC7:AC40),0)</f>
        <v>#DIV/0!</v>
      </c>
      <c r="W42" s="387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693" t="str">
        <f>A43</f>
        <v>估价对象XX用房的比较价值（楼面单价，元/平方米）</v>
      </c>
      <c r="Q43" s="3694"/>
      <c r="R43" s="3873" t="e">
        <f>ROUND(IF(D42="简单平均",AVERAGE(R42:W42),R42*F42+T42*H42+V42*J42),0)</f>
        <v>#DIV/0!</v>
      </c>
      <c r="S43" s="3873"/>
      <c r="T43" s="3873"/>
      <c r="U43" s="3873"/>
      <c r="V43" s="3873"/>
      <c r="W43" s="3873"/>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652" t="s">
        <v>1887</v>
      </c>
      <c r="H50" s="3874"/>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0">
        <v>1</v>
      </c>
      <c r="E51" s="637">
        <f>'数据-汇总表'!E8+'数据-汇总表'!E9</f>
        <v>43817</v>
      </c>
      <c r="F51" s="638" t="e">
        <f t="shared" ref="F51:F60" si="15">ROUND(B51*E51/10000,0)</f>
        <v>#DIV/0!</v>
      </c>
      <c r="G51" s="3680"/>
      <c r="H51" s="369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0.5</v>
      </c>
      <c r="D52" s="941">
        <v>0.25</v>
      </c>
      <c r="E52" s="641"/>
      <c r="F52" s="638" t="e">
        <f t="shared" si="15"/>
        <v>#DIV/0!</v>
      </c>
      <c r="G52" s="3002" t="s">
        <v>1892</v>
      </c>
      <c r="H52" s="883" t="str">
        <f>项目基本情况!B37</f>
        <v>九级</v>
      </c>
      <c r="I52" s="769">
        <f>SUMIF(修正!A57:A68,H52,修正!B57:B68)</f>
        <v>0.5</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0.2</v>
      </c>
      <c r="D53" s="941">
        <v>0.25</v>
      </c>
      <c r="E53" s="641"/>
      <c r="F53" s="638" t="e">
        <f t="shared" si="15"/>
        <v>#DIV/0!</v>
      </c>
      <c r="G53" s="3003"/>
      <c r="H53" s="883" t="str">
        <f>项目基本情况!B37</f>
        <v>九级</v>
      </c>
      <c r="I53" s="769">
        <f>SUMIF(修正!A57:A68,H53,修正!C57:C68)</f>
        <v>0.2</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0.2</v>
      </c>
      <c r="D54" s="941">
        <v>0.25</v>
      </c>
      <c r="E54" s="641"/>
      <c r="F54" s="638" t="e">
        <f t="shared" si="15"/>
        <v>#DIV/0!</v>
      </c>
      <c r="G54" s="3003"/>
      <c r="H54" s="883" t="str">
        <f>项目基本情况!B37</f>
        <v>九级</v>
      </c>
      <c r="I54" s="769">
        <f>SUMIF(修正!A57:A68,H54,修正!D57:D68)</f>
        <v>0.2</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0.2</v>
      </c>
      <c r="D56" s="941">
        <v>0.25</v>
      </c>
      <c r="E56" s="216">
        <f>'数据-汇总表'!E11</f>
        <v>0</v>
      </c>
      <c r="F56" s="638" t="e">
        <f t="shared" si="15"/>
        <v>#DIV/0!</v>
      </c>
      <c r="G56" s="1983" t="s">
        <v>1896</v>
      </c>
      <c r="H56" s="883" t="str">
        <f>项目基本情况!C37</f>
        <v>九级</v>
      </c>
      <c r="I56" s="769">
        <f>SUMIF(修正!A57:A68,H56,修正!E57:E68)</f>
        <v>0.2</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0.2</v>
      </c>
      <c r="D57" s="941">
        <v>0.25</v>
      </c>
      <c r="E57" s="216">
        <f>'数据-汇总表'!E12</f>
        <v>61672</v>
      </c>
      <c r="F57" s="638" t="e">
        <f t="shared" si="15"/>
        <v>#DIV/0!</v>
      </c>
      <c r="G57" s="888" t="s">
        <v>1898</v>
      </c>
      <c r="H57" s="883" t="str">
        <f>IF(G57="商业",项目基本情况!B37,IF(G57="办公",项目基本情况!C37,IF(G57="住宅",项目基本情况!D37,项目基本情况!E37)))</f>
        <v>九级</v>
      </c>
      <c r="I57" s="769">
        <f>SUMIF(修正!A57:A68,H57,修正!F57:F68)</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0.1</v>
      </c>
      <c r="D58" s="941">
        <v>0.25</v>
      </c>
      <c r="E58" s="216">
        <f>'数据-汇总表'!E13</f>
        <v>72769</v>
      </c>
      <c r="F58" s="638" t="e">
        <f t="shared" si="15"/>
        <v>#DIV/0!</v>
      </c>
      <c r="G58" s="888" t="s">
        <v>1900</v>
      </c>
      <c r="H58" s="883" t="str">
        <f>IF(G58="商业",项目基本情况!B37,IF(G58="办公",项目基本情况!C37,IF(G58="住宅",项目基本情况!D37,项目基本情况!E37)))</f>
        <v>九级</v>
      </c>
      <c r="I58" s="769">
        <f>SUMIF(修正!A57:A68,H58,修正!G57:G68)</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0.1</v>
      </c>
      <c r="D59" s="941">
        <v>0.25</v>
      </c>
      <c r="E59" s="216">
        <f>'数据-汇总表'!E14</f>
        <v>0</v>
      </c>
      <c r="F59" s="638" t="e">
        <f t="shared" si="15"/>
        <v>#DIV/0!</v>
      </c>
      <c r="G59" s="1983" t="s">
        <v>1892</v>
      </c>
      <c r="H59" s="883" t="str">
        <f>项目基本情况!B37</f>
        <v>九级</v>
      </c>
      <c r="I59" s="769">
        <f>SUMIF(修正!A57:A68,H59,修正!G57:G68)</f>
        <v>0.1</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0.1</v>
      </c>
      <c r="D60" s="941">
        <v>0.25</v>
      </c>
      <c r="E60" s="216">
        <f>'数据-汇总表'!E15</f>
        <v>0</v>
      </c>
      <c r="F60" s="638" t="e">
        <f t="shared" si="15"/>
        <v>#DIV/0!</v>
      </c>
      <c r="G60" s="1984" t="s">
        <v>1896</v>
      </c>
      <c r="H60" s="893" t="str">
        <f>项目基本情况!C37</f>
        <v>九级</v>
      </c>
      <c r="I60" s="769">
        <f>SUMIF(修正!A57:A68,H60,修正!G57:G68)</f>
        <v>0.1</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111411.25</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2083</v>
      </c>
      <c r="C1" s="3882" t="s">
        <v>2084</v>
      </c>
      <c r="D1" s="3883"/>
      <c r="E1" s="3883"/>
      <c r="F1" s="3883"/>
      <c r="G1" s="3883"/>
      <c r="H1" s="3883"/>
      <c r="I1" s="3883"/>
      <c r="J1" s="3883"/>
      <c r="K1" s="3883"/>
      <c r="L1" s="3883"/>
      <c r="M1" s="3883"/>
      <c r="N1" s="3883"/>
      <c r="O1" s="3883"/>
      <c r="P1" s="3883"/>
      <c r="Q1" s="3883"/>
      <c r="R1" s="3883"/>
      <c r="S1" s="3884"/>
      <c r="T1" s="979" t="s">
        <v>2085</v>
      </c>
    </row>
    <row r="2" spans="1:45" s="654" customFormat="1">
      <c r="A2" s="980"/>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0"/>
      <c r="B5" s="1332" t="s">
        <v>2087</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0"/>
      <c r="B7" s="1333" t="s">
        <v>2088</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0"/>
      <c r="B9" s="1333" t="s">
        <v>2089</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2095</v>
      </c>
      <c r="E19" s="1336"/>
      <c r="F19" s="1336"/>
      <c r="G19" s="1336"/>
      <c r="H19" s="1055"/>
      <c r="I19" s="158"/>
      <c r="J19" s="158"/>
      <c r="K19" s="158"/>
      <c r="L19" s="158"/>
      <c r="M19" s="158"/>
      <c r="N19" s="158"/>
      <c r="O19" s="158"/>
      <c r="P19" s="158"/>
      <c r="Q19" s="158"/>
      <c r="R19" s="716"/>
      <c r="S19" s="128"/>
    </row>
    <row r="20" spans="1:45" ht="16.5" thickBot="1">
      <c r="A20" s="661" t="s">
        <v>2096</v>
      </c>
      <c r="B20" s="293" t="e">
        <f ca="1">IF(D20="——",S22,S22-F20)</f>
        <v>#REF!</v>
      </c>
      <c r="C20" s="158"/>
      <c r="D20" s="2147"/>
      <c r="E20" s="1337"/>
      <c r="F20" s="979" t="e">
        <f ca="1">SUMIF(INDIRECT("'"&amp;H20&amp;"'"&amp;"!A:A"),"承租人权益价值",INDIRECT("'"&amp;H20&amp;"'"&amp;"!c:c"))</f>
        <v>#REF!</v>
      </c>
      <c r="G20" s="979" t="s">
        <v>2097</v>
      </c>
      <c r="H20" s="2148"/>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79" t="s">
        <v>27</v>
      </c>
      <c r="D22" s="3880"/>
      <c r="E22" s="3880"/>
      <c r="F22" s="3880"/>
      <c r="G22" s="3880"/>
      <c r="H22" s="3880"/>
      <c r="I22" s="3880"/>
      <c r="J22" s="3880"/>
      <c r="K22" s="3880"/>
      <c r="L22" s="3880"/>
      <c r="M22" s="3880"/>
      <c r="N22" s="3880"/>
      <c r="O22" s="3880"/>
      <c r="P22" s="3880"/>
      <c r="Q22" s="388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10" sqref="C10"/>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42779</v>
      </c>
      <c r="C2" s="2141" t="s">
        <v>2074</v>
      </c>
      <c r="D2" s="2141" t="s">
        <v>2075</v>
      </c>
      <c r="E2" s="2608">
        <f ca="1">SUMIF(E6:E13,"&lt;&gt;#ref!",E6:E13)</f>
        <v>178258</v>
      </c>
      <c r="F2" s="2789"/>
      <c r="G2" s="2789"/>
      <c r="H2" s="2789"/>
      <c r="I2" s="2789"/>
      <c r="J2" s="2789"/>
      <c r="K2" s="2789"/>
      <c r="L2" s="2789"/>
      <c r="M2" s="2789"/>
      <c r="N2" s="2789"/>
      <c r="O2" s="2789"/>
      <c r="P2" s="2789"/>
    </row>
    <row r="3" spans="1:16" ht="15.75">
      <c r="A3" s="2141" t="s">
        <v>2076</v>
      </c>
      <c r="B3" s="2598">
        <f ca="1">ROUND(B2*10000/E2,0)</f>
        <v>2400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42779</v>
      </c>
      <c r="C6" s="2141" t="s">
        <v>2074</v>
      </c>
      <c r="D6" s="2789"/>
      <c r="E6" s="2608">
        <f ca="1">SUMIF(INDIRECT("'"&amp;A6&amp;"'"&amp;"!C:C"),"建筑面积",INDIRECT("'"&amp;A6&amp;"'"&amp;"!D:D"))</f>
        <v>178258</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10" sqref="E10"/>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2">
        <f>MATCH(B1,'数据-取费表'!A6:A16,0)+5</f>
        <v>12</v>
      </c>
      <c r="H1" s="1057" t="str">
        <f>IF(ISERROR(FIND("住宅",B1)),"非住宅","住宅")</f>
        <v>非住宅</v>
      </c>
    </row>
    <row r="2" spans="1:8" s="199" customFormat="1" ht="18" customHeight="1">
      <c r="A2" s="200" t="s">
        <v>1462</v>
      </c>
      <c r="B2" s="3419">
        <f ca="1">ROUND(IF(D2="——",C52/10000,C52/10000-E2),4)</f>
        <v>116740.499</v>
      </c>
      <c r="C2" s="198" t="s">
        <v>1463</v>
      </c>
      <c r="D2" s="1849" t="s">
        <v>43</v>
      </c>
      <c r="E2" s="1165"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6549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33943004</v>
      </c>
      <c r="D5" s="210" t="s">
        <v>1469</v>
      </c>
      <c r="E5" s="211" t="s">
        <v>1470</v>
      </c>
      <c r="F5" s="211" t="s">
        <v>1471</v>
      </c>
      <c r="G5" s="212"/>
    </row>
    <row r="6" spans="1:8" s="213" customFormat="1" ht="13.5" customHeight="1">
      <c r="A6" s="774" t="s">
        <v>1472</v>
      </c>
      <c r="B6" s="214" t="s">
        <v>1473</v>
      </c>
      <c r="C6" s="215">
        <f>基准地价修正!B2</f>
        <v>42779</v>
      </c>
      <c r="D6" s="216"/>
      <c r="E6" s="217"/>
      <c r="F6" s="217"/>
      <c r="G6" s="218"/>
    </row>
    <row r="7" spans="1:8" s="213" customFormat="1" ht="13.5" customHeight="1">
      <c r="A7" s="774" t="s">
        <v>1474</v>
      </c>
      <c r="B7" s="214" t="s">
        <v>1475</v>
      </c>
      <c r="C7" s="219">
        <f>ROUND(C6*F7,0)</f>
        <v>1305</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33898920</v>
      </c>
      <c r="D8" s="221"/>
      <c r="E8" s="219"/>
      <c r="F8" s="220"/>
      <c r="G8" s="1852" t="s">
        <v>6754</v>
      </c>
    </row>
    <row r="9" spans="1:8" s="213" customFormat="1" ht="13.5" customHeight="1">
      <c r="A9" s="775" t="s">
        <v>355</v>
      </c>
      <c r="B9" s="223" t="s">
        <v>1478</v>
      </c>
      <c r="C9" s="224">
        <f ca="1">ROUND(D9*E9,0)</f>
        <v>7010720</v>
      </c>
      <c r="D9" s="841">
        <f ca="1">IF(B1="",'数据-汇总表'!E5,IF(INDIRECT("'数据-取费表'!c"&amp;$G$1)="住宅",INDIRECT("'数据-取费表'!k"&amp;$G$1),0))</f>
        <v>43817</v>
      </c>
      <c r="E9" s="224">
        <f>'数据-取费表'!B27</f>
        <v>160</v>
      </c>
      <c r="F9" s="220"/>
      <c r="G9" s="225"/>
    </row>
    <row r="10" spans="1:8" s="213" customFormat="1" ht="13.5" customHeight="1">
      <c r="A10" s="775" t="s">
        <v>356</v>
      </c>
      <c r="B10" s="223" t="s">
        <v>1480</v>
      </c>
      <c r="C10" s="224">
        <f ca="1">ROUND(D10*E10,0)</f>
        <v>26888200</v>
      </c>
      <c r="D10" s="841">
        <f ca="1">IF(B1="",'数据-汇总表'!E6,IF(INDIRECT("'数据-取费表'!c"&amp;$G$1)="住宅",INDIRECT("'数据-取费表'!s"&amp;$G$1),INDIRECT("'数据-取费表'!k"&amp;$G$1)+INDIRECT("'数据-取费表'!s"&amp;$G$1)))</f>
        <v>134441</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t="str">
        <f>IF(G19="已包含在土地取得成本中","0",ROUND(D19*E19,0))</f>
        <v>0</v>
      </c>
      <c r="D19" s="845">
        <f ca="1">D9+D10</f>
        <v>178258</v>
      </c>
      <c r="E19" s="210">
        <f>'数据-取费表'!B31</f>
        <v>200</v>
      </c>
      <c r="F19" s="230"/>
      <c r="G19" s="1852" t="s">
        <v>6755</v>
      </c>
    </row>
    <row r="20" spans="1:7" s="213" customFormat="1" ht="13.5" customHeight="1">
      <c r="A20" s="254" t="s">
        <v>1574</v>
      </c>
      <c r="B20" s="209" t="s">
        <v>1575</v>
      </c>
      <c r="C20" s="231">
        <f ca="1">ROUND((C5+C19)*F20,0)</f>
        <v>848575</v>
      </c>
      <c r="D20" s="231"/>
      <c r="E20" s="231"/>
      <c r="F20" s="232">
        <f>'数据-取费表'!B37</f>
        <v>2.5000000000000001E-2</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3">
        <f ca="1">ROUND(SUM(C23:C25),0)</f>
        <v>3341476</v>
      </c>
      <c r="D22" s="234">
        <f ca="1">C26</f>
        <v>1.1999999999999999E-3</v>
      </c>
      <c r="E22" s="235" t="s">
        <v>1579</v>
      </c>
      <c r="F22" s="236">
        <f ca="1">'数据-取费表'!B40</f>
        <v>4.7500000000000001E-2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3301169</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0</v>
      </c>
      <c r="D24" s="237"/>
      <c r="E24" s="237"/>
      <c r="F24" s="238"/>
      <c r="G24" s="239" t="s">
        <v>1586</v>
      </c>
    </row>
    <row r="25" spans="1:7" s="213" customFormat="1" ht="24">
      <c r="A25" s="776" t="s">
        <v>1476</v>
      </c>
      <c r="B25" s="214" t="s">
        <v>1587</v>
      </c>
      <c r="C25" s="1124">
        <f ca="1">ROUND(IF('数据-取费表'!B22&lt;=1,C20*F22*'数据-取费表'!B22/2,C20*(POWER((1+F22),'数据-取费表'!B22/2)-1)),0)</f>
        <v>40307</v>
      </c>
      <c r="D25" s="237"/>
      <c r="E25" s="240"/>
      <c r="F25" s="238"/>
      <c r="G25" s="241" t="s">
        <v>1588</v>
      </c>
    </row>
    <row r="26" spans="1:7" s="213" customFormat="1">
      <c r="A26" s="776"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4522905</v>
      </c>
      <c r="D27" s="234">
        <f ca="1">C29</f>
        <v>3.3E-3</v>
      </c>
      <c r="E27" s="235" t="s">
        <v>1514</v>
      </c>
      <c r="F27" s="245">
        <f ca="1">IF(B1="",'数据-取费表'!Q16,INDIRECT("'数据-取费表'!q"&amp;$G$1))</f>
        <v>0.13</v>
      </c>
      <c r="G27" s="246" t="s">
        <v>1515</v>
      </c>
    </row>
    <row r="28" spans="1:7" s="213" customFormat="1" ht="13.5" customHeight="1">
      <c r="A28" s="776" t="s">
        <v>346</v>
      </c>
      <c r="B28" s="247" t="s">
        <v>1516</v>
      </c>
      <c r="C28" s="248">
        <f ca="1">ROUND((C5+C19+C20)*F27,0)</f>
        <v>4522905</v>
      </c>
      <c r="D28" s="234"/>
      <c r="E28" s="235"/>
      <c r="F28" s="245"/>
      <c r="G28" s="246"/>
    </row>
    <row r="29" spans="1:7" s="213" customFormat="1" ht="13.5" customHeight="1">
      <c r="A29" s="776" t="s">
        <v>347</v>
      </c>
      <c r="B29" s="247" t="s">
        <v>1517</v>
      </c>
      <c r="C29" s="237">
        <f ca="1">ROUND(C21*F27,4)</f>
        <v>3.3E-3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46461126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870087630</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743274000</v>
      </c>
      <c r="D34" s="216"/>
      <c r="E34" s="219"/>
      <c r="F34" s="256"/>
      <c r="G34" s="218"/>
    </row>
    <row r="35" spans="1:7" ht="13.5" customHeight="1">
      <c r="A35" s="776" t="s">
        <v>351</v>
      </c>
      <c r="B35" s="214" t="s">
        <v>1527</v>
      </c>
      <c r="C35" s="219">
        <f ca="1">ROUND(C34*F35,0)</f>
        <v>59461920</v>
      </c>
      <c r="D35" s="219"/>
      <c r="E35" s="219"/>
      <c r="F35" s="258">
        <f>'数据-取费表'!B33</f>
        <v>0.08</v>
      </c>
      <c r="G35" s="218" t="s">
        <v>1528</v>
      </c>
    </row>
    <row r="36" spans="1:7" ht="24">
      <c r="A36" s="776" t="s">
        <v>352</v>
      </c>
      <c r="B36" s="214" t="s">
        <v>1529</v>
      </c>
      <c r="C36" s="219">
        <f ca="1">ROUND(IF(B1="",SUM('数据-取费表'!AP6:AP13)*F36,IF(INDIRECT("'数据-取费表'!c"&amp;$G$1)="住宅",INDIRECT("'数据-取费表'!k"&amp;$G$1)*INDIRECT("'数据-取费表'!l"&amp;$G$1)*F36,0)),0)</f>
        <v>20551000</v>
      </c>
      <c r="D36" s="219"/>
      <c r="E36" s="219"/>
      <c r="F36" s="258">
        <f>'数据-取费表'!B34</f>
        <v>0.1</v>
      </c>
      <c r="G36" s="259" t="s">
        <v>1530</v>
      </c>
    </row>
    <row r="37" spans="1:7" s="257" customFormat="1" ht="13.5" customHeight="1">
      <c r="A37" s="776" t="s">
        <v>353</v>
      </c>
      <c r="B37" s="214" t="s">
        <v>1531</v>
      </c>
      <c r="C37" s="248">
        <f ca="1">ROUND(E37*D37,0)</f>
        <v>35651600</v>
      </c>
      <c r="D37" s="216">
        <f ca="1">D19</f>
        <v>178258</v>
      </c>
      <c r="E37" s="248">
        <f>'数据-取费表'!B35</f>
        <v>200</v>
      </c>
      <c r="F37" s="258"/>
      <c r="G37" s="260"/>
    </row>
    <row r="38" spans="1:7" ht="13.5" customHeight="1">
      <c r="A38" s="776" t="s">
        <v>354</v>
      </c>
      <c r="B38" s="214" t="s">
        <v>1533</v>
      </c>
      <c r="C38" s="219">
        <f ca="1">ROUND(C34*F38,0)</f>
        <v>11149110</v>
      </c>
      <c r="D38" s="219"/>
      <c r="E38" s="219"/>
      <c r="F38" s="258">
        <f>'数据-取费表'!B36</f>
        <v>1.4999999999999999E-2</v>
      </c>
      <c r="G38" s="218" t="s">
        <v>1528</v>
      </c>
    </row>
    <row r="39" spans="1:7" s="213" customFormat="1" ht="13.5" customHeight="1">
      <c r="A39" s="254" t="s">
        <v>1534</v>
      </c>
      <c r="B39" s="209" t="s">
        <v>1535</v>
      </c>
      <c r="C39" s="231">
        <f ca="1">ROUND(C33*F20,0)</f>
        <v>21752191</v>
      </c>
      <c r="D39" s="231"/>
      <c r="E39" s="231"/>
      <c r="F39" s="232">
        <f>F20</f>
        <v>2.5000000000000001E-2</v>
      </c>
      <c r="G39" s="233" t="s">
        <v>1536</v>
      </c>
    </row>
    <row r="40" spans="1:7" s="213" customFormat="1" ht="13.5" customHeight="1">
      <c r="A40" s="254" t="s">
        <v>1537</v>
      </c>
      <c r="B40" s="209" t="s">
        <v>1538</v>
      </c>
      <c r="C40" s="1323">
        <f>F21</f>
        <v>2.5000000000000001E-2</v>
      </c>
      <c r="D40" s="235" t="s">
        <v>1539</v>
      </c>
      <c r="E40" s="231"/>
      <c r="F40" s="232">
        <f>F21</f>
        <v>2.5000000000000001E-2</v>
      </c>
      <c r="G40" s="233" t="s">
        <v>1540</v>
      </c>
    </row>
    <row r="41" spans="1:7" s="213" customFormat="1" ht="13.5" customHeight="1">
      <c r="A41" s="254" t="s">
        <v>1541</v>
      </c>
      <c r="B41" s="209" t="s">
        <v>1542</v>
      </c>
      <c r="C41" s="231">
        <f ca="1">ROUND(SUM(C42:C43),0)</f>
        <v>42362391</v>
      </c>
      <c r="D41" s="234">
        <f ca="1">C44</f>
        <v>1.1999999999999999E-3</v>
      </c>
      <c r="E41" s="235" t="s">
        <v>1539</v>
      </c>
      <c r="F41" s="236">
        <f ca="1">F22</f>
        <v>4.7500000000000001E-2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41329162</v>
      </c>
      <c r="D42" s="237"/>
      <c r="E42" s="237"/>
      <c r="F42" s="238"/>
      <c r="G42" s="3802" t="s">
        <v>1591</v>
      </c>
    </row>
    <row r="43" spans="1:7" ht="13.5" customHeight="1">
      <c r="A43" s="776" t="s">
        <v>347</v>
      </c>
      <c r="B43" s="214" t="s">
        <v>1545</v>
      </c>
      <c r="C43" s="237">
        <f ca="1">ROUND(IF('数据-取费表'!B22&lt;=1,C39*F22*'数据-取费表'!B20/2,C39*(POWER((1+F22),'数据-取费表'!B20/2)-1)),0)</f>
        <v>1033229</v>
      </c>
      <c r="D43" s="237"/>
      <c r="E43" s="237"/>
      <c r="F43" s="238"/>
      <c r="G43" s="3803"/>
    </row>
    <row r="44" spans="1:7" ht="13.5" customHeight="1">
      <c r="A44" s="776" t="s">
        <v>348</v>
      </c>
      <c r="B44" s="214" t="s">
        <v>1546</v>
      </c>
      <c r="C44" s="237">
        <f ca="1">ROUND(IF('数据-取费表'!B22&lt;=1,C40*F22*'数据-取费表'!B20/2,C40*(POWER((1+F22),'数据-取费表'!B20/2)-1)),4)</f>
        <v>1.1999999999999999E-3</v>
      </c>
      <c r="D44" s="237"/>
      <c r="E44" s="237"/>
      <c r="F44" s="238"/>
      <c r="G44" s="3804"/>
    </row>
    <row r="45" spans="1:7" s="213" customFormat="1" ht="13.5" customHeight="1">
      <c r="A45" s="254" t="s">
        <v>1547</v>
      </c>
      <c r="B45" s="243" t="s">
        <v>1513</v>
      </c>
      <c r="C45" s="244">
        <f ca="1">C46</f>
        <v>115939177</v>
      </c>
      <c r="D45" s="234">
        <f ca="1">C47</f>
        <v>3.3E-3</v>
      </c>
      <c r="E45" s="235" t="s">
        <v>1539</v>
      </c>
      <c r="F45" s="245">
        <f ca="1">F27</f>
        <v>0.13</v>
      </c>
      <c r="G45" s="246" t="s">
        <v>1548</v>
      </c>
    </row>
    <row r="46" spans="1:7" s="213" customFormat="1" ht="13.5" customHeight="1">
      <c r="A46" s="776" t="s">
        <v>346</v>
      </c>
      <c r="B46" s="247" t="s">
        <v>1549</v>
      </c>
      <c r="C46" s="248">
        <f ca="1">ROUND((C33+C39)*F27,0)</f>
        <v>115939177</v>
      </c>
      <c r="D46" s="262"/>
      <c r="E46" s="235"/>
      <c r="F46" s="245"/>
      <c r="G46" s="246"/>
    </row>
    <row r="47" spans="1:7" s="213" customFormat="1" ht="13.5" customHeight="1">
      <c r="A47" s="776" t="s">
        <v>347</v>
      </c>
      <c r="B47" s="247" t="s">
        <v>1550</v>
      </c>
      <c r="C47" s="237">
        <f ca="1">ROUND(C40*F27,4)</f>
        <v>3.3E-3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1143820269</v>
      </c>
      <c r="D49" s="231"/>
      <c r="E49" s="231"/>
      <c r="F49" s="263"/>
      <c r="G49" s="233" t="s">
        <v>1554</v>
      </c>
    </row>
    <row r="50" spans="1:7" s="257" customFormat="1">
      <c r="A50" s="254" t="s">
        <v>1555</v>
      </c>
      <c r="B50" s="209" t="s">
        <v>1556</v>
      </c>
      <c r="C50" s="231"/>
      <c r="D50" s="231"/>
      <c r="E50" s="231"/>
      <c r="F50" s="263">
        <f>IF('数据-取费表'!B24=0,'数据-取费表'!N16,1)</f>
        <v>0.98</v>
      </c>
      <c r="G50" s="246"/>
    </row>
    <row r="51" spans="1:7" ht="16.5" customHeight="1">
      <c r="A51" s="254" t="s">
        <v>1558</v>
      </c>
      <c r="B51" s="209" t="s">
        <v>1593</v>
      </c>
      <c r="C51" s="231">
        <f ca="1">ROUND(C49*F50,0)</f>
        <v>1120943864</v>
      </c>
      <c r="D51" s="231"/>
      <c r="E51" s="231"/>
      <c r="F51" s="263"/>
      <c r="G51" s="233" t="s">
        <v>1560</v>
      </c>
    </row>
    <row r="52" spans="1:7" s="207" customFormat="1" ht="16.5" thickBot="1">
      <c r="A52" s="264" t="s">
        <v>1561</v>
      </c>
      <c r="B52" s="265"/>
      <c r="C52" s="266">
        <f ca="1">C31+C51</f>
        <v>1167404990</v>
      </c>
      <c r="D52" s="265"/>
      <c r="E52" s="265"/>
      <c r="F52" s="265"/>
      <c r="G52" s="267"/>
    </row>
    <row r="55" spans="1:7" ht="15">
      <c r="B55" s="269" t="s">
        <v>1562</v>
      </c>
      <c r="C55" s="270"/>
    </row>
    <row r="56" spans="1:7">
      <c r="B56" s="272" t="s">
        <v>802</v>
      </c>
      <c r="C56" s="274">
        <f ca="1">1-C57</f>
        <v>4.0000000000000036E-2</v>
      </c>
    </row>
    <row r="57" spans="1:7">
      <c r="B57" s="272" t="s">
        <v>803</v>
      </c>
      <c r="C57" s="273">
        <f ca="1">ROUND(C51/C52,3)</f>
        <v>0.96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0" zoomScaleNormal="70" zoomScaleSheetLayoutView="80" workbookViewId="0">
      <selection activeCell="N14" sqref="N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3338</v>
      </c>
      <c r="C1" s="1220" t="s">
        <v>1662</v>
      </c>
      <c r="D1" s="1221"/>
      <c r="E1" s="3428"/>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1769</v>
      </c>
      <c r="B4" s="355"/>
      <c r="C4" s="3652" t="s">
        <v>1770</v>
      </c>
      <c r="D4" s="3653"/>
      <c r="E4" s="3654" t="s">
        <v>1771</v>
      </c>
      <c r="F4" s="3655"/>
      <c r="G4" s="3652" t="s">
        <v>1772</v>
      </c>
      <c r="H4" s="3653"/>
      <c r="I4" s="3652" t="s">
        <v>1773</v>
      </c>
      <c r="J4" s="3653"/>
      <c r="K4" s="558" t="s">
        <v>1774</v>
      </c>
      <c r="L4" s="2711"/>
      <c r="M4" s="2712"/>
      <c r="N4" s="2712"/>
      <c r="O4" s="2712"/>
      <c r="P4" s="3656" t="s">
        <v>1775</v>
      </c>
      <c r="Q4" s="3657"/>
      <c r="R4" s="3662" t="s">
        <v>1771</v>
      </c>
      <c r="S4" s="3663"/>
      <c r="T4" s="3662" t="s">
        <v>1772</v>
      </c>
      <c r="U4" s="3663"/>
      <c r="V4" s="3676" t="s">
        <v>1773</v>
      </c>
      <c r="W4" s="3676"/>
      <c r="X4" s="1351"/>
      <c r="Y4" s="3662" t="s">
        <v>1775</v>
      </c>
      <c r="Z4" s="3663"/>
      <c r="AA4" s="3649" t="s">
        <v>1771</v>
      </c>
      <c r="AB4" s="3650" t="s">
        <v>1772</v>
      </c>
      <c r="AC4" s="3649" t="s">
        <v>1773</v>
      </c>
    </row>
    <row r="5" spans="1:29" ht="15">
      <c r="A5" s="357"/>
      <c r="B5" s="358"/>
      <c r="C5" s="3666" t="s">
        <v>1673</v>
      </c>
      <c r="D5" s="3667"/>
      <c r="E5" s="3668" t="s">
        <v>1674</v>
      </c>
      <c r="F5" s="3669"/>
      <c r="G5" s="3666" t="s">
        <v>1675</v>
      </c>
      <c r="H5" s="3667"/>
      <c r="I5" s="3666" t="s">
        <v>1676</v>
      </c>
      <c r="J5" s="3667"/>
      <c r="K5" s="558"/>
      <c r="L5" s="2711"/>
      <c r="M5" s="2712"/>
      <c r="N5" s="2712"/>
      <c r="O5" s="2712"/>
      <c r="P5" s="3658"/>
      <c r="Q5" s="3659"/>
      <c r="R5" s="3664"/>
      <c r="S5" s="3665"/>
      <c r="T5" s="3664"/>
      <c r="U5" s="3665"/>
      <c r="V5" s="3676"/>
      <c r="W5" s="3676"/>
      <c r="X5" s="1351"/>
      <c r="Y5" s="3664"/>
      <c r="Z5" s="3665"/>
      <c r="AA5" s="3650"/>
      <c r="AB5" s="3650"/>
      <c r="AC5" s="3650"/>
    </row>
    <row r="6" spans="1:29" ht="15.75" thickBot="1">
      <c r="A6" s="359"/>
      <c r="B6" s="360"/>
      <c r="C6" s="3670" t="s">
        <v>1677</v>
      </c>
      <c r="D6" s="3671"/>
      <c r="E6" s="3672" t="s">
        <v>1677</v>
      </c>
      <c r="F6" s="3673"/>
      <c r="G6" s="3670" t="s">
        <v>1677</v>
      </c>
      <c r="H6" s="3671"/>
      <c r="I6" s="3670" t="s">
        <v>1677</v>
      </c>
      <c r="J6" s="3671"/>
      <c r="K6" s="558" t="s">
        <v>1678</v>
      </c>
      <c r="L6" s="2711"/>
      <c r="M6" s="2712"/>
      <c r="N6" s="2712"/>
      <c r="O6" s="2712"/>
      <c r="P6" s="3660"/>
      <c r="Q6" s="3661"/>
      <c r="R6" s="3664"/>
      <c r="S6" s="3665"/>
      <c r="T6" s="3674"/>
      <c r="U6" s="3675"/>
      <c r="V6" s="3676"/>
      <c r="W6" s="3676"/>
      <c r="X6" s="1351"/>
      <c r="Y6" s="3674"/>
      <c r="Z6" s="3675"/>
      <c r="AA6" s="3651"/>
      <c r="AB6" s="3651"/>
      <c r="AC6" s="3651"/>
    </row>
    <row r="7" spans="1:29" s="107" customFormat="1" ht="15.75" thickBot="1">
      <c r="A7" s="361" t="s">
        <v>1679</v>
      </c>
      <c r="B7" s="362"/>
      <c r="C7" s="363">
        <f>'数据-取费表'!B2</f>
        <v>45159</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677" t="s">
        <v>1680</v>
      </c>
      <c r="Q7" s="3678"/>
      <c r="R7" s="699" t="s">
        <v>14</v>
      </c>
      <c r="S7" s="700">
        <f t="shared" ref="S7:S14" si="0">F7</f>
        <v>0</v>
      </c>
      <c r="T7" s="699" t="s">
        <v>14</v>
      </c>
      <c r="U7" s="700">
        <f t="shared" ref="U7:U14" si="1">H7</f>
        <v>0</v>
      </c>
      <c r="V7" s="699" t="s">
        <v>14</v>
      </c>
      <c r="W7" s="700">
        <f t="shared" ref="W7:W14" si="2">J7</f>
        <v>0</v>
      </c>
      <c r="X7" s="701"/>
      <c r="Y7" s="3677" t="s">
        <v>1680</v>
      </c>
      <c r="Z7" s="367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77" t="s">
        <v>1683</v>
      </c>
      <c r="Q8" s="3679"/>
      <c r="R8" s="699" t="s">
        <v>14</v>
      </c>
      <c r="S8" s="700">
        <f t="shared" si="0"/>
        <v>100</v>
      </c>
      <c r="T8" s="699" t="s">
        <v>14</v>
      </c>
      <c r="U8" s="700">
        <f t="shared" si="1"/>
        <v>100</v>
      </c>
      <c r="V8" s="699" t="s">
        <v>14</v>
      </c>
      <c r="W8" s="700">
        <f t="shared" si="2"/>
        <v>100</v>
      </c>
      <c r="X8" s="701"/>
      <c r="Y8" s="3677" t="s">
        <v>1683</v>
      </c>
      <c r="Z8" s="367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91" t="s">
        <v>1686</v>
      </c>
      <c r="Q9" s="1339" t="str">
        <f t="shared" ref="Q9:Q14" si="6">B9</f>
        <v>用途</v>
      </c>
      <c r="R9" s="699" t="s">
        <v>14</v>
      </c>
      <c r="S9" s="700">
        <f t="shared" si="0"/>
        <v>100</v>
      </c>
      <c r="T9" s="699" t="s">
        <v>14</v>
      </c>
      <c r="U9" s="700">
        <f t="shared" si="1"/>
        <v>100</v>
      </c>
      <c r="V9" s="699" t="s">
        <v>14</v>
      </c>
      <c r="W9" s="700">
        <f t="shared" si="2"/>
        <v>100</v>
      </c>
      <c r="X9" s="701"/>
      <c r="Y9" s="3681" t="s">
        <v>1687</v>
      </c>
      <c r="Z9" s="52" t="str">
        <f t="shared" ref="Z9:Z14" si="7">Q9</f>
        <v>用途</v>
      </c>
      <c r="AA9" s="702">
        <f t="shared" si="3"/>
        <v>1</v>
      </c>
      <c r="AB9" s="702">
        <f t="shared" si="4"/>
        <v>1</v>
      </c>
      <c r="AC9" s="702">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5"/>
      <c r="M10" s="2716"/>
      <c r="N10" s="2716"/>
      <c r="O10" s="2769"/>
      <c r="P10" s="3691"/>
      <c r="Q10" s="1339" t="str">
        <f t="shared" si="6"/>
        <v>土地使用年限（年）</v>
      </c>
      <c r="R10" s="699" t="s">
        <v>14</v>
      </c>
      <c r="S10" s="700">
        <f t="shared" si="0"/>
        <v>100</v>
      </c>
      <c r="T10" s="699" t="s">
        <v>14</v>
      </c>
      <c r="U10" s="700">
        <f t="shared" si="1"/>
        <v>100</v>
      </c>
      <c r="V10" s="699" t="s">
        <v>14</v>
      </c>
      <c r="W10" s="700">
        <f t="shared" si="2"/>
        <v>100</v>
      </c>
      <c r="X10" s="701"/>
      <c r="Y10" s="3681"/>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91"/>
      <c r="Q11" s="1339">
        <f t="shared" si="6"/>
        <v>111</v>
      </c>
      <c r="R11" s="699" t="s">
        <v>14</v>
      </c>
      <c r="S11" s="700">
        <f t="shared" si="0"/>
        <v>100</v>
      </c>
      <c r="T11" s="699" t="s">
        <v>14</v>
      </c>
      <c r="U11" s="700">
        <f t="shared" si="1"/>
        <v>100</v>
      </c>
      <c r="V11" s="699" t="s">
        <v>14</v>
      </c>
      <c r="W11" s="700">
        <f t="shared" si="2"/>
        <v>100</v>
      </c>
      <c r="X11" s="701"/>
      <c r="Y11" s="3681"/>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91"/>
      <c r="Q12" s="1339">
        <f t="shared" si="6"/>
        <v>111</v>
      </c>
      <c r="R12" s="699" t="s">
        <v>14</v>
      </c>
      <c r="S12" s="700">
        <f t="shared" si="0"/>
        <v>100</v>
      </c>
      <c r="T12" s="699" t="s">
        <v>14</v>
      </c>
      <c r="U12" s="700">
        <f t="shared" si="1"/>
        <v>100</v>
      </c>
      <c r="V12" s="699" t="s">
        <v>14</v>
      </c>
      <c r="W12" s="700">
        <f t="shared" si="2"/>
        <v>100</v>
      </c>
      <c r="X12" s="701"/>
      <c r="Y12" s="3681"/>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691"/>
      <c r="Q13" s="1339">
        <f t="shared" si="6"/>
        <v>111</v>
      </c>
      <c r="R13" s="699" t="s">
        <v>14</v>
      </c>
      <c r="S13" s="700">
        <f t="shared" si="0"/>
        <v>100</v>
      </c>
      <c r="T13" s="699" t="s">
        <v>14</v>
      </c>
      <c r="U13" s="700">
        <f t="shared" si="1"/>
        <v>100</v>
      </c>
      <c r="V13" s="699" t="s">
        <v>14</v>
      </c>
      <c r="W13" s="700">
        <f t="shared" si="2"/>
        <v>100</v>
      </c>
      <c r="X13" s="701"/>
      <c r="Y13" s="3681"/>
      <c r="Z13" s="52">
        <f t="shared" si="7"/>
        <v>111</v>
      </c>
      <c r="AA13" s="702">
        <f t="shared" si="3"/>
        <v>1</v>
      </c>
      <c r="AB13" s="702">
        <f t="shared" si="4"/>
        <v>1</v>
      </c>
      <c r="AC13" s="702">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84" t="s">
        <v>1691</v>
      </c>
      <c r="Q14" s="1348" t="str">
        <f t="shared" si="6"/>
        <v>交通便捷度</v>
      </c>
      <c r="R14" s="703" t="s">
        <v>14</v>
      </c>
      <c r="S14" s="704">
        <f t="shared" si="0"/>
        <v>100</v>
      </c>
      <c r="T14" s="703" t="s">
        <v>14</v>
      </c>
      <c r="U14" s="704">
        <f t="shared" si="1"/>
        <v>100</v>
      </c>
      <c r="V14" s="703" t="s">
        <v>14</v>
      </c>
      <c r="W14" s="704">
        <f t="shared" si="2"/>
        <v>100</v>
      </c>
      <c r="X14" s="1351"/>
      <c r="Y14" s="3684"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685"/>
      <c r="Q15" s="1348"/>
      <c r="R15" s="703"/>
      <c r="S15" s="704"/>
      <c r="T15" s="703"/>
      <c r="U15" s="704"/>
      <c r="V15" s="703"/>
      <c r="W15" s="704"/>
      <c r="X15" s="1351"/>
      <c r="Y15" s="3685"/>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85"/>
      <c r="Q16" s="1348" t="str">
        <f>B16</f>
        <v>公共配套设施</v>
      </c>
      <c r="R16" s="703" t="s">
        <v>14</v>
      </c>
      <c r="S16" s="704">
        <f>F16</f>
        <v>100</v>
      </c>
      <c r="T16" s="703" t="s">
        <v>14</v>
      </c>
      <c r="U16" s="704">
        <f>H16</f>
        <v>100</v>
      </c>
      <c r="V16" s="703" t="s">
        <v>14</v>
      </c>
      <c r="W16" s="704">
        <f>J16</f>
        <v>100</v>
      </c>
      <c r="X16" s="1351"/>
      <c r="Y16" s="3685"/>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685"/>
      <c r="Q17" s="1348"/>
      <c r="R17" s="703"/>
      <c r="S17" s="704"/>
      <c r="T17" s="703"/>
      <c r="U17" s="704"/>
      <c r="V17" s="703"/>
      <c r="W17" s="704"/>
      <c r="X17" s="1351"/>
      <c r="Y17" s="3685"/>
      <c r="Z17" s="1352"/>
      <c r="AA17" s="1349">
        <v>1</v>
      </c>
      <c r="AB17" s="1349">
        <v>1</v>
      </c>
      <c r="AC17" s="1349">
        <v>1</v>
      </c>
    </row>
    <row r="18" spans="1:29" ht="28.5">
      <c r="A18" s="378"/>
      <c r="B18" s="1127"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85"/>
      <c r="Q18" s="1348" t="str">
        <f>B18</f>
        <v>基础设施水平</v>
      </c>
      <c r="R18" s="703" t="s">
        <v>14</v>
      </c>
      <c r="S18" s="704">
        <f>F18</f>
        <v>100</v>
      </c>
      <c r="T18" s="703" t="s">
        <v>14</v>
      </c>
      <c r="U18" s="704">
        <f>H18</f>
        <v>100</v>
      </c>
      <c r="V18" s="703" t="s">
        <v>14</v>
      </c>
      <c r="W18" s="704">
        <f>J18</f>
        <v>100</v>
      </c>
      <c r="X18" s="1351"/>
      <c r="Y18" s="3685"/>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685"/>
      <c r="Q19" s="1348"/>
      <c r="R19" s="703"/>
      <c r="S19" s="704"/>
      <c r="T19" s="703"/>
      <c r="U19" s="704"/>
      <c r="V19" s="703"/>
      <c r="W19" s="704"/>
      <c r="X19" s="1351"/>
      <c r="Y19" s="3685"/>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85"/>
      <c r="Q20" s="1348" t="str">
        <f>B20</f>
        <v>自然及人文环境</v>
      </c>
      <c r="R20" s="703" t="s">
        <v>14</v>
      </c>
      <c r="S20" s="704">
        <f>F20</f>
        <v>100</v>
      </c>
      <c r="T20" s="703" t="s">
        <v>14</v>
      </c>
      <c r="U20" s="704">
        <f>H20</f>
        <v>100</v>
      </c>
      <c r="V20" s="703" t="s">
        <v>14</v>
      </c>
      <c r="W20" s="704">
        <f>J20</f>
        <v>100</v>
      </c>
      <c r="X20" s="1351"/>
      <c r="Y20" s="3685"/>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685"/>
      <c r="Q21" s="1348"/>
      <c r="R21" s="703"/>
      <c r="S21" s="704"/>
      <c r="T21" s="703"/>
      <c r="U21" s="704"/>
      <c r="V21" s="703"/>
      <c r="W21" s="704"/>
      <c r="X21" s="1351"/>
      <c r="Y21" s="3685"/>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85"/>
      <c r="Q22" s="1348" t="str">
        <f>B22</f>
        <v>楼层</v>
      </c>
      <c r="R22" s="703" t="s">
        <v>14</v>
      </c>
      <c r="S22" s="704">
        <f>F22</f>
        <v>100</v>
      </c>
      <c r="T22" s="703" t="s">
        <v>14</v>
      </c>
      <c r="U22" s="704">
        <f>H22</f>
        <v>100</v>
      </c>
      <c r="V22" s="703" t="s">
        <v>14</v>
      </c>
      <c r="W22" s="704">
        <f>J22</f>
        <v>100</v>
      </c>
      <c r="X22" s="1351"/>
      <c r="Y22" s="3685"/>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85"/>
      <c r="Q23" s="1348">
        <f>B23</f>
        <v>111</v>
      </c>
      <c r="R23" s="703" t="s">
        <v>14</v>
      </c>
      <c r="S23" s="704">
        <f>F23</f>
        <v>100</v>
      </c>
      <c r="T23" s="703" t="s">
        <v>14</v>
      </c>
      <c r="U23" s="704">
        <f>H23</f>
        <v>100</v>
      </c>
      <c r="V23" s="703" t="s">
        <v>14</v>
      </c>
      <c r="W23" s="704">
        <f>J23</f>
        <v>100</v>
      </c>
      <c r="X23" s="1351"/>
      <c r="Y23" s="3685"/>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85"/>
      <c r="Q24" s="1348">
        <f t="shared" ref="Q24:Q34" si="11">B24</f>
        <v>111</v>
      </c>
      <c r="R24" s="703" t="s">
        <v>14</v>
      </c>
      <c r="S24" s="704">
        <f>F24</f>
        <v>100</v>
      </c>
      <c r="T24" s="703" t="s">
        <v>14</v>
      </c>
      <c r="U24" s="704">
        <f>H24</f>
        <v>100</v>
      </c>
      <c r="V24" s="703" t="s">
        <v>14</v>
      </c>
      <c r="W24" s="704">
        <f>J24</f>
        <v>100</v>
      </c>
      <c r="X24" s="1351"/>
      <c r="Y24" s="3685"/>
      <c r="Z24" s="1352">
        <f>Q24</f>
        <v>111</v>
      </c>
      <c r="AA24" s="1349">
        <f t="shared" si="3"/>
        <v>1</v>
      </c>
      <c r="AB24" s="1349">
        <f t="shared" si="4"/>
        <v>1</v>
      </c>
      <c r="AC24" s="1349">
        <f t="shared" si="5"/>
        <v>1</v>
      </c>
    </row>
    <row r="25" spans="1:29" s="107"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685"/>
      <c r="Q25" s="1339">
        <f t="shared" si="11"/>
        <v>111</v>
      </c>
      <c r="R25" s="699" t="s">
        <v>14</v>
      </c>
      <c r="S25" s="700">
        <f>F25</f>
        <v>100</v>
      </c>
      <c r="T25" s="699" t="s">
        <v>14</v>
      </c>
      <c r="U25" s="700">
        <f>H25</f>
        <v>100</v>
      </c>
      <c r="V25" s="699" t="s">
        <v>14</v>
      </c>
      <c r="W25" s="700">
        <f>J25</f>
        <v>100</v>
      </c>
      <c r="X25" s="701"/>
      <c r="Y25" s="3685"/>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29"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89"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89"/>
      <c r="Q27" s="705" t="str">
        <f t="shared" si="11"/>
        <v>成新率</v>
      </c>
      <c r="R27" s="706" t="s">
        <v>14</v>
      </c>
      <c r="S27" s="707" t="e">
        <f t="shared" si="12"/>
        <v>#N/A</v>
      </c>
      <c r="T27" s="706" t="s">
        <v>14</v>
      </c>
      <c r="U27" s="707" t="e">
        <f t="shared" si="13"/>
        <v>#N/A</v>
      </c>
      <c r="V27" s="706" t="s">
        <v>14</v>
      </c>
      <c r="W27" s="707" t="e">
        <f t="shared" si="14"/>
        <v>#N/A</v>
      </c>
      <c r="X27" s="708"/>
      <c r="Y27" s="3689"/>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89"/>
      <c r="Q28" s="1348" t="str">
        <f t="shared" si="11"/>
        <v>物业等级</v>
      </c>
      <c r="R28" s="703" t="s">
        <v>14</v>
      </c>
      <c r="S28" s="704">
        <f t="shared" si="12"/>
        <v>100</v>
      </c>
      <c r="T28" s="703" t="s">
        <v>14</v>
      </c>
      <c r="U28" s="704">
        <f t="shared" si="13"/>
        <v>100</v>
      </c>
      <c r="V28" s="703" t="s">
        <v>14</v>
      </c>
      <c r="W28" s="704">
        <f t="shared" si="14"/>
        <v>100</v>
      </c>
      <c r="X28" s="1351"/>
      <c r="Y28" s="3689"/>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89"/>
      <c r="Q29" s="1348" t="str">
        <f t="shared" si="11"/>
        <v>有无电梯</v>
      </c>
      <c r="R29" s="703" t="s">
        <v>14</v>
      </c>
      <c r="S29" s="704">
        <f t="shared" si="12"/>
        <v>100</v>
      </c>
      <c r="T29" s="703" t="s">
        <v>14</v>
      </c>
      <c r="U29" s="704">
        <f t="shared" si="13"/>
        <v>100</v>
      </c>
      <c r="V29" s="703" t="s">
        <v>14</v>
      </c>
      <c r="W29" s="704">
        <f t="shared" si="14"/>
        <v>100</v>
      </c>
      <c r="X29" s="1351"/>
      <c r="Y29" s="3689"/>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89"/>
      <c r="Q30" s="1348" t="str">
        <f t="shared" si="11"/>
        <v>建筑面积</v>
      </c>
      <c r="R30" s="703" t="s">
        <v>14</v>
      </c>
      <c r="S30" s="704" t="e">
        <f t="shared" si="12"/>
        <v>#N/A</v>
      </c>
      <c r="T30" s="703" t="s">
        <v>14</v>
      </c>
      <c r="U30" s="704" t="e">
        <f t="shared" si="13"/>
        <v>#N/A</v>
      </c>
      <c r="V30" s="703" t="s">
        <v>14</v>
      </c>
      <c r="W30" s="704" t="e">
        <f t="shared" si="14"/>
        <v>#N/A</v>
      </c>
      <c r="X30" s="1351"/>
      <c r="Y30" s="3689"/>
      <c r="Z30" s="1352" t="str">
        <f t="shared" si="15"/>
        <v>建筑面积</v>
      </c>
      <c r="AA30" s="1349" t="e">
        <f t="shared" si="3"/>
        <v>#N/A</v>
      </c>
      <c r="AB30" s="1349" t="e">
        <f t="shared" si="4"/>
        <v>#N/A</v>
      </c>
      <c r="AC30" s="1349"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89"/>
      <c r="Q31" s="1339" t="str">
        <f t="shared" si="11"/>
        <v>是否封闭</v>
      </c>
      <c r="R31" s="699" t="s">
        <v>14</v>
      </c>
      <c r="S31" s="700">
        <f t="shared" si="12"/>
        <v>100</v>
      </c>
      <c r="T31" s="699" t="s">
        <v>14</v>
      </c>
      <c r="U31" s="700">
        <f t="shared" si="13"/>
        <v>100</v>
      </c>
      <c r="V31" s="699" t="s">
        <v>14</v>
      </c>
      <c r="W31" s="700">
        <f t="shared" si="14"/>
        <v>100</v>
      </c>
      <c r="X31" s="701"/>
      <c r="Y31" s="3689"/>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89" t="s">
        <v>1696</v>
      </c>
      <c r="Q32" s="1348">
        <f t="shared" si="11"/>
        <v>111</v>
      </c>
      <c r="R32" s="703" t="s">
        <v>14</v>
      </c>
      <c r="S32" s="704">
        <f t="shared" si="12"/>
        <v>100</v>
      </c>
      <c r="T32" s="703" t="s">
        <v>14</v>
      </c>
      <c r="U32" s="704">
        <f t="shared" si="13"/>
        <v>100</v>
      </c>
      <c r="V32" s="703" t="s">
        <v>14</v>
      </c>
      <c r="W32" s="704">
        <f t="shared" si="14"/>
        <v>100</v>
      </c>
      <c r="X32" s="1351"/>
      <c r="Y32" s="3689"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89"/>
      <c r="Q33" s="1348">
        <f t="shared" si="11"/>
        <v>111</v>
      </c>
      <c r="R33" s="703" t="s">
        <v>14</v>
      </c>
      <c r="S33" s="704">
        <f t="shared" si="12"/>
        <v>100</v>
      </c>
      <c r="T33" s="703" t="s">
        <v>14</v>
      </c>
      <c r="U33" s="704">
        <f t="shared" si="13"/>
        <v>100</v>
      </c>
      <c r="V33" s="703" t="s">
        <v>14</v>
      </c>
      <c r="W33" s="704">
        <f t="shared" si="14"/>
        <v>100</v>
      </c>
      <c r="X33" s="1351"/>
      <c r="Y33" s="3689"/>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689"/>
      <c r="Q34" s="1348">
        <f t="shared" si="11"/>
        <v>111</v>
      </c>
      <c r="R34" s="703" t="s">
        <v>14</v>
      </c>
      <c r="S34" s="704">
        <f t="shared" si="12"/>
        <v>100</v>
      </c>
      <c r="T34" s="703" t="s">
        <v>14</v>
      </c>
      <c r="U34" s="704">
        <f t="shared" si="13"/>
        <v>100</v>
      </c>
      <c r="V34" s="703" t="s">
        <v>14</v>
      </c>
      <c r="W34" s="704">
        <f t="shared" si="14"/>
        <v>100</v>
      </c>
      <c r="X34" s="1351"/>
      <c r="Y34" s="3689"/>
      <c r="Z34" s="1352">
        <f t="shared" si="15"/>
        <v>111</v>
      </c>
      <c r="AA34" s="1349">
        <f t="shared" si="3"/>
        <v>1</v>
      </c>
      <c r="AB34" s="1349">
        <f t="shared" si="4"/>
        <v>1</v>
      </c>
      <c r="AC34" s="1349">
        <f t="shared" si="5"/>
        <v>1</v>
      </c>
    </row>
    <row r="35" spans="1:30" ht="15">
      <c r="A35" s="429" t="s">
        <v>1708</v>
      </c>
      <c r="B35" s="430"/>
      <c r="C35" s="1150" t="s">
        <v>0</v>
      </c>
      <c r="D35" s="1151"/>
      <c r="E35" s="1152"/>
      <c r="F35" s="1153"/>
      <c r="G35" s="1154"/>
      <c r="H35" s="1155"/>
      <c r="I35" s="1152"/>
      <c r="J35" s="1155"/>
      <c r="K35" s="712"/>
      <c r="L35" s="2720"/>
      <c r="M35" s="2721"/>
      <c r="N35" s="2712"/>
      <c r="O35" s="2721"/>
      <c r="P35" s="3691" t="str">
        <f>A35</f>
        <v>成交单价（元/平方米）</v>
      </c>
      <c r="Q35" s="3691"/>
      <c r="R35" s="3692">
        <f>E35</f>
        <v>0</v>
      </c>
      <c r="S35" s="3692"/>
      <c r="T35" s="3692">
        <f>G35</f>
        <v>0</v>
      </c>
      <c r="U35" s="3692"/>
      <c r="V35" s="3692">
        <f>I35</f>
        <v>0</v>
      </c>
      <c r="W35" s="3692"/>
      <c r="X35" s="688"/>
      <c r="Y35" s="710"/>
      <c r="Z35" s="688"/>
      <c r="AA35" s="688"/>
      <c r="AB35" s="688"/>
      <c r="AC35" s="688"/>
    </row>
    <row r="36" spans="1:30" ht="15.75" thickBot="1">
      <c r="A36" s="436" t="s">
        <v>1793</v>
      </c>
      <c r="B36" s="437"/>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8"/>
      <c r="Y36" s="688"/>
      <c r="Z36" s="688"/>
      <c r="AA36" s="688"/>
      <c r="AB36" s="688"/>
      <c r="AC36" s="688"/>
    </row>
    <row r="37" spans="1:30" ht="15.75" thickBot="1">
      <c r="A37" s="440" t="s">
        <v>1794</v>
      </c>
      <c r="B37" s="441"/>
      <c r="C37" s="1159" t="e">
        <f>R37</f>
        <v>#DIV/0!</v>
      </c>
      <c r="D37" s="1159"/>
      <c r="E37" s="1159"/>
      <c r="F37" s="1159"/>
      <c r="G37" s="1159"/>
      <c r="H37" s="1159"/>
      <c r="I37" s="1159"/>
      <c r="J37" s="1159"/>
      <c r="K37" s="713"/>
      <c r="L37" s="2720"/>
      <c r="M37" s="2721"/>
      <c r="N37" s="2721"/>
      <c r="O37" s="2721"/>
      <c r="P37" s="3693" t="str">
        <f>A37</f>
        <v>估价对象XX用房的比较价值（楼面单价，元/平方米）</v>
      </c>
      <c r="Q37" s="3694"/>
      <c r="R37" s="3830" t="e">
        <f>IF(F1="售价",ROUND(IF(D36="简单平均",AVERAGE(R36:W36),R36*F36+T36*H36+V36*J36),0),ROUND(IF(D36="简单平均",AVERAGE(R36:V36),R36*F36+T36*H36+V36*J36),1))</f>
        <v>#DIV/0!</v>
      </c>
      <c r="S37" s="3830"/>
      <c r="T37" s="3830"/>
      <c r="U37" s="3830"/>
      <c r="V37" s="3830"/>
      <c r="W37" s="3830"/>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0" t="str">
        <f>YEAR(C7)&amp;"-"&amp;MONTH(C7)</f>
        <v>2023-8</v>
      </c>
      <c r="D46" s="1181">
        <f>EDATE(C46,-1)</f>
        <v>45108</v>
      </c>
      <c r="E46" s="1181">
        <f t="shared" ref="E46:O46" si="16">EDATE(D46,-1)</f>
        <v>45078</v>
      </c>
      <c r="F46" s="1181">
        <f t="shared" si="16"/>
        <v>45047</v>
      </c>
      <c r="G46" s="1181">
        <f t="shared" si="16"/>
        <v>45017</v>
      </c>
      <c r="H46" s="1181">
        <f t="shared" si="16"/>
        <v>44986</v>
      </c>
      <c r="I46" s="1181">
        <f t="shared" si="16"/>
        <v>44958</v>
      </c>
      <c r="J46" s="1181">
        <f t="shared" si="16"/>
        <v>44927</v>
      </c>
      <c r="K46" s="1181">
        <f t="shared" si="16"/>
        <v>44896</v>
      </c>
      <c r="L46" s="1181">
        <f t="shared" si="16"/>
        <v>44866</v>
      </c>
      <c r="M46" s="1181">
        <f t="shared" si="16"/>
        <v>44835</v>
      </c>
      <c r="N46" s="1181">
        <f t="shared" si="16"/>
        <v>44805</v>
      </c>
      <c r="O46" s="1181">
        <f t="shared" si="16"/>
        <v>44774</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20" sqref="G2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3395</v>
      </c>
      <c r="D1" s="1358" t="s">
        <v>43</v>
      </c>
      <c r="E1" s="1359" t="s">
        <v>678</v>
      </c>
      <c r="F1" s="1058">
        <f ca="1">J53</f>
        <v>59</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793</v>
      </c>
      <c r="D5" s="1360" t="s">
        <v>693</v>
      </c>
      <c r="E5" s="1067"/>
      <c r="F5" s="1068"/>
      <c r="G5" s="1380"/>
      <c r="H5" s="298">
        <v>1</v>
      </c>
      <c r="I5" s="299" t="s">
        <v>692</v>
      </c>
      <c r="J5" s="1066">
        <f ca="1">J6+J10+J12</f>
        <v>0</v>
      </c>
      <c r="K5" s="1360" t="s">
        <v>693</v>
      </c>
      <c r="L5" s="1067"/>
      <c r="M5" s="1068"/>
    </row>
    <row r="6" spans="1:37" ht="18" customHeight="1">
      <c r="A6" s="1065" t="s">
        <v>398</v>
      </c>
      <c r="B6" s="3831" t="s">
        <v>694</v>
      </c>
      <c r="C6" s="1070">
        <f ca="1">ROUND(F6*F8*F7*(1-F9)/10000,0)</f>
        <v>792</v>
      </c>
      <c r="D6" s="154" t="s">
        <v>2109</v>
      </c>
      <c r="E6" s="301" t="s">
        <v>696</v>
      </c>
      <c r="F6" s="302">
        <f ca="1">INDIRECT("'数据-取费表'!u"&amp;$G$1)</f>
        <v>44</v>
      </c>
      <c r="G6" s="1380"/>
      <c r="H6" s="1065" t="s">
        <v>398</v>
      </c>
      <c r="I6" s="3831" t="s">
        <v>694</v>
      </c>
      <c r="J6" s="300">
        <f ca="1">ROUND(M6*M8*M7*(1-M9)/10000,0)</f>
        <v>0</v>
      </c>
      <c r="K6" s="154" t="s">
        <v>2108</v>
      </c>
      <c r="L6" s="301" t="s">
        <v>696</v>
      </c>
      <c r="M6" s="302">
        <f ca="1">INDIRECT("'数据-取费表'!z"&amp;$G$1)</f>
        <v>0</v>
      </c>
    </row>
    <row r="7" spans="1:37" ht="18" customHeight="1">
      <c r="A7" s="1069"/>
      <c r="B7" s="3832"/>
      <c r="C7" s="1071"/>
      <c r="D7" s="306"/>
      <c r="E7" s="1072" t="s">
        <v>697</v>
      </c>
      <c r="F7" s="302">
        <f ca="1">IF(INDIRECT("'数据-取费表'!ah"&amp;$G$1)="",INDIRECT("'数据-取费表'!k"&amp;$G$1),INDIRECT("'数据-取费表'!ah"&amp;$G$1))</f>
        <v>16667</v>
      </c>
      <c r="G7" s="1380"/>
      <c r="H7" s="303"/>
      <c r="I7" s="3832"/>
      <c r="J7" s="305"/>
      <c r="K7" s="306"/>
      <c r="L7" s="301" t="s">
        <v>697</v>
      </c>
      <c r="M7" s="302">
        <f ca="1">F7</f>
        <v>16667</v>
      </c>
    </row>
    <row r="8" spans="1:37" ht="18" customHeight="1">
      <c r="A8" s="303"/>
      <c r="B8" s="3832"/>
      <c r="C8" s="305"/>
      <c r="D8" s="306"/>
      <c r="E8" s="301" t="s">
        <v>698</v>
      </c>
      <c r="F8" s="302">
        <f ca="1">INDIRECT("'数据-取费表'!ai"&amp;$G$1)</f>
        <v>12</v>
      </c>
      <c r="G8" s="1380"/>
      <c r="H8" s="303"/>
      <c r="I8" s="3832"/>
      <c r="J8" s="305"/>
      <c r="K8" s="306"/>
      <c r="L8" s="301" t="s">
        <v>698</v>
      </c>
      <c r="M8" s="302">
        <f ca="1">INDIRECT("'数据-取费表'!ai"&amp;$G$1)</f>
        <v>12</v>
      </c>
    </row>
    <row r="9" spans="1:37" ht="18" customHeight="1">
      <c r="A9" s="303"/>
      <c r="B9" s="3833"/>
      <c r="C9" s="305"/>
      <c r="D9" s="306"/>
      <c r="E9" s="301" t="s">
        <v>699</v>
      </c>
      <c r="F9" s="311">
        <f ca="1">INDIRECT("'数据-取费表'!w"&amp;$G$1)</f>
        <v>0.1</v>
      </c>
      <c r="G9" s="1380"/>
      <c r="H9" s="303"/>
      <c r="I9" s="3833"/>
      <c r="J9" s="305"/>
      <c r="K9" s="306"/>
      <c r="L9" s="312" t="s">
        <v>699</v>
      </c>
      <c r="M9" s="313">
        <f ca="1">INDIRECT("'数据-取费表'!ab"&amp;$G$1)</f>
        <v>0</v>
      </c>
    </row>
    <row r="10" spans="1:37" ht="18" customHeight="1">
      <c r="A10" s="1065" t="s">
        <v>402</v>
      </c>
      <c r="B10" s="1361" t="s">
        <v>700</v>
      </c>
      <c r="C10" s="315">
        <f ca="1">ROUND(IF(F10="押一",C6/12*F11,IF(F10="押二",C6/12*2*F11,IF(F10="押三",C6/12*3*F11,C11*F11))),0)</f>
        <v>1</v>
      </c>
      <c r="D10" s="1362" t="s">
        <v>2117</v>
      </c>
      <c r="E10" s="312" t="s">
        <v>701</v>
      </c>
      <c r="F10" s="1112" t="s">
        <v>8713</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14658</v>
      </c>
      <c r="D13" s="1077" t="s">
        <v>705</v>
      </c>
      <c r="E13" s="1077" t="s">
        <v>706</v>
      </c>
      <c r="F13" s="1078">
        <f ca="1">INDIRECT("'数据-取费表'!y"&amp;$G$1)</f>
        <v>0.98</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8334</v>
      </c>
      <c r="D14" s="1341" t="s">
        <v>708</v>
      </c>
      <c r="E14" s="1338"/>
      <c r="F14" s="318"/>
      <c r="G14" s="1380"/>
      <c r="H14" s="978" t="s">
        <v>398</v>
      </c>
      <c r="I14" s="301" t="s">
        <v>709</v>
      </c>
      <c r="J14" s="21">
        <f ca="1">C29</f>
        <v>14957</v>
      </c>
      <c r="K14" s="12"/>
      <c r="L14" s="803"/>
      <c r="M14" s="804"/>
    </row>
    <row r="15" spans="1:37" s="1393" customFormat="1" ht="18" customHeight="1" thickBot="1">
      <c r="A15" s="978" t="s">
        <v>399</v>
      </c>
      <c r="B15" s="301" t="s">
        <v>710</v>
      </c>
      <c r="C15" s="21">
        <f ca="1">ROUND(C14*F15,0)</f>
        <v>667</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833</v>
      </c>
      <c r="D16" s="301" t="s">
        <v>711</v>
      </c>
      <c r="E16" s="301" t="s">
        <v>712</v>
      </c>
      <c r="F16" s="321">
        <f ca="1">IF(INDIRECT("'数据-取费表'!c"&amp;$G$1)="住宅",'数据-取费表'!B34,0)</f>
        <v>0.1</v>
      </c>
      <c r="G16" s="1380"/>
      <c r="H16" s="1075" t="s">
        <v>393</v>
      </c>
      <c r="I16" s="1076" t="s">
        <v>714</v>
      </c>
      <c r="J16" s="309">
        <f ca="1">ROUND(J17+J22+J23+J24,0)</f>
        <v>301</v>
      </c>
      <c r="K16" s="1083" t="s">
        <v>715</v>
      </c>
      <c r="L16" s="1084"/>
      <c r="M16" s="1068"/>
    </row>
    <row r="17" spans="1:37" s="1393" customFormat="1" ht="18" customHeight="1">
      <c r="A17" s="978" t="s">
        <v>681</v>
      </c>
      <c r="B17" s="301" t="s">
        <v>716</v>
      </c>
      <c r="C17" s="21">
        <f ca="1">ROUND(F17*(F43+INDIRECT("'数据-取费表'!S"&amp;$G$1))/10000,0)</f>
        <v>333</v>
      </c>
      <c r="D17" s="301" t="s">
        <v>717</v>
      </c>
      <c r="E17" s="301" t="s">
        <v>718</v>
      </c>
      <c r="F17" s="23">
        <f>'数据-取费表'!B35</f>
        <v>200</v>
      </c>
      <c r="G17" s="1392"/>
      <c r="H17" s="978" t="s">
        <v>398</v>
      </c>
      <c r="I17" s="301" t="s">
        <v>719</v>
      </c>
      <c r="J17" s="2312">
        <f ca="1">ROUND(IF(AND(项目基本情况!B11="自然人",项目基本情况!B10="北京市"),J6*M17/(1+'数据-取费表'!C42),J18+J19+J20),2)</f>
        <v>1.56</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125</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10292</v>
      </c>
      <c r="D19" s="130" t="s">
        <v>726</v>
      </c>
      <c r="E19" s="1356"/>
      <c r="F19" s="23"/>
      <c r="G19" s="1380"/>
      <c r="H19" s="978" t="s">
        <v>399</v>
      </c>
      <c r="I19" s="301" t="s">
        <v>727</v>
      </c>
      <c r="J19" s="21">
        <f ca="1">IF(K19="按租金收入计税",ROUND(J6*M19/(1+'数据-取费表'!C42),2),ROUND(C29*M19*0.7,2))</f>
        <v>0</v>
      </c>
      <c r="K19" s="1366" t="s">
        <v>3340</v>
      </c>
      <c r="L19" s="301" t="s">
        <v>712</v>
      </c>
      <c r="M19" s="321">
        <f>IF(K19="按租金收入计税",'数据-取费表'!B51,'数据-取费表'!B50)</f>
        <v>0.12</v>
      </c>
    </row>
    <row r="20" spans="1:37" s="1393" customFormat="1" ht="18" customHeight="1">
      <c r="A20" s="978" t="s">
        <v>402</v>
      </c>
      <c r="B20" s="301" t="s">
        <v>728</v>
      </c>
      <c r="C20" s="21">
        <f ca="1">ROUND(C19*F20,0)</f>
        <v>257</v>
      </c>
      <c r="D20" s="322" t="s">
        <v>729</v>
      </c>
      <c r="E20" s="301" t="s">
        <v>712</v>
      </c>
      <c r="F20" s="321">
        <f>'数据-取费表'!B37</f>
        <v>2.5000000000000001E-2</v>
      </c>
      <c r="G20" s="1392"/>
      <c r="H20" s="978" t="s">
        <v>680</v>
      </c>
      <c r="I20" s="154" t="s">
        <v>730</v>
      </c>
      <c r="J20" s="22">
        <f ca="1">ROUND(M20*M21/10000,2)</f>
        <v>1.56</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2.5000000000000001E-2</v>
      </c>
      <c r="G21" s="1392"/>
      <c r="H21" s="325"/>
      <c r="I21" s="310"/>
      <c r="J21" s="26"/>
      <c r="K21" s="326"/>
      <c r="L21" s="301" t="s">
        <v>736</v>
      </c>
      <c r="M21" s="302">
        <f ca="1">INDIRECT("'数据-取费表'!r"&amp;$G$1)</f>
        <v>10416.879999999999</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ROUND(J14*M22,2)</f>
        <v>299.14</v>
      </c>
      <c r="K22" s="1340" t="s">
        <v>739</v>
      </c>
      <c r="L22" s="301" t="s">
        <v>712</v>
      </c>
      <c r="M22" s="327">
        <f ca="1">INDIRECT("'数据-取费表'!Ak"&amp;$G$1)</f>
        <v>0.02</v>
      </c>
    </row>
    <row r="23" spans="1:37" s="1393" customFormat="1" ht="18" customHeight="1">
      <c r="A23" s="978" t="s">
        <v>397</v>
      </c>
      <c r="B23" s="301" t="s">
        <v>740</v>
      </c>
      <c r="C23" s="21">
        <f ca="1">IF('数据-取费表'!B22&lt;=1,ROUND(C19*F24*F23/2,0)+ROUND(C20*F24*F23/2,0),ROUND(C19*(POWER((1+F24),F23/2)-1),0)+ROUND(C20*(POWER((1+F24),F23/2)-1),0))</f>
        <v>501</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1340" t="s">
        <v>743</v>
      </c>
      <c r="L23" s="301" t="s">
        <v>744</v>
      </c>
      <c r="M23" s="329">
        <f ca="1">INDIRECT("'数据-取费表'!Al"&amp;$G$1)</f>
        <v>2E-3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4.7500000000000001E-2</v>
      </c>
      <c r="G24" s="1392"/>
      <c r="H24" s="1085" t="s">
        <v>684</v>
      </c>
      <c r="I24" s="1086" t="s">
        <v>728</v>
      </c>
      <c r="J24" s="1087">
        <f ca="1">ROUND(J5*M24,2)</f>
        <v>0</v>
      </c>
      <c r="K24" s="1088" t="s">
        <v>748</v>
      </c>
      <c r="L24" s="1086" t="s">
        <v>744</v>
      </c>
      <c r="M24" s="1082">
        <f ca="1">INDIRECT("'数据-取费表'!Am"&amp;$G$1)</f>
        <v>0.02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1356"/>
      <c r="F25" s="23"/>
      <c r="G25" s="1380"/>
      <c r="H25" s="1075" t="s">
        <v>394</v>
      </c>
      <c r="I25" s="1090" t="s">
        <v>752</v>
      </c>
      <c r="J25" s="309">
        <f ca="1">J5-J16</f>
        <v>-301</v>
      </c>
      <c r="K25" s="1091" t="s">
        <v>753</v>
      </c>
      <c r="L25" s="1092"/>
      <c r="M25" s="1093"/>
    </row>
    <row r="26" spans="1:37">
      <c r="A26" s="978" t="s">
        <v>397</v>
      </c>
      <c r="B26" s="301" t="s">
        <v>754</v>
      </c>
      <c r="C26" s="21">
        <f ca="1">ROUND((C19+C20)*F26,0)</f>
        <v>2637</v>
      </c>
      <c r="D26" s="322" t="s">
        <v>755</v>
      </c>
      <c r="E26" s="312" t="s">
        <v>756</v>
      </c>
      <c r="F26" s="311">
        <f ca="1">INDIRECT("'数据-取费表'!q"&amp;$G$1)</f>
        <v>0.25</v>
      </c>
      <c r="G26" s="1380"/>
      <c r="H26" s="298" t="s">
        <v>395</v>
      </c>
      <c r="I26" s="299" t="s">
        <v>757</v>
      </c>
      <c r="J26" s="300">
        <f ca="1">IF(J5&lt;&gt;0,ROUND(J25*(1-((1+M28)/(1+M26))^M27)/(M26-M28),0),0)</f>
        <v>0</v>
      </c>
      <c r="K26" s="323" t="s">
        <v>758</v>
      </c>
      <c r="L26" s="301" t="s">
        <v>759</v>
      </c>
      <c r="M26" s="311">
        <f ca="1">INDIRECT("'数据-取费表'!I"&amp;$G$1)</f>
        <v>4.4999999999999998E-2</v>
      </c>
    </row>
    <row r="27" spans="1:37" ht="18" customHeight="1">
      <c r="A27" s="978" t="s">
        <v>399</v>
      </c>
      <c r="B27" s="301" t="s">
        <v>760</v>
      </c>
      <c r="C27" s="21">
        <f ca="1">ROUND(F21*F26,4)</f>
        <v>6.3E-3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14957</v>
      </c>
      <c r="D29" s="1088"/>
      <c r="E29" s="1086"/>
      <c r="F29" s="1089"/>
      <c r="G29" s="1392"/>
      <c r="H29" s="333" t="s">
        <v>396</v>
      </c>
      <c r="I29" s="334" t="s">
        <v>768</v>
      </c>
      <c r="J29" s="335">
        <f ca="1">ROUND(J26/(1+F40)^F41,0)</f>
        <v>0</v>
      </c>
      <c r="K29" s="336" t="s">
        <v>769</v>
      </c>
      <c r="L29" s="337"/>
      <c r="M29" s="338">
        <f ca="1">INDIRECT("'数据-取费表'!k"&amp;$G$1)</f>
        <v>16667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478</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133.56</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41.49</v>
      </c>
      <c r="D32" s="1340" t="s">
        <v>724</v>
      </c>
      <c r="E32" s="301" t="s">
        <v>712</v>
      </c>
      <c r="F32" s="330">
        <f>'数据-取费表'!B41</f>
        <v>5.5000000000000007E-2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90.51</v>
      </c>
      <c r="D33" s="1366" t="s">
        <v>3340</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1.56</v>
      </c>
      <c r="D34" s="323" t="s">
        <v>731</v>
      </c>
      <c r="E34" s="301" t="s">
        <v>732</v>
      </c>
      <c r="F34" s="324">
        <f>'数据-取费表'!B52</f>
        <v>1.5</v>
      </c>
      <c r="G34" s="1380"/>
      <c r="H34" s="2693"/>
      <c r="I34" s="1394"/>
      <c r="J34" s="1395"/>
      <c r="K34" s="2698"/>
      <c r="L34" s="2699"/>
      <c r="M34" s="2699"/>
    </row>
    <row r="35" spans="1:18" ht="18" customHeight="1">
      <c r="A35" s="1099"/>
      <c r="B35" s="1097"/>
      <c r="C35" s="26"/>
      <c r="D35" s="326"/>
      <c r="E35" s="301" t="s">
        <v>736</v>
      </c>
      <c r="F35" s="302">
        <f ca="1">INDIRECT("'数据-取费表'!r"&amp;$G$1)</f>
        <v>10416.879999999999</v>
      </c>
      <c r="G35" s="1380"/>
      <c r="H35" s="2693"/>
      <c r="I35" s="1394"/>
      <c r="J35" s="1395"/>
      <c r="K35" s="2697"/>
      <c r="L35" s="2696"/>
      <c r="M35" s="2696"/>
    </row>
    <row r="36" spans="1:18" ht="18" customHeight="1">
      <c r="A36" s="1098" t="s">
        <v>402</v>
      </c>
      <c r="B36" s="301" t="s">
        <v>738</v>
      </c>
      <c r="C36" s="21">
        <f ca="1">ROUND(C29*F36,2)</f>
        <v>299.14</v>
      </c>
      <c r="D36" s="1340" t="s">
        <v>771</v>
      </c>
      <c r="E36" s="301" t="s">
        <v>712</v>
      </c>
      <c r="F36" s="327">
        <f ca="1">INDIRECT("'数据-取费表'!Ak"&amp;$G$1)</f>
        <v>0.02</v>
      </c>
      <c r="G36" s="1380"/>
      <c r="H36" s="2696"/>
      <c r="I36" s="1394"/>
      <c r="J36" s="1395"/>
      <c r="K36" s="2540"/>
      <c r="L36" s="2696"/>
      <c r="M36" s="2696"/>
    </row>
    <row r="37" spans="1:18" ht="18" customHeight="1">
      <c r="A37" s="978" t="s">
        <v>437</v>
      </c>
      <c r="B37" s="301" t="s">
        <v>742</v>
      </c>
      <c r="C37" s="21">
        <f ca="1">ROUND(C13*F37,2)</f>
        <v>29.32</v>
      </c>
      <c r="D37" s="1340" t="s">
        <v>743</v>
      </c>
      <c r="E37" s="301" t="s">
        <v>744</v>
      </c>
      <c r="F37" s="329">
        <f ca="1">INDIRECT("'数据-取费表'!Al"&amp;$G$1)</f>
        <v>2E-3</v>
      </c>
      <c r="G37" s="1380"/>
      <c r="H37" s="2696"/>
      <c r="I37" s="1394"/>
      <c r="J37" s="1395"/>
      <c r="K37" s="2540"/>
      <c r="L37" s="2696"/>
      <c r="M37" s="2696"/>
    </row>
    <row r="38" spans="1:18" ht="18" customHeight="1" thickBot="1">
      <c r="A38" s="1085" t="s">
        <v>684</v>
      </c>
      <c r="B38" s="1086" t="s">
        <v>728</v>
      </c>
      <c r="C38" s="1087">
        <f ca="1">ROUND(C5*F38,2)</f>
        <v>15.86</v>
      </c>
      <c r="D38" s="1088" t="s">
        <v>748</v>
      </c>
      <c r="E38" s="1086" t="s">
        <v>744</v>
      </c>
      <c r="F38" s="1082">
        <f ca="1">INDIRECT("'数据-取费表'!Am"&amp;$G$1)</f>
        <v>0.02</v>
      </c>
      <c r="G38" s="1380"/>
      <c r="H38" s="2696"/>
      <c r="I38" s="1394"/>
      <c r="J38" s="1395"/>
      <c r="K38" s="2700"/>
      <c r="L38" s="2696"/>
      <c r="M38" s="2696"/>
    </row>
    <row r="39" spans="1:18" ht="24.6" customHeight="1" thickTop="1">
      <c r="A39" s="1075" t="s">
        <v>394</v>
      </c>
      <c r="B39" s="1090" t="s">
        <v>772</v>
      </c>
      <c r="C39" s="309">
        <f ca="1">C5-C30</f>
        <v>315</v>
      </c>
      <c r="D39" s="1091" t="s">
        <v>773</v>
      </c>
      <c r="E39" s="1092"/>
      <c r="F39" s="1093"/>
      <c r="G39" s="1380"/>
      <c r="H39" s="2696"/>
      <c r="I39" s="1394"/>
      <c r="J39" s="1395"/>
      <c r="K39" s="2700"/>
      <c r="L39" s="2696"/>
      <c r="M39" s="2696"/>
    </row>
    <row r="40" spans="1:18" ht="18" customHeight="1">
      <c r="A40" s="298" t="s">
        <v>395</v>
      </c>
      <c r="B40" s="299" t="s">
        <v>774</v>
      </c>
      <c r="C40" s="300">
        <f ca="1">ROUND(C39*(1-((1+F42)/(1+F40))^F41)/(F40-F42),0)</f>
        <v>9923</v>
      </c>
      <c r="D40" s="323" t="s">
        <v>758</v>
      </c>
      <c r="E40" s="301" t="s">
        <v>759</v>
      </c>
      <c r="F40" s="311">
        <f ca="1">INDIRECT("'数据-取费表'!I"&amp;$G$1)</f>
        <v>4.4999999999999998E-2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63.97</v>
      </c>
      <c r="G41" s="1380"/>
      <c r="H41" s="1187"/>
      <c r="I41" s="1394"/>
      <c r="J41" s="1395"/>
      <c r="K41" s="2540"/>
      <c r="L41" s="1187"/>
      <c r="M41" s="1187"/>
    </row>
    <row r="42" spans="1:18" ht="18" customHeight="1">
      <c r="A42" s="307"/>
      <c r="B42" s="308"/>
      <c r="C42" s="309"/>
      <c r="D42" s="326"/>
      <c r="E42" s="301" t="s">
        <v>766</v>
      </c>
      <c r="F42" s="311">
        <f ca="1">INDIRECT("'数据-取费表'!v"&amp;$G$1)</f>
        <v>0.02</v>
      </c>
      <c r="G42" s="1380"/>
      <c r="H42" s="1187"/>
      <c r="I42" s="1394"/>
      <c r="J42" s="1395"/>
      <c r="K42" s="2540"/>
      <c r="L42" s="1187"/>
      <c r="M42" s="1187"/>
    </row>
    <row r="43" spans="1:18" ht="18" customHeight="1" thickBot="1">
      <c r="A43" s="333" t="s">
        <v>396</v>
      </c>
      <c r="B43" s="334" t="s">
        <v>776</v>
      </c>
      <c r="C43" s="335">
        <f ca="1">ROUND(C40*10000/F43,0)</f>
        <v>5954</v>
      </c>
      <c r="D43" s="336" t="s">
        <v>777</v>
      </c>
      <c r="E43" s="337" t="s">
        <v>778</v>
      </c>
      <c r="F43" s="338">
        <f ca="1">INDIRECT("'数据-取费表'!k"&amp;$G$1)</f>
        <v>16667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f ca="1">C68-C40</f>
        <v>-16817</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t="s">
        <v>8714</v>
      </c>
      <c r="K47" s="1412" t="s">
        <v>816</v>
      </c>
      <c r="L47" s="1413">
        <f ca="1">INDIRECT("'数据-取费表'!d"&amp;$G$1)</f>
        <v>70</v>
      </c>
      <c r="M47" s="1376" t="str">
        <f>IF(ISNUMBER(FIND("住宅",C1)),"住宅","非住宅")</f>
        <v>非住宅</v>
      </c>
      <c r="O47" s="1414" t="s">
        <v>403</v>
      </c>
      <c r="P47" s="1415" t="s">
        <v>817</v>
      </c>
      <c r="Q47" s="1416">
        <f ca="1">C40+J29</f>
        <v>9923</v>
      </c>
      <c r="R47" s="1416" t="s">
        <v>818</v>
      </c>
    </row>
    <row r="48" spans="1:18" s="1380" customFormat="1" ht="28.5" thickBot="1">
      <c r="A48" s="1106" t="s">
        <v>438</v>
      </c>
      <c r="B48" s="299" t="s">
        <v>692</v>
      </c>
      <c r="C48" s="1355">
        <f ca="1">C49+C53+C55</f>
        <v>0</v>
      </c>
      <c r="D48" s="1108"/>
      <c r="E48" s="1109"/>
      <c r="F48" s="958"/>
      <c r="G48" s="720"/>
      <c r="H48" s="721"/>
      <c r="I48" s="1417" t="s">
        <v>819</v>
      </c>
      <c r="J48" s="1418" t="s">
        <v>8715</v>
      </c>
      <c r="K48" s="1419" t="s">
        <v>820</v>
      </c>
      <c r="L48" s="1420">
        <f ca="1">INDIRECT("'数据-取费表'!f"&amp;$G$1)</f>
        <v>63.97</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v>2022</v>
      </c>
      <c r="K49" s="1419" t="s">
        <v>824</v>
      </c>
      <c r="L49" s="1423"/>
      <c r="O49" s="1424" t="s">
        <v>405</v>
      </c>
      <c r="P49" s="1415" t="s">
        <v>825</v>
      </c>
      <c r="Q49" s="1416">
        <f ca="1">C29</f>
        <v>14957</v>
      </c>
      <c r="R49" s="1416" t="s">
        <v>818</v>
      </c>
    </row>
    <row r="50" spans="1:18" s="1380" customFormat="1" ht="13.5" thickBot="1">
      <c r="A50" s="972"/>
      <c r="B50" s="975"/>
      <c r="C50" s="1114"/>
      <c r="D50" s="949"/>
      <c r="E50" s="1052" t="s">
        <v>697</v>
      </c>
      <c r="F50" s="1053">
        <f ca="1">F7</f>
        <v>16667</v>
      </c>
      <c r="H50" s="721"/>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12</v>
      </c>
      <c r="I51" s="1428" t="s">
        <v>829</v>
      </c>
      <c r="J51" s="1429">
        <f>IF(J49="",J50,J49+J50-YEAR('数据-取费表'!B2))</f>
        <v>59</v>
      </c>
      <c r="K51" s="1430" t="s">
        <v>830</v>
      </c>
      <c r="L51" s="1431">
        <f ca="1">ROUND(-PV(INDIRECT("'数据-取费表'!h"&amp;$G$1),J51,(C39-C13*C76),0),0)</f>
        <v>-17670</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59</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59</v>
      </c>
      <c r="K53" s="3834" t="s">
        <v>837</v>
      </c>
      <c r="L53" s="3835"/>
      <c r="O53" s="1414" t="s">
        <v>409</v>
      </c>
      <c r="P53" s="1415" t="s">
        <v>838</v>
      </c>
      <c r="Q53" s="1416">
        <f ca="1">Q47+Q48</f>
        <v>9923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t="s">
        <v>8716</v>
      </c>
      <c r="O55" s="1407" t="s">
        <v>811</v>
      </c>
      <c r="P55" s="1408" t="s">
        <v>812</v>
      </c>
      <c r="Q55" s="1409" t="s">
        <v>813</v>
      </c>
      <c r="R55" s="1409" t="s">
        <v>814</v>
      </c>
    </row>
    <row r="56" spans="1:18" s="1380" customFormat="1" ht="25.5" thickTop="1" thickBot="1">
      <c r="A56" s="953">
        <v>2</v>
      </c>
      <c r="B56" s="954" t="s">
        <v>704</v>
      </c>
      <c r="C56" s="231">
        <f ca="1">C13</f>
        <v>14658</v>
      </c>
      <c r="D56" s="1443"/>
      <c r="E56" s="1444"/>
      <c r="F56" s="1436"/>
      <c r="I56" s="1445" t="s">
        <v>842</v>
      </c>
      <c r="J56" s="1446" t="s">
        <v>8717</v>
      </c>
      <c r="K56" s="1417" t="s">
        <v>843</v>
      </c>
      <c r="L56" s="1420">
        <f ca="1">IF(L48&lt;J51,"——",L48-J53)</f>
        <v>4.9699999999999989</v>
      </c>
      <c r="O56" s="1414" t="s">
        <v>403</v>
      </c>
      <c r="P56" s="1415" t="s">
        <v>817</v>
      </c>
      <c r="Q56" s="1416">
        <f ca="1">C40+J29</f>
        <v>9923</v>
      </c>
      <c r="R56" s="1416" t="s">
        <v>818</v>
      </c>
    </row>
    <row r="57" spans="1:18" s="1380" customFormat="1" ht="24.75" thickBot="1">
      <c r="A57" s="1447"/>
      <c r="B57" s="946" t="s">
        <v>767</v>
      </c>
      <c r="C57" s="237">
        <f ca="1">C29</f>
        <v>14957</v>
      </c>
      <c r="D57" s="1448"/>
      <c r="E57" s="1449"/>
      <c r="F57" s="1450"/>
      <c r="I57" s="1451" t="s">
        <v>844</v>
      </c>
      <c r="J57" s="1452" t="str">
        <f ca="1">IF(OR(M47="住宅",J51&lt;L48,J56="是"),"——",J51-L48)</f>
        <v>——</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4" t="s">
        <v>714</v>
      </c>
      <c r="C58" s="315">
        <f ca="1">ROUND(C59+C64+C65+C66,0)</f>
        <v>330</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1.56</v>
      </c>
      <c r="D62" s="961" t="s">
        <v>786</v>
      </c>
      <c r="E62" s="946" t="s">
        <v>787</v>
      </c>
      <c r="F62" s="324">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10416.879999999999</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299.14</v>
      </c>
      <c r="D64" s="960" t="s">
        <v>791</v>
      </c>
      <c r="E64" s="946" t="s">
        <v>783</v>
      </c>
      <c r="F64" s="327">
        <f t="shared" ca="1" si="0"/>
        <v>0.02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29.32</v>
      </c>
      <c r="D65" s="960" t="s">
        <v>743</v>
      </c>
      <c r="E65" s="946" t="s">
        <v>744</v>
      </c>
      <c r="F65" s="329">
        <f t="shared" ca="1" si="0"/>
        <v>2E-3</v>
      </c>
      <c r="I65" s="1458" t="s">
        <v>867</v>
      </c>
      <c r="J65" s="1459">
        <v>40</v>
      </c>
      <c r="K65" s="1459">
        <v>30</v>
      </c>
      <c r="L65" s="1459">
        <v>50</v>
      </c>
      <c r="M65" s="1461">
        <v>0.02</v>
      </c>
      <c r="O65" s="1414" t="s">
        <v>403</v>
      </c>
      <c r="P65" s="1415" t="s">
        <v>868</v>
      </c>
      <c r="Q65" s="1416">
        <f ca="1">C40+J29</f>
        <v>9923</v>
      </c>
      <c r="R65" s="1416" t="s">
        <v>818</v>
      </c>
    </row>
    <row r="66" spans="1:18" s="1380" customFormat="1" ht="16.5" thickBot="1">
      <c r="A66" s="978" t="s">
        <v>793</v>
      </c>
      <c r="B66" s="946" t="s">
        <v>728</v>
      </c>
      <c r="C66" s="21">
        <f ca="1">ROUND(C48*F66,2)</f>
        <v>0</v>
      </c>
      <c r="D66" s="960" t="s">
        <v>794</v>
      </c>
      <c r="E66" s="946" t="s">
        <v>712</v>
      </c>
      <c r="F66" s="311">
        <f t="shared" ca="1" si="0"/>
        <v>0.02</v>
      </c>
      <c r="O66" s="1414" t="s">
        <v>404</v>
      </c>
      <c r="P66" s="1415" t="s">
        <v>846</v>
      </c>
      <c r="Q66" s="1416" t="e">
        <f ca="1">L60</f>
        <v>#DIV/0!</v>
      </c>
      <c r="R66" s="1416" t="s">
        <v>869</v>
      </c>
    </row>
    <row r="67" spans="1:18" s="1380" customFormat="1" ht="16.5" thickBot="1">
      <c r="A67" s="953" t="s">
        <v>394</v>
      </c>
      <c r="B67" s="963" t="s">
        <v>752</v>
      </c>
      <c r="C67" s="315">
        <f ca="1">C48-C58</f>
        <v>-330</v>
      </c>
      <c r="D67" s="959" t="s">
        <v>753</v>
      </c>
      <c r="E67" s="964"/>
      <c r="F67" s="965"/>
      <c r="O67" s="1424" t="s">
        <v>405</v>
      </c>
      <c r="P67" s="1415" t="s">
        <v>850</v>
      </c>
      <c r="Q67" s="1462">
        <f ca="1">L51</f>
        <v>-17670</v>
      </c>
      <c r="R67" s="1416" t="s">
        <v>870</v>
      </c>
    </row>
    <row r="68" spans="1:18" s="1380" customFormat="1" ht="16.5" thickBot="1">
      <c r="A68" s="943" t="s">
        <v>395</v>
      </c>
      <c r="B68" s="944" t="s">
        <v>774</v>
      </c>
      <c r="C68" s="300">
        <f ca="1">ROUND(C67*(1-((1+F70)/(1+F68))^F69)/(F68-F70),0)</f>
        <v>-6894</v>
      </c>
      <c r="D68" s="961" t="s">
        <v>758</v>
      </c>
      <c r="E68" s="946" t="s">
        <v>759</v>
      </c>
      <c r="F68" s="311">
        <f ca="1">F40</f>
        <v>4.4999999999999998E-2</v>
      </c>
      <c r="O68" s="1424" t="s">
        <v>406</v>
      </c>
      <c r="P68" s="1463" t="s">
        <v>871</v>
      </c>
      <c r="Q68" s="1416">
        <f ca="1">ROUND(Q69-Q70*Q71,0)</f>
        <v>-784</v>
      </c>
      <c r="R68" s="1416" t="s">
        <v>414</v>
      </c>
    </row>
    <row r="69" spans="1:18" s="1380" customFormat="1" ht="13.5" thickBot="1">
      <c r="A69" s="947"/>
      <c r="B69" s="948"/>
      <c r="C69" s="305"/>
      <c r="D69" s="966" t="s">
        <v>762</v>
      </c>
      <c r="E69" s="946" t="s">
        <v>763</v>
      </c>
      <c r="F69" s="332">
        <f ca="1">F41</f>
        <v>63.97</v>
      </c>
      <c r="O69" s="1424" t="s">
        <v>411</v>
      </c>
      <c r="P69" s="1463" t="s">
        <v>872</v>
      </c>
      <c r="Q69" s="1416">
        <f ca="1">C39</f>
        <v>315</v>
      </c>
      <c r="R69" s="1416" t="s">
        <v>818</v>
      </c>
    </row>
    <row r="70" spans="1:18" s="1380" customFormat="1" ht="13.5" thickBot="1">
      <c r="A70" s="950"/>
      <c r="B70" s="951"/>
      <c r="C70" s="309"/>
      <c r="D70" s="962"/>
      <c r="E70" s="946" t="s">
        <v>766</v>
      </c>
      <c r="F70" s="1050"/>
      <c r="O70" s="1424" t="s">
        <v>412</v>
      </c>
      <c r="P70" s="1463" t="s">
        <v>873</v>
      </c>
      <c r="Q70" s="1416">
        <f ca="1">C13</f>
        <v>14658</v>
      </c>
      <c r="R70" s="1416" t="s">
        <v>818</v>
      </c>
    </row>
    <row r="71" spans="1:18" s="1380" customFormat="1" ht="13.5" thickBot="1">
      <c r="A71" s="967" t="s">
        <v>396</v>
      </c>
      <c r="B71" s="968" t="s">
        <v>776</v>
      </c>
      <c r="C71" s="335">
        <f ca="1">ROUND(C68*10000/F71,0)</f>
        <v>-4136</v>
      </c>
      <c r="D71" s="969" t="s">
        <v>777</v>
      </c>
      <c r="E71" s="970" t="s">
        <v>778</v>
      </c>
      <c r="F71" s="338">
        <f ca="1">F43</f>
        <v>16667</v>
      </c>
      <c r="O71" s="1424" t="s">
        <v>413</v>
      </c>
      <c r="P71" s="1463" t="s">
        <v>874</v>
      </c>
      <c r="Q71" s="1427">
        <f ca="1">C76</f>
        <v>7.4999999999999997E-2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1099</v>
      </c>
      <c r="D75" s="1380"/>
      <c r="E75" s="1380"/>
      <c r="F75" s="1380"/>
      <c r="K75" s="1398"/>
      <c r="L75" s="1380"/>
      <c r="O75" s="1414" t="s">
        <v>409</v>
      </c>
      <c r="P75" s="1415" t="s">
        <v>838</v>
      </c>
      <c r="Q75" s="1416" t="e">
        <f ca="1">Q65+Q66</f>
        <v>#DIV/0!</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-2.4889999999999999</v>
      </c>
    </row>
    <row r="80" spans="1:18">
      <c r="B80" s="339" t="s">
        <v>800</v>
      </c>
      <c r="C80" s="273">
        <f ca="1">ROUND(C75/C39,3)</f>
        <v>3.4889999999999999</v>
      </c>
    </row>
    <row r="81" spans="2:3">
      <c r="B81" s="269" t="s">
        <v>801</v>
      </c>
      <c r="C81" s="237"/>
    </row>
    <row r="82" spans="2:3">
      <c r="B82" s="272" t="s">
        <v>802</v>
      </c>
      <c r="C82" s="274">
        <f ca="1">1-C83</f>
        <v>-0.47700000000000009</v>
      </c>
    </row>
    <row r="83" spans="2:3">
      <c r="B83" s="272" t="s">
        <v>803</v>
      </c>
      <c r="C83" s="273">
        <f ca="1">ROUND(C13/C40,3)</f>
        <v>1.4770000000000001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81" t="s">
        <v>949</v>
      </c>
      <c r="B1" s="3581"/>
      <c r="C1" s="3581"/>
      <c r="D1" s="3581"/>
    </row>
    <row r="2" spans="1:4" ht="18">
      <c r="A2" s="3582" t="s">
        <v>933</v>
      </c>
      <c r="B2" s="3582"/>
      <c r="C2" s="3582"/>
      <c r="D2" s="3582"/>
    </row>
    <row r="3" spans="1:4" ht="18.75">
      <c r="A3" s="1505" t="s">
        <v>934</v>
      </c>
      <c r="B3" s="1505" t="s">
        <v>935</v>
      </c>
      <c r="C3" s="1505" t="s">
        <v>936</v>
      </c>
      <c r="D3" s="1505" t="s">
        <v>937</v>
      </c>
    </row>
    <row r="4" spans="1:4" ht="56.25" customHeight="1">
      <c r="A4" s="1506" t="str">
        <f>项目基本情况!B4</f>
        <v>梁津</v>
      </c>
      <c r="B4" s="1507">
        <f ca="1">项目基本情况!C4</f>
        <v>1119970066</v>
      </c>
      <c r="C4" s="1508"/>
      <c r="D4" s="1509" t="s">
        <v>938</v>
      </c>
    </row>
    <row r="5" spans="1:4" ht="56.25" customHeight="1">
      <c r="A5" s="1506" t="str">
        <f>项目基本情况!D4</f>
        <v>叶凌</v>
      </c>
      <c r="B5" s="1507">
        <f ca="1">项目基本情况!E4</f>
        <v>1119970111</v>
      </c>
      <c r="C5" s="1510"/>
      <c r="D5" s="1509" t="s">
        <v>938</v>
      </c>
    </row>
    <row r="6" spans="1:4" ht="18">
      <c r="A6" s="3582" t="s">
        <v>939</v>
      </c>
      <c r="B6" s="3582"/>
      <c r="C6" s="3582"/>
      <c r="D6" s="358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83" t="s">
        <v>942</v>
      </c>
      <c r="B11" s="3584"/>
      <c r="C11" s="3584"/>
      <c r="D11" s="3584"/>
    </row>
    <row r="12" spans="1:4" ht="15.75">
      <c r="A12" s="35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5"/>
      <c r="C12" s="3585"/>
      <c r="D12" s="3585"/>
    </row>
    <row r="13" spans="1:4" ht="30" customHeight="1">
      <c r="A13" s="3584" t="str">
        <f>IF(项目基本情况!B8="抵押","3.抵押双方在办理抵押登记手续时，应使用本公司出具的正式《房地产评估报告》，特提醒报告使用者注意。","——")</f>
        <v>——</v>
      </c>
      <c r="B13" s="3585"/>
      <c r="C13" s="3585"/>
      <c r="D13" s="3585"/>
    </row>
    <row r="14" spans="1:4" ht="15.75" customHeight="1">
      <c r="A14" s="3584" t="str">
        <f>IF(项目基本情况!B8="抵押","4.本次评估估价师所知悉的法定优先受偿款情况说明如下：","——")</f>
        <v>——</v>
      </c>
      <c r="B14" s="3585"/>
      <c r="C14" s="3585"/>
      <c r="D14" s="3585"/>
    </row>
    <row r="15" spans="1:4" ht="42" customHeight="1">
      <c r="A15" s="3584" t="str">
        <f>IF(项目基本情况!B8="抵押","（1）"&amp;CONCATENATE(项目基本情况!L20,项目基本情况!L21,项目基本情况!L22),"——")</f>
        <v>——</v>
      </c>
      <c r="B15" s="3584"/>
      <c r="C15" s="3584"/>
      <c r="D15" s="3584"/>
    </row>
    <row r="16" spans="1:4" ht="30" customHeight="1">
      <c r="A16" s="3587" t="s">
        <v>943</v>
      </c>
      <c r="B16" s="3587"/>
      <c r="C16" s="3587"/>
      <c r="D16" s="3587"/>
    </row>
    <row r="17" spans="1:4" ht="144" customHeight="1">
      <c r="A17" s="3587" t="s">
        <v>944</v>
      </c>
      <c r="B17" s="3587"/>
      <c r="C17" s="3587"/>
      <c r="D17" s="3587"/>
    </row>
    <row r="18" spans="1:4" ht="15.75" customHeight="1">
      <c r="A18" s="3584" t="str">
        <f>IF(项目基本情况!B8="抵押",'结果表-洋房'!K120,"——")</f>
        <v>——</v>
      </c>
      <c r="B18" s="3584"/>
      <c r="C18" s="3584"/>
      <c r="D18" s="3584"/>
    </row>
    <row r="19" spans="1:4" ht="46.5" customHeight="1">
      <c r="A19" s="35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4"/>
      <c r="C19" s="3584"/>
      <c r="D19" s="3584"/>
    </row>
    <row r="20" spans="1:4" ht="57.75" customHeight="1">
      <c r="A20" s="3584" t="str">
        <f>IF('结果表-洋房'!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4"/>
      <c r="C20" s="3584"/>
      <c r="D20" s="3584"/>
    </row>
    <row r="21" spans="1:4" ht="57.75" customHeight="1">
      <c r="A21" s="3588" t="str">
        <f>IF('结果表-洋房'!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8"/>
      <c r="C21" s="3588"/>
      <c r="D21" s="3588"/>
    </row>
    <row r="22" spans="1:4" ht="18.75" customHeight="1">
      <c r="A22" s="3589" t="s">
        <v>945</v>
      </c>
      <c r="B22" s="3589"/>
      <c r="C22" s="3589"/>
      <c r="D22" s="358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86">
        <v>42551</v>
      </c>
      <c r="D31" s="35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L3:M8"/>
  <sheetViews>
    <sheetView workbookViewId="0">
      <selection activeCell="M22" sqref="M22"/>
    </sheetView>
  </sheetViews>
  <sheetFormatPr defaultRowHeight="13.5"/>
  <sheetData>
    <row r="3" spans="12:13">
      <c r="L3" s="3509" t="s">
        <v>8700</v>
      </c>
      <c r="M3">
        <f>2700/74.21</f>
        <v>36.383236760544406</v>
      </c>
    </row>
    <row r="4" spans="12:13">
      <c r="M4">
        <f>3500/73.72</f>
        <v>47.47693977211069</v>
      </c>
    </row>
    <row r="5" spans="12:13">
      <c r="M5">
        <f>4200/88</f>
        <v>47.727272727272727</v>
      </c>
    </row>
    <row r="6" spans="12:13">
      <c r="M6" s="3524">
        <f>ROUND(AVERAGE(M3:M5),0)</f>
        <v>44</v>
      </c>
    </row>
    <row r="8" spans="12:13">
      <c r="M8">
        <f>8000/179.5</f>
        <v>44.568245125348191</v>
      </c>
    </row>
  </sheetData>
  <phoneticPr fontId="134"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92" t="s">
        <v>2610</v>
      </c>
      <c r="B20" s="3885" t="s">
        <v>2631</v>
      </c>
      <c r="C20" s="3099" t="s">
        <v>2442</v>
      </c>
      <c r="D20" s="3100"/>
      <c r="E20" s="3101">
        <v>1</v>
      </c>
      <c r="F20" s="3102" t="s">
        <v>2443</v>
      </c>
      <c r="G20" s="3102"/>
    </row>
    <row r="21" spans="1:13" ht="19.5" customHeight="1">
      <c r="A21" s="3893"/>
      <c r="B21" s="3886"/>
      <c r="C21" s="3103" t="s">
        <v>2444</v>
      </c>
      <c r="D21" s="3104"/>
      <c r="E21" s="3105">
        <v>1</v>
      </c>
      <c r="F21" s="3102" t="s">
        <v>2445</v>
      </c>
      <c r="G21" s="3102"/>
    </row>
    <row r="22" spans="1:13" ht="19.5" customHeight="1">
      <c r="A22" s="3893"/>
      <c r="B22" s="3886"/>
      <c r="C22" s="3103" t="s">
        <v>2446</v>
      </c>
      <c r="D22" s="3104"/>
      <c r="E22" s="3105">
        <v>0.9</v>
      </c>
      <c r="F22" s="3102" t="s">
        <v>2447</v>
      </c>
      <c r="G22" s="3102"/>
    </row>
    <row r="23" spans="1:13" ht="19.5" customHeight="1">
      <c r="A23" s="3893"/>
      <c r="B23" s="3886"/>
      <c r="C23" s="3103" t="s">
        <v>2448</v>
      </c>
      <c r="D23" s="3104"/>
      <c r="E23" s="3105">
        <v>0.9</v>
      </c>
      <c r="F23" s="3102" t="s">
        <v>2449</v>
      </c>
      <c r="G23" s="3102"/>
    </row>
    <row r="24" spans="1:13" ht="19.5" customHeight="1">
      <c r="A24" s="3893"/>
      <c r="B24" s="3886"/>
      <c r="C24" s="3103" t="s">
        <v>2450</v>
      </c>
      <c r="D24" s="3104"/>
      <c r="E24" s="3105">
        <v>0.8</v>
      </c>
      <c r="F24" s="3102" t="s">
        <v>2451</v>
      </c>
      <c r="G24" s="3102"/>
    </row>
    <row r="25" spans="1:13" ht="19.5" customHeight="1" thickBot="1">
      <c r="A25" s="3894"/>
      <c r="B25" s="388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88" t="s">
        <v>2634</v>
      </c>
      <c r="B27" s="3885" t="s">
        <v>2615</v>
      </c>
      <c r="C27" s="3099" t="s">
        <v>2455</v>
      </c>
      <c r="D27" s="3100"/>
      <c r="E27" s="3101">
        <v>1</v>
      </c>
      <c r="F27" s="3102" t="s">
        <v>2456</v>
      </c>
      <c r="G27" s="3102"/>
    </row>
    <row r="28" spans="1:13" ht="19.5" customHeight="1">
      <c r="A28" s="3889"/>
      <c r="B28" s="3886"/>
      <c r="C28" s="3103" t="s">
        <v>2457</v>
      </c>
      <c r="D28" s="3104"/>
      <c r="E28" s="3105">
        <v>1</v>
      </c>
      <c r="F28" s="3102" t="s">
        <v>2458</v>
      </c>
      <c r="G28" s="3102"/>
    </row>
    <row r="29" spans="1:13" ht="19.5" customHeight="1">
      <c r="A29" s="3889"/>
      <c r="B29" s="3886"/>
      <c r="C29" s="3103" t="s">
        <v>2459</v>
      </c>
      <c r="D29" s="3104"/>
      <c r="E29" s="3105">
        <v>0.8</v>
      </c>
      <c r="F29" s="3102" t="s">
        <v>2460</v>
      </c>
      <c r="G29" s="3102"/>
    </row>
    <row r="30" spans="1:13" ht="19.5" customHeight="1">
      <c r="A30" s="3889"/>
      <c r="B30" s="3886"/>
      <c r="C30" s="3103" t="s">
        <v>2461</v>
      </c>
      <c r="D30" s="3104"/>
      <c r="E30" s="3105">
        <v>0.8</v>
      </c>
      <c r="F30" s="3102" t="s">
        <v>2462</v>
      </c>
      <c r="G30" s="3102"/>
    </row>
    <row r="31" spans="1:13" ht="19.5" customHeight="1">
      <c r="A31" s="3889"/>
      <c r="B31" s="3886"/>
      <c r="C31" s="3103" t="s">
        <v>2463</v>
      </c>
      <c r="D31" s="3104"/>
      <c r="E31" s="3105">
        <v>0.8</v>
      </c>
      <c r="F31" s="3102" t="s">
        <v>2464</v>
      </c>
      <c r="G31" s="3102"/>
    </row>
    <row r="32" spans="1:13" ht="19.5" customHeight="1">
      <c r="A32" s="3889"/>
      <c r="B32" s="3886"/>
      <c r="C32" s="3103" t="s">
        <v>2465</v>
      </c>
      <c r="D32" s="3104"/>
      <c r="E32" s="3105">
        <v>0.7</v>
      </c>
      <c r="F32" s="3102" t="s">
        <v>2466</v>
      </c>
      <c r="G32" s="3102"/>
    </row>
    <row r="33" spans="1:7" ht="19.5" customHeight="1">
      <c r="A33" s="3889"/>
      <c r="B33" s="3886"/>
      <c r="C33" s="3103" t="s">
        <v>2467</v>
      </c>
      <c r="D33" s="3104"/>
      <c r="E33" s="3105">
        <v>0.8</v>
      </c>
      <c r="F33" s="3102" t="s">
        <v>2468</v>
      </c>
      <c r="G33" s="3102"/>
    </row>
    <row r="34" spans="1:7" ht="19.5" customHeight="1">
      <c r="A34" s="3889"/>
      <c r="B34" s="3886"/>
      <c r="C34" s="3103" t="s">
        <v>2469</v>
      </c>
      <c r="D34" s="3104"/>
      <c r="E34" s="3105">
        <v>0.6</v>
      </c>
      <c r="F34" s="3102" t="s">
        <v>2470</v>
      </c>
      <c r="G34" s="3102"/>
    </row>
    <row r="35" spans="1:7" ht="19.5" customHeight="1">
      <c r="A35" s="3889"/>
      <c r="B35" s="3886"/>
      <c r="C35" s="3103" t="s">
        <v>2471</v>
      </c>
      <c r="D35" s="3104"/>
      <c r="E35" s="3105">
        <v>0.2</v>
      </c>
      <c r="F35" s="3102" t="s">
        <v>2472</v>
      </c>
      <c r="G35" s="3102"/>
    </row>
    <row r="36" spans="1:7" ht="19.5" customHeight="1">
      <c r="A36" s="3889"/>
      <c r="B36" s="3886"/>
      <c r="C36" s="3103" t="s">
        <v>2473</v>
      </c>
      <c r="D36" s="3104"/>
      <c r="E36" s="3105">
        <v>0.2</v>
      </c>
      <c r="F36" s="3102" t="s">
        <v>2474</v>
      </c>
      <c r="G36" s="3102"/>
    </row>
    <row r="37" spans="1:7" ht="19.5" customHeight="1">
      <c r="A37" s="3889"/>
      <c r="B37" s="3891" t="s">
        <v>2635</v>
      </c>
      <c r="C37" s="3103" t="s">
        <v>2475</v>
      </c>
      <c r="D37" s="3104"/>
      <c r="E37" s="3105">
        <v>0.6</v>
      </c>
      <c r="F37" s="3102" t="s">
        <v>2476</v>
      </c>
      <c r="G37" s="3102"/>
    </row>
    <row r="38" spans="1:7" ht="19.5" customHeight="1">
      <c r="A38" s="3889"/>
      <c r="B38" s="3886"/>
      <c r="C38" s="3103" t="s">
        <v>2477</v>
      </c>
      <c r="D38" s="3104"/>
      <c r="E38" s="3105">
        <v>0.6</v>
      </c>
      <c r="F38" s="3102" t="s">
        <v>2478</v>
      </c>
      <c r="G38" s="3102"/>
    </row>
    <row r="39" spans="1:7" ht="19.5" customHeight="1" thickBot="1">
      <c r="A39" s="3890"/>
      <c r="B39" s="388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92" t="s">
        <v>2613</v>
      </c>
      <c r="B41" s="3885" t="s">
        <v>2637</v>
      </c>
      <c r="C41" s="3099" t="s">
        <v>2482</v>
      </c>
      <c r="D41" s="3100"/>
      <c r="E41" s="3101">
        <v>1</v>
      </c>
      <c r="F41" s="3102" t="s">
        <v>2483</v>
      </c>
      <c r="G41" s="3102"/>
    </row>
    <row r="42" spans="1:7" ht="19.5" customHeight="1">
      <c r="A42" s="3893"/>
      <c r="B42" s="3886"/>
      <c r="C42" s="3103" t="s">
        <v>2484</v>
      </c>
      <c r="D42" s="3104"/>
      <c r="E42" s="3105">
        <v>1</v>
      </c>
      <c r="F42" s="3102" t="s">
        <v>2485</v>
      </c>
      <c r="G42" s="3102"/>
    </row>
    <row r="43" spans="1:7" ht="19.5" customHeight="1">
      <c r="A43" s="3893"/>
      <c r="B43" s="3895"/>
      <c r="C43" s="3103" t="s">
        <v>2486</v>
      </c>
      <c r="D43" s="3104"/>
      <c r="E43" s="3105">
        <v>1.5</v>
      </c>
      <c r="F43" s="3102" t="s">
        <v>2487</v>
      </c>
      <c r="G43" s="3102"/>
    </row>
    <row r="44" spans="1:7" ht="19.5" customHeight="1">
      <c r="A44" s="3893"/>
      <c r="B44" s="3114" t="s">
        <v>2638</v>
      </c>
      <c r="C44" s="3103" t="s">
        <v>2639</v>
      </c>
      <c r="D44" s="3104"/>
      <c r="E44" s="3105">
        <v>2</v>
      </c>
      <c r="F44" s="3102" t="s">
        <v>2488</v>
      </c>
      <c r="G44" s="3102"/>
    </row>
    <row r="45" spans="1:7" ht="19.5" customHeight="1">
      <c r="A45" s="3893"/>
      <c r="B45" s="3891" t="s">
        <v>2640</v>
      </c>
      <c r="C45" s="3103" t="s">
        <v>2489</v>
      </c>
      <c r="D45" s="3104"/>
      <c r="E45" s="3105">
        <v>1</v>
      </c>
      <c r="F45" s="3102" t="s">
        <v>2490</v>
      </c>
      <c r="G45" s="3102"/>
    </row>
    <row r="46" spans="1:7" ht="19.5" customHeight="1">
      <c r="A46" s="3893"/>
      <c r="B46" s="3886"/>
      <c r="C46" s="3103" t="s">
        <v>2491</v>
      </c>
      <c r="D46" s="3104"/>
      <c r="E46" s="3105">
        <v>1</v>
      </c>
      <c r="F46" s="3102" t="s">
        <v>2492</v>
      </c>
      <c r="G46" s="3102"/>
    </row>
    <row r="47" spans="1:7" ht="19.5" customHeight="1">
      <c r="A47" s="3893"/>
      <c r="B47" s="3886"/>
      <c r="C47" s="3103" t="s">
        <v>2493</v>
      </c>
      <c r="D47" s="3104"/>
      <c r="E47" s="3105">
        <v>1</v>
      </c>
      <c r="F47" s="3102" t="s">
        <v>2494</v>
      </c>
      <c r="G47" s="3102"/>
    </row>
    <row r="48" spans="1:7" ht="19.5" customHeight="1">
      <c r="A48" s="3893"/>
      <c r="B48" s="3886"/>
      <c r="C48" s="3103" t="s">
        <v>2495</v>
      </c>
      <c r="D48" s="3104"/>
      <c r="E48" s="3105">
        <v>1</v>
      </c>
      <c r="F48" s="3102" t="s">
        <v>2496</v>
      </c>
      <c r="G48" s="3102"/>
    </row>
    <row r="49" spans="1:7" ht="19.5" customHeight="1">
      <c r="A49" s="3893"/>
      <c r="B49" s="3886"/>
      <c r="C49" s="3103" t="s">
        <v>2497</v>
      </c>
      <c r="D49" s="3104"/>
      <c r="E49" s="3105">
        <v>1</v>
      </c>
      <c r="F49" s="3102" t="s">
        <v>2498</v>
      </c>
      <c r="G49" s="3102"/>
    </row>
    <row r="50" spans="1:7" ht="19.5" customHeight="1">
      <c r="A50" s="3893"/>
      <c r="B50" s="3886"/>
      <c r="C50" s="3103" t="s">
        <v>2499</v>
      </c>
      <c r="D50" s="3104"/>
      <c r="E50" s="3105">
        <v>1</v>
      </c>
      <c r="F50" s="3102" t="s">
        <v>2500</v>
      </c>
      <c r="G50" s="3102"/>
    </row>
    <row r="51" spans="1:7" ht="19.5" customHeight="1" thickBot="1">
      <c r="A51" s="3894"/>
      <c r="B51" s="388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91" t="s">
        <v>2654</v>
      </c>
      <c r="C73" s="3088" t="s">
        <v>2655</v>
      </c>
      <c r="D73" s="3088" t="s">
        <v>2656</v>
      </c>
      <c r="E73" s="3114">
        <v>0.2</v>
      </c>
      <c r="F73" s="3114">
        <v>25</v>
      </c>
    </row>
    <row r="74" spans="1:7" ht="24">
      <c r="A74" s="3114">
        <v>2</v>
      </c>
      <c r="B74" s="3886"/>
      <c r="C74" s="3088" t="s">
        <v>2657</v>
      </c>
      <c r="D74" s="3088" t="s">
        <v>2658</v>
      </c>
      <c r="E74" s="3114">
        <v>0.2</v>
      </c>
      <c r="F74" s="3114">
        <v>25</v>
      </c>
    </row>
    <row r="75" spans="1:7" ht="24">
      <c r="A75" s="3114">
        <v>3</v>
      </c>
      <c r="B75" s="3886"/>
      <c r="C75" s="3088" t="s">
        <v>2659</v>
      </c>
      <c r="D75" s="3088" t="s">
        <v>2660</v>
      </c>
      <c r="E75" s="3114">
        <v>0.2</v>
      </c>
      <c r="F75" s="3114">
        <v>25</v>
      </c>
    </row>
    <row r="76" spans="1:7" ht="13.5">
      <c r="A76" s="3114">
        <v>4</v>
      </c>
      <c r="B76" s="3886"/>
      <c r="C76" s="3088" t="s">
        <v>2661</v>
      </c>
      <c r="D76" s="3088" t="s">
        <v>2662</v>
      </c>
      <c r="E76" s="3114">
        <v>0.15</v>
      </c>
      <c r="F76" s="3114">
        <v>20</v>
      </c>
    </row>
    <row r="77" spans="1:7" ht="24">
      <c r="A77" s="3114">
        <v>5</v>
      </c>
      <c r="B77" s="3886"/>
      <c r="C77" s="3088" t="s">
        <v>2663</v>
      </c>
      <c r="D77" s="3088" t="s">
        <v>2664</v>
      </c>
      <c r="E77" s="3114">
        <v>0.15</v>
      </c>
      <c r="F77" s="3114">
        <v>20</v>
      </c>
    </row>
    <row r="78" spans="1:7" ht="24">
      <c r="A78" s="3114">
        <v>6</v>
      </c>
      <c r="B78" s="3886"/>
      <c r="C78" s="3088" t="s">
        <v>2665</v>
      </c>
      <c r="D78" s="3088" t="s">
        <v>2666</v>
      </c>
      <c r="E78" s="3114">
        <v>0.15</v>
      </c>
      <c r="F78" s="3114">
        <v>20</v>
      </c>
    </row>
    <row r="79" spans="1:7" ht="24">
      <c r="A79" s="3114">
        <v>7</v>
      </c>
      <c r="B79" s="3886"/>
      <c r="C79" s="3088" t="s">
        <v>2667</v>
      </c>
      <c r="D79" s="3088" t="s">
        <v>2668</v>
      </c>
      <c r="E79" s="3114">
        <v>0.15</v>
      </c>
      <c r="F79" s="3114">
        <v>20</v>
      </c>
    </row>
    <row r="80" spans="1:7" ht="24">
      <c r="A80" s="3114">
        <v>8</v>
      </c>
      <c r="B80" s="3886"/>
      <c r="C80" s="3088" t="s">
        <v>2669</v>
      </c>
      <c r="D80" s="3088" t="s">
        <v>2670</v>
      </c>
      <c r="E80" s="3114">
        <v>0.1</v>
      </c>
      <c r="F80" s="3114">
        <v>15</v>
      </c>
    </row>
    <row r="81" spans="1:6" ht="24">
      <c r="A81" s="3114">
        <v>9</v>
      </c>
      <c r="B81" s="3886"/>
      <c r="C81" s="3088" t="s">
        <v>2671</v>
      </c>
      <c r="D81" s="3088" t="s">
        <v>2672</v>
      </c>
      <c r="E81" s="3114">
        <v>0.1</v>
      </c>
      <c r="F81" s="3114">
        <v>15</v>
      </c>
    </row>
    <row r="82" spans="1:6" ht="24">
      <c r="A82" s="3114">
        <v>10</v>
      </c>
      <c r="B82" s="3886"/>
      <c r="C82" s="3088" t="s">
        <v>2673</v>
      </c>
      <c r="D82" s="3088" t="s">
        <v>2674</v>
      </c>
      <c r="E82" s="3114">
        <v>0.1</v>
      </c>
      <c r="F82" s="3114">
        <v>15</v>
      </c>
    </row>
    <row r="83" spans="1:6" ht="24">
      <c r="A83" s="3114">
        <v>11</v>
      </c>
      <c r="B83" s="3886"/>
      <c r="C83" s="3088" t="s">
        <v>2675</v>
      </c>
      <c r="D83" s="3088" t="s">
        <v>2676</v>
      </c>
      <c r="E83" s="3114">
        <v>0.1</v>
      </c>
      <c r="F83" s="3114">
        <v>15</v>
      </c>
    </row>
    <row r="84" spans="1:6" ht="24">
      <c r="A84" s="3114">
        <v>12</v>
      </c>
      <c r="B84" s="3886"/>
      <c r="C84" s="3088" t="s">
        <v>2677</v>
      </c>
      <c r="D84" s="3088" t="s">
        <v>2678</v>
      </c>
      <c r="E84" s="3114">
        <v>0.1</v>
      </c>
      <c r="F84" s="3114">
        <v>15</v>
      </c>
    </row>
    <row r="85" spans="1:6" ht="13.5">
      <c r="A85" s="3114">
        <v>13</v>
      </c>
      <c r="B85" s="3886"/>
      <c r="C85" s="3088" t="s">
        <v>2679</v>
      </c>
      <c r="D85" s="3088" t="s">
        <v>2680</v>
      </c>
      <c r="E85" s="3114">
        <v>0.1</v>
      </c>
      <c r="F85" s="3114">
        <v>15</v>
      </c>
    </row>
    <row r="86" spans="1:6" ht="13.5">
      <c r="A86" s="3114">
        <v>14</v>
      </c>
      <c r="B86" s="3886"/>
      <c r="C86" s="3088" t="s">
        <v>2681</v>
      </c>
      <c r="D86" s="3088" t="s">
        <v>2682</v>
      </c>
      <c r="E86" s="3114">
        <v>0.1</v>
      </c>
      <c r="F86" s="3114">
        <v>15</v>
      </c>
    </row>
    <row r="87" spans="1:6" ht="13.5">
      <c r="A87" s="3114">
        <v>15</v>
      </c>
      <c r="B87" s="3886"/>
      <c r="C87" s="3088" t="s">
        <v>2683</v>
      </c>
      <c r="D87" s="3088" t="s">
        <v>2684</v>
      </c>
      <c r="E87" s="3114">
        <v>0.1</v>
      </c>
      <c r="F87" s="3114">
        <v>15</v>
      </c>
    </row>
    <row r="88" spans="1:6" ht="24">
      <c r="A88" s="3114">
        <v>16</v>
      </c>
      <c r="B88" s="3886"/>
      <c r="C88" s="3088" t="s">
        <v>2685</v>
      </c>
      <c r="D88" s="3088" t="s">
        <v>2686</v>
      </c>
      <c r="E88" s="3114">
        <v>0.1</v>
      </c>
      <c r="F88" s="3114">
        <v>15</v>
      </c>
    </row>
    <row r="89" spans="1:6" ht="24">
      <c r="A89" s="3114">
        <v>17</v>
      </c>
      <c r="B89" s="3895"/>
      <c r="C89" s="3088" t="s">
        <v>2687</v>
      </c>
      <c r="D89" s="3088" t="s">
        <v>2688</v>
      </c>
      <c r="E89" s="3114">
        <v>0.1</v>
      </c>
      <c r="F89" s="3114">
        <v>15</v>
      </c>
    </row>
    <row r="90" spans="1:6" ht="13.5">
      <c r="A90" s="3114">
        <v>18</v>
      </c>
      <c r="B90" s="3891" t="s">
        <v>2689</v>
      </c>
      <c r="C90" s="3088" t="s">
        <v>2690</v>
      </c>
      <c r="D90" s="3088" t="s">
        <v>2691</v>
      </c>
      <c r="E90" s="3114">
        <v>0.2</v>
      </c>
      <c r="F90" s="3114">
        <v>25</v>
      </c>
    </row>
    <row r="91" spans="1:6" ht="24">
      <c r="A91" s="3114">
        <v>19</v>
      </c>
      <c r="B91" s="3886"/>
      <c r="C91" s="3088" t="s">
        <v>2692</v>
      </c>
      <c r="D91" s="3088" t="s">
        <v>2693</v>
      </c>
      <c r="E91" s="3114">
        <v>0.2</v>
      </c>
      <c r="F91" s="3114">
        <v>25</v>
      </c>
    </row>
    <row r="92" spans="1:6" ht="13.5">
      <c r="A92" s="3114">
        <v>20</v>
      </c>
      <c r="B92" s="3886"/>
      <c r="C92" s="3088" t="s">
        <v>2694</v>
      </c>
      <c r="D92" s="3088" t="s">
        <v>2695</v>
      </c>
      <c r="E92" s="3114">
        <v>0.15</v>
      </c>
      <c r="F92" s="3114">
        <v>20</v>
      </c>
    </row>
    <row r="93" spans="1:6" ht="13.5">
      <c r="A93" s="3114">
        <v>21</v>
      </c>
      <c r="B93" s="3886"/>
      <c r="C93" s="3088" t="s">
        <v>2696</v>
      </c>
      <c r="D93" s="3088" t="s">
        <v>2697</v>
      </c>
      <c r="E93" s="3114">
        <v>0.15</v>
      </c>
      <c r="F93" s="3114">
        <v>20</v>
      </c>
    </row>
    <row r="94" spans="1:6" ht="13.5">
      <c r="A94" s="3114">
        <v>22</v>
      </c>
      <c r="B94" s="3886"/>
      <c r="C94" s="3088" t="s">
        <v>2698</v>
      </c>
      <c r="D94" s="3088" t="s">
        <v>2699</v>
      </c>
      <c r="E94" s="3114">
        <v>0.15</v>
      </c>
      <c r="F94" s="3114">
        <v>20</v>
      </c>
    </row>
    <row r="95" spans="1:6" ht="36">
      <c r="A95" s="3114">
        <v>23</v>
      </c>
      <c r="B95" s="3886"/>
      <c r="C95" s="3088" t="s">
        <v>2700</v>
      </c>
      <c r="D95" s="3088" t="s">
        <v>2701</v>
      </c>
      <c r="E95" s="3114">
        <v>0.15</v>
      </c>
      <c r="F95" s="3114">
        <v>20</v>
      </c>
    </row>
    <row r="96" spans="1:6" ht="13.5">
      <c r="A96" s="3114">
        <v>24</v>
      </c>
      <c r="B96" s="3886"/>
      <c r="C96" s="3088" t="s">
        <v>2702</v>
      </c>
      <c r="D96" s="3088" t="s">
        <v>2703</v>
      </c>
      <c r="E96" s="3114">
        <v>0.1</v>
      </c>
      <c r="F96" s="3114">
        <v>15</v>
      </c>
    </row>
    <row r="97" spans="1:6" ht="13.5">
      <c r="A97" s="3114">
        <v>25</v>
      </c>
      <c r="B97" s="3886"/>
      <c r="C97" s="3088" t="s">
        <v>2704</v>
      </c>
      <c r="D97" s="3088" t="s">
        <v>2705</v>
      </c>
      <c r="E97" s="3114">
        <v>0.1</v>
      </c>
      <c r="F97" s="3114">
        <v>15</v>
      </c>
    </row>
    <row r="98" spans="1:6" ht="24">
      <c r="A98" s="3114">
        <v>26</v>
      </c>
      <c r="B98" s="3886"/>
      <c r="C98" s="3088" t="s">
        <v>2706</v>
      </c>
      <c r="D98" s="3088" t="s">
        <v>2707</v>
      </c>
      <c r="E98" s="3114">
        <v>0.1</v>
      </c>
      <c r="F98" s="3114">
        <v>15</v>
      </c>
    </row>
    <row r="99" spans="1:6" ht="24">
      <c r="A99" s="3114">
        <v>27</v>
      </c>
      <c r="B99" s="3886"/>
      <c r="C99" s="3088" t="s">
        <v>2708</v>
      </c>
      <c r="D99" s="3088" t="s">
        <v>2709</v>
      </c>
      <c r="E99" s="3114">
        <v>0.1</v>
      </c>
      <c r="F99" s="3114">
        <v>15</v>
      </c>
    </row>
    <row r="100" spans="1:6" ht="13.5">
      <c r="A100" s="3114">
        <v>28</v>
      </c>
      <c r="B100" s="3886"/>
      <c r="C100" s="3088" t="s">
        <v>2710</v>
      </c>
      <c r="D100" s="3088" t="s">
        <v>2711</v>
      </c>
      <c r="E100" s="3114">
        <v>0.1</v>
      </c>
      <c r="F100" s="3114">
        <v>15</v>
      </c>
    </row>
    <row r="101" spans="1:6" ht="13.5">
      <c r="A101" s="3114">
        <v>29</v>
      </c>
      <c r="B101" s="3886"/>
      <c r="C101" s="3088" t="s">
        <v>2712</v>
      </c>
      <c r="D101" s="3088" t="s">
        <v>2713</v>
      </c>
      <c r="E101" s="3114">
        <v>0.1</v>
      </c>
      <c r="F101" s="3114">
        <v>15</v>
      </c>
    </row>
    <row r="102" spans="1:6" ht="13.5">
      <c r="A102" s="3114">
        <v>30</v>
      </c>
      <c r="B102" s="3886"/>
      <c r="C102" s="3088" t="s">
        <v>2714</v>
      </c>
      <c r="D102" s="3088" t="s">
        <v>2715</v>
      </c>
      <c r="E102" s="3114">
        <v>0.1</v>
      </c>
      <c r="F102" s="3114">
        <v>15</v>
      </c>
    </row>
    <row r="103" spans="1:6" ht="24">
      <c r="A103" s="3114">
        <v>31</v>
      </c>
      <c r="B103" s="3886"/>
      <c r="C103" s="3088" t="s">
        <v>2716</v>
      </c>
      <c r="D103" s="3088" t="s">
        <v>2717</v>
      </c>
      <c r="E103" s="3114">
        <v>0.1</v>
      </c>
      <c r="F103" s="3114">
        <v>15</v>
      </c>
    </row>
    <row r="104" spans="1:6" ht="24">
      <c r="A104" s="3114">
        <v>32</v>
      </c>
      <c r="B104" s="3886"/>
      <c r="C104" s="3088" t="s">
        <v>2718</v>
      </c>
      <c r="D104" s="3088" t="s">
        <v>2719</v>
      </c>
      <c r="E104" s="3114">
        <v>0.1</v>
      </c>
      <c r="F104" s="3114">
        <v>15</v>
      </c>
    </row>
    <row r="105" spans="1:6" ht="24">
      <c r="A105" s="3114">
        <v>33</v>
      </c>
      <c r="B105" s="3886"/>
      <c r="C105" s="3088" t="s">
        <v>2720</v>
      </c>
      <c r="D105" s="3088" t="s">
        <v>2721</v>
      </c>
      <c r="E105" s="3114">
        <v>0.1</v>
      </c>
      <c r="F105" s="3114">
        <v>15</v>
      </c>
    </row>
    <row r="106" spans="1:6" ht="24">
      <c r="A106" s="3114">
        <v>34</v>
      </c>
      <c r="B106" s="3895"/>
      <c r="C106" s="3088" t="s">
        <v>2722</v>
      </c>
      <c r="D106" s="3088" t="s">
        <v>2723</v>
      </c>
      <c r="E106" s="3114">
        <v>0.1</v>
      </c>
      <c r="F106" s="3114">
        <v>15</v>
      </c>
    </row>
    <row r="107" spans="1:6" ht="24">
      <c r="A107" s="3114">
        <v>35</v>
      </c>
      <c r="B107" s="3891" t="s">
        <v>2724</v>
      </c>
      <c r="C107" s="3114" t="s">
        <v>2725</v>
      </c>
      <c r="D107" s="3088" t="s">
        <v>2726</v>
      </c>
      <c r="E107" s="3114">
        <v>0.15</v>
      </c>
      <c r="F107" s="3114">
        <v>20</v>
      </c>
    </row>
    <row r="108" spans="1:6" ht="13.5">
      <c r="A108" s="3114">
        <v>36</v>
      </c>
      <c r="B108" s="3886"/>
      <c r="C108" s="3114" t="s">
        <v>2727</v>
      </c>
      <c r="D108" s="3088" t="s">
        <v>2728</v>
      </c>
      <c r="E108" s="3114">
        <v>0.15</v>
      </c>
      <c r="F108" s="3114">
        <v>20</v>
      </c>
    </row>
    <row r="109" spans="1:6" ht="13.5">
      <c r="A109" s="3114">
        <v>37</v>
      </c>
      <c r="B109" s="3886"/>
      <c r="C109" s="3114" t="s">
        <v>2729</v>
      </c>
      <c r="D109" s="3088" t="s">
        <v>2730</v>
      </c>
      <c r="E109" s="3114">
        <v>0.15</v>
      </c>
      <c r="F109" s="3114">
        <v>20</v>
      </c>
    </row>
    <row r="110" spans="1:6" ht="13.5">
      <c r="A110" s="3114">
        <v>38</v>
      </c>
      <c r="B110" s="3886"/>
      <c r="C110" s="3114" t="s">
        <v>2731</v>
      </c>
      <c r="D110" s="3088" t="s">
        <v>2732</v>
      </c>
      <c r="E110" s="3114">
        <v>0.1</v>
      </c>
      <c r="F110" s="3114">
        <v>15</v>
      </c>
    </row>
    <row r="111" spans="1:6" ht="24">
      <c r="A111" s="3114">
        <v>39</v>
      </c>
      <c r="B111" s="3886"/>
      <c r="C111" s="3114" t="s">
        <v>2733</v>
      </c>
      <c r="D111" s="3088" t="s">
        <v>2734</v>
      </c>
      <c r="E111" s="3114">
        <v>0.1</v>
      </c>
      <c r="F111" s="3114">
        <v>15</v>
      </c>
    </row>
    <row r="112" spans="1:6" ht="24">
      <c r="A112" s="3114">
        <v>40</v>
      </c>
      <c r="B112" s="3895"/>
      <c r="C112" s="3114" t="s">
        <v>2735</v>
      </c>
      <c r="D112" s="3088" t="s">
        <v>2736</v>
      </c>
      <c r="E112" s="3114">
        <v>0.1</v>
      </c>
      <c r="F112" s="3114">
        <v>15</v>
      </c>
    </row>
    <row r="113" spans="1:6" ht="13.5">
      <c r="A113" s="3114">
        <v>41</v>
      </c>
      <c r="B113" s="3896" t="s">
        <v>2737</v>
      </c>
      <c r="C113" s="3114" t="s">
        <v>2738</v>
      </c>
      <c r="D113" s="3088" t="s">
        <v>2739</v>
      </c>
      <c r="E113" s="3114">
        <v>0.1</v>
      </c>
      <c r="F113" s="3114">
        <v>15</v>
      </c>
    </row>
    <row r="114" spans="1:6" ht="13.5">
      <c r="A114" s="3114">
        <v>42</v>
      </c>
      <c r="B114" s="3896"/>
      <c r="C114" s="3114" t="s">
        <v>2740</v>
      </c>
      <c r="D114" s="3088" t="s">
        <v>2741</v>
      </c>
      <c r="E114" s="3114">
        <v>0.1</v>
      </c>
      <c r="F114" s="3114">
        <v>15</v>
      </c>
    </row>
    <row r="115" spans="1:6" ht="24">
      <c r="A115" s="3114">
        <v>43</v>
      </c>
      <c r="B115" s="3896"/>
      <c r="C115" s="3114" t="s">
        <v>2742</v>
      </c>
      <c r="D115" s="3088" t="s">
        <v>2743</v>
      </c>
      <c r="E115" s="3114">
        <v>0.1</v>
      </c>
      <c r="F115" s="3114">
        <v>15</v>
      </c>
    </row>
    <row r="116" spans="1:6" ht="13.5">
      <c r="A116" s="3114">
        <v>44</v>
      </c>
      <c r="B116" s="3891" t="s">
        <v>2744</v>
      </c>
      <c r="C116" s="3114" t="s">
        <v>2745</v>
      </c>
      <c r="D116" s="3088" t="s">
        <v>2746</v>
      </c>
      <c r="E116" s="3114">
        <v>0.1</v>
      </c>
      <c r="F116" s="3114">
        <v>15</v>
      </c>
    </row>
    <row r="117" spans="1:6" ht="24">
      <c r="A117" s="3114">
        <v>45</v>
      </c>
      <c r="B117" s="3895"/>
      <c r="C117" s="3088" t="s">
        <v>2747</v>
      </c>
      <c r="D117" s="3088" t="s">
        <v>2748</v>
      </c>
      <c r="E117" s="3114">
        <v>0.1</v>
      </c>
      <c r="F117" s="3114">
        <v>15</v>
      </c>
    </row>
    <row r="118" spans="1:6" ht="24">
      <c r="A118" s="3114">
        <v>46</v>
      </c>
      <c r="B118" s="3891" t="s">
        <v>2749</v>
      </c>
      <c r="C118" s="3114" t="s">
        <v>2750</v>
      </c>
      <c r="D118" s="3088" t="s">
        <v>2751</v>
      </c>
      <c r="E118" s="3114">
        <v>0.1</v>
      </c>
      <c r="F118" s="3114">
        <v>15</v>
      </c>
    </row>
    <row r="119" spans="1:6" ht="24">
      <c r="A119" s="3114">
        <v>47</v>
      </c>
      <c r="B119" s="3895"/>
      <c r="C119" s="3114" t="s">
        <v>2752</v>
      </c>
      <c r="D119" s="3088" t="s">
        <v>2753</v>
      </c>
      <c r="E119" s="3114">
        <v>0.1</v>
      </c>
      <c r="F119" s="3114">
        <v>15</v>
      </c>
    </row>
    <row r="120" spans="1:6" ht="13.5">
      <c r="A120" s="3114">
        <v>48</v>
      </c>
      <c r="B120" s="3891" t="s">
        <v>2754</v>
      </c>
      <c r="C120" s="3114" t="s">
        <v>2755</v>
      </c>
      <c r="D120" s="3088" t="s">
        <v>2756</v>
      </c>
      <c r="E120" s="3114">
        <v>0.1</v>
      </c>
      <c r="F120" s="3114">
        <v>15</v>
      </c>
    </row>
    <row r="121" spans="1:6" ht="13.5">
      <c r="A121" s="3114">
        <v>49</v>
      </c>
      <c r="B121" s="3895"/>
      <c r="C121" s="3114" t="s">
        <v>2757</v>
      </c>
      <c r="D121" s="3088" t="s">
        <v>2758</v>
      </c>
      <c r="E121" s="3114">
        <v>0.1</v>
      </c>
      <c r="F121" s="3114">
        <v>15</v>
      </c>
    </row>
    <row r="122" spans="1:6" ht="24">
      <c r="A122" s="3114">
        <v>50</v>
      </c>
      <c r="B122" s="3896" t="s">
        <v>2759</v>
      </c>
      <c r="C122" s="3114" t="s">
        <v>2760</v>
      </c>
      <c r="D122" s="3088" t="s">
        <v>2761</v>
      </c>
      <c r="E122" s="3114">
        <v>0.1</v>
      </c>
      <c r="F122" s="3114">
        <v>15</v>
      </c>
    </row>
    <row r="123" spans="1:6" ht="24">
      <c r="A123" s="3114">
        <v>51</v>
      </c>
      <c r="B123" s="3896"/>
      <c r="C123" s="3114" t="s">
        <v>2762</v>
      </c>
      <c r="D123" s="3088" t="s">
        <v>2763</v>
      </c>
      <c r="E123" s="3114">
        <v>0.1</v>
      </c>
      <c r="F123" s="3114">
        <v>15</v>
      </c>
    </row>
    <row r="124" spans="1:6" ht="24">
      <c r="A124" s="3114">
        <v>52</v>
      </c>
      <c r="B124" s="3896" t="s">
        <v>2764</v>
      </c>
      <c r="C124" s="3114" t="s">
        <v>2765</v>
      </c>
      <c r="D124" s="3088" t="s">
        <v>2766</v>
      </c>
      <c r="E124" s="3114">
        <v>0.1</v>
      </c>
      <c r="F124" s="3114">
        <v>15</v>
      </c>
    </row>
    <row r="125" spans="1:6" ht="24">
      <c r="A125" s="3114">
        <v>53</v>
      </c>
      <c r="B125" s="3896"/>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96" t="s">
        <v>2772</v>
      </c>
      <c r="C127" s="3114" t="s">
        <v>2773</v>
      </c>
      <c r="D127" s="3088" t="s">
        <v>2774</v>
      </c>
      <c r="E127" s="3114">
        <v>0.1</v>
      </c>
      <c r="F127" s="3114">
        <v>15</v>
      </c>
    </row>
    <row r="128" spans="1:6" ht="13.5">
      <c r="A128" s="3114">
        <v>56</v>
      </c>
      <c r="B128" s="3896"/>
      <c r="C128" s="3114" t="s">
        <v>2775</v>
      </c>
      <c r="D128" s="3088" t="s">
        <v>2776</v>
      </c>
      <c r="E128" s="3114">
        <v>0.1</v>
      </c>
      <c r="F128" s="3114">
        <v>15</v>
      </c>
    </row>
    <row r="129" spans="1:6" ht="24">
      <c r="A129" s="3114">
        <v>57</v>
      </c>
      <c r="B129" s="3896"/>
      <c r="C129" s="3114" t="s">
        <v>2777</v>
      </c>
      <c r="D129" s="3088" t="s">
        <v>2778</v>
      </c>
      <c r="E129" s="3114">
        <v>0.1</v>
      </c>
      <c r="F129" s="3114">
        <v>15</v>
      </c>
    </row>
    <row r="130" spans="1:6" ht="24">
      <c r="A130" s="3114">
        <v>58</v>
      </c>
      <c r="B130" s="3896" t="s">
        <v>2779</v>
      </c>
      <c r="C130" s="3114" t="s">
        <v>2780</v>
      </c>
      <c r="D130" s="3088" t="s">
        <v>2781</v>
      </c>
      <c r="E130" s="3114">
        <v>0.1</v>
      </c>
      <c r="F130" s="3114">
        <v>15</v>
      </c>
    </row>
    <row r="131" spans="1:6" ht="13.5">
      <c r="A131" s="3114">
        <v>59</v>
      </c>
      <c r="B131" s="3896"/>
      <c r="C131" s="3114" t="s">
        <v>2782</v>
      </c>
      <c r="D131" s="3088" t="s">
        <v>2783</v>
      </c>
      <c r="E131" s="3114">
        <v>0.1</v>
      </c>
      <c r="F131" s="3114">
        <v>15</v>
      </c>
    </row>
    <row r="132" spans="1:6" ht="13.5">
      <c r="A132" s="3114">
        <v>60</v>
      </c>
      <c r="B132" s="3891" t="s">
        <v>2784</v>
      </c>
      <c r="C132" s="3114" t="s">
        <v>2785</v>
      </c>
      <c r="D132" s="3088" t="s">
        <v>2786</v>
      </c>
      <c r="E132" s="3114">
        <v>0.1</v>
      </c>
      <c r="F132" s="3114">
        <v>15</v>
      </c>
    </row>
    <row r="133" spans="1:6" ht="13.5">
      <c r="A133" s="3114">
        <v>61</v>
      </c>
      <c r="B133" s="3895"/>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96" t="s">
        <v>2792</v>
      </c>
      <c r="C135" s="3114" t="s">
        <v>2793</v>
      </c>
      <c r="D135" s="3088" t="s">
        <v>2794</v>
      </c>
      <c r="E135" s="3114">
        <v>0.1</v>
      </c>
      <c r="F135" s="3114">
        <v>15</v>
      </c>
    </row>
    <row r="136" spans="1:6" ht="13.5">
      <c r="A136" s="3114">
        <v>64</v>
      </c>
      <c r="B136" s="3896"/>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2801</v>
      </c>
      <c r="B1" s="3123"/>
      <c r="C1" s="3123"/>
      <c r="D1" s="3123"/>
      <c r="E1" s="3123"/>
      <c r="F1" s="3123"/>
      <c r="G1" s="3123"/>
      <c r="H1" s="3123"/>
      <c r="I1" s="3123"/>
      <c r="J1" s="3123"/>
      <c r="K1" s="3123"/>
      <c r="L1" s="3123"/>
      <c r="M1" s="3123"/>
      <c r="N1" s="745"/>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6">
        <f>SUMPRODUCT((A95:A184=ROUNDDOWN(基准地价修正!G3,1))*(B94:M94=基准地价修正!G2)*(B95:M184))</f>
        <v>1.0764</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6">
        <f>SUMPRODUCT((A371:A460=ROUNDDOWN(基准地价修正!G3,1))*(B370:M370=基准地价修正!G2)*(B371:M460))</f>
        <v>0.97989999999999999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145182</v>
      </c>
      <c r="C2" s="2" t="s">
        <v>106</v>
      </c>
      <c r="D2" s="198"/>
      <c r="E2" s="198"/>
      <c r="F2" s="198"/>
      <c r="G2" s="198"/>
    </row>
    <row r="3" spans="1:7" s="199" customFormat="1" ht="18" customHeight="1" thickBot="1">
      <c r="A3" s="202" t="s">
        <v>58</v>
      </c>
      <c r="B3" s="203">
        <f ca="1">ROUND(B2*10000/'数据-汇总表'!E3,0)</f>
        <v>8144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701</v>
      </c>
      <c r="D9" s="841">
        <f>'数据-汇总表'!E5</f>
        <v>43817</v>
      </c>
      <c r="E9" s="224">
        <f>'数据-取费表'!B27</f>
        <v>160</v>
      </c>
      <c r="F9" s="220"/>
      <c r="G9" s="225"/>
    </row>
    <row r="10" spans="1:7" s="213" customFormat="1" ht="13.5" customHeight="1">
      <c r="A10" s="775" t="s">
        <v>356</v>
      </c>
      <c r="B10" s="223" t="s">
        <v>67</v>
      </c>
      <c r="C10" s="224">
        <f>ROUND(D10*E10/10000,0)</f>
        <v>2689</v>
      </c>
      <c r="D10" s="841">
        <f>'数据-汇总表'!E6</f>
        <v>134441</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3565</v>
      </c>
      <c r="D19" s="845">
        <f>'数据-汇总表'!E3</f>
        <v>178258</v>
      </c>
      <c r="E19" s="210">
        <f>'数据-取费表'!B31</f>
        <v>200</v>
      </c>
      <c r="F19" s="230"/>
      <c r="G19" s="1" t="s">
        <v>436</v>
      </c>
    </row>
    <row r="20" spans="1:7" s="213" customFormat="1" ht="13.5" customHeight="1">
      <c r="A20" s="773" t="s">
        <v>419</v>
      </c>
      <c r="B20" s="209" t="s">
        <v>77</v>
      </c>
      <c r="C20" s="231">
        <f>ROUND((C5+C19)*F20,0)</f>
        <v>604</v>
      </c>
      <c r="D20" s="231"/>
      <c r="E20" s="231"/>
      <c r="F20" s="232">
        <f>'数据-取费表'!B37</f>
        <v>2.5000000000000001E-2</v>
      </c>
      <c r="G20" s="1063" t="s">
        <v>430</v>
      </c>
    </row>
    <row r="21" spans="1:7" s="213" customFormat="1" ht="13.5" customHeight="1">
      <c r="A21" s="773" t="s">
        <v>421</v>
      </c>
      <c r="B21" s="209" t="s">
        <v>78</v>
      </c>
      <c r="C21" s="234">
        <f>F21</f>
        <v>2.5000000000000001E-2</v>
      </c>
      <c r="D21" s="235" t="s">
        <v>99</v>
      </c>
      <c r="E21" s="231"/>
      <c r="F21" s="232">
        <f>'数据-取费表'!B38</f>
        <v>2.5000000000000001E-2</v>
      </c>
      <c r="G21" s="233" t="s">
        <v>79</v>
      </c>
    </row>
    <row r="22" spans="1:7" s="213" customFormat="1" ht="13.5" customHeight="1">
      <c r="A22" s="773" t="s">
        <v>341</v>
      </c>
      <c r="B22" s="209" t="s">
        <v>80</v>
      </c>
      <c r="C22" s="1100">
        <f ca="1">ROUND(SUM(C23:C25),0)</f>
        <v>2380</v>
      </c>
      <c r="D22" s="234">
        <f ca="1">C26</f>
        <v>1.1999999999999999E-3</v>
      </c>
      <c r="E22" s="235" t="s">
        <v>99</v>
      </c>
      <c r="F22" s="236">
        <f ca="1">'数据-取费表'!B40</f>
        <v>4.7500000000000001E-2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2004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347</v>
      </c>
      <c r="D24" s="237"/>
      <c r="E24" s="237"/>
      <c r="F24" s="238"/>
      <c r="G24" s="239" t="s">
        <v>82</v>
      </c>
    </row>
    <row r="25" spans="1:7" s="213" customFormat="1" ht="24">
      <c r="A25" s="776" t="s">
        <v>348</v>
      </c>
      <c r="B25" s="214" t="s">
        <v>420</v>
      </c>
      <c r="C25" s="1101">
        <f ca="1">ROUND(IF('数据-取费表'!B22&lt;=1,C20*F22*'数据-取费表'!B23/2,C20*(POWER((1+F22),'数据-取费表'!B23/2)-1)),0)</f>
        <v>29</v>
      </c>
      <c r="D25" s="237"/>
      <c r="E25" s="240"/>
      <c r="F25" s="238"/>
      <c r="G25" s="241" t="s">
        <v>83</v>
      </c>
    </row>
    <row r="26" spans="1:7" s="213" customFormat="1">
      <c r="A26" s="776" t="s">
        <v>350</v>
      </c>
      <c r="B26" s="214" t="s">
        <v>422</v>
      </c>
      <c r="C26" s="237">
        <f ca="1">ROUND(IF('数据-取费表'!B22&lt;=1,F21*F22*'数据-取费表'!B23/2,F21*(POWER((1+F22),'数据-取费表'!B23/2)-1)),4)</f>
        <v>1.1999999999999999E-3</v>
      </c>
      <c r="D26" s="237"/>
      <c r="E26" s="240"/>
      <c r="F26" s="238"/>
      <c r="G26" s="242"/>
    </row>
    <row r="27" spans="1:7" s="213" customFormat="1" ht="24.75">
      <c r="A27" s="773" t="s">
        <v>342</v>
      </c>
      <c r="B27" s="243" t="s">
        <v>85</v>
      </c>
      <c r="C27" s="244">
        <f>C28</f>
        <v>3221</v>
      </c>
      <c r="D27" s="234">
        <f>C29</f>
        <v>3.3E-3</v>
      </c>
      <c r="E27" s="235" t="s">
        <v>99</v>
      </c>
      <c r="F27" s="245">
        <f>'数据-取费表'!Q16</f>
        <v>0.13</v>
      </c>
      <c r="G27" s="246" t="s">
        <v>431</v>
      </c>
    </row>
    <row r="28" spans="1:7" s="213" customFormat="1" ht="13.5" customHeight="1">
      <c r="A28" s="776" t="s">
        <v>349</v>
      </c>
      <c r="B28" s="247" t="s">
        <v>424</v>
      </c>
      <c r="C28" s="248">
        <f>ROUND((C5+C19+C20)*F27*'数据-取费表'!B21/'数据-取费表'!B20,0)</f>
        <v>3221</v>
      </c>
      <c r="D28" s="234"/>
      <c r="E28" s="235"/>
      <c r="F28" s="245"/>
      <c r="G28" s="246"/>
    </row>
    <row r="29" spans="1:7" s="213" customFormat="1" ht="13.5" customHeight="1">
      <c r="A29" s="776" t="s">
        <v>347</v>
      </c>
      <c r="B29" s="247" t="s">
        <v>425</v>
      </c>
      <c r="C29" s="237">
        <f>ROUND(C21*F27*'数据-取费表'!B21/'数据-取费表'!B20,4)</f>
        <v>3.3E-3</v>
      </c>
      <c r="D29" s="234"/>
      <c r="E29" s="235"/>
      <c r="F29" s="245"/>
      <c r="G29" s="246"/>
    </row>
    <row r="30" spans="1:7" s="213" customFormat="1" ht="13.5" customHeight="1">
      <c r="A30" s="773"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33089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87010</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74329</v>
      </c>
      <c r="D34" s="216"/>
      <c r="E34" s="219"/>
      <c r="F34" s="256">
        <f>IF('数据-取费表'!B24=0,1,'数据-取费表'!N16)</f>
        <v>1</v>
      </c>
      <c r="G34" s="218" t="s">
        <v>89</v>
      </c>
    </row>
    <row r="35" spans="1:7" ht="13.5" customHeight="1">
      <c r="A35" s="776" t="s">
        <v>351</v>
      </c>
      <c r="B35" s="214" t="s">
        <v>33</v>
      </c>
      <c r="C35" s="219">
        <f>ROUND(C34*F35,0)</f>
        <v>5946</v>
      </c>
      <c r="D35" s="219"/>
      <c r="E35" s="219"/>
      <c r="F35" s="258">
        <f>'数据-取费表'!B33</f>
        <v>0.08</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2055</v>
      </c>
      <c r="D36" s="219"/>
      <c r="E36" s="219"/>
      <c r="F36" s="258">
        <f>'数据-取费表'!B34</f>
        <v>0.1</v>
      </c>
      <c r="G36" s="259" t="s">
        <v>35</v>
      </c>
    </row>
    <row r="37" spans="1:7" s="257" customFormat="1" ht="13.5" customHeight="1">
      <c r="A37" s="776" t="s">
        <v>353</v>
      </c>
      <c r="B37" s="214" t="s">
        <v>91</v>
      </c>
      <c r="C37" s="248">
        <f>ROUND(E37*D37*F34/10000,0)</f>
        <v>3565</v>
      </c>
      <c r="D37" s="216">
        <f>'数据-汇总表'!E3</f>
        <v>178258</v>
      </c>
      <c r="E37" s="248">
        <f>'数据-取费表'!B35</f>
        <v>200</v>
      </c>
      <c r="F37" s="258"/>
      <c r="G37" s="260" t="s">
        <v>92</v>
      </c>
    </row>
    <row r="38" spans="1:7" ht="13.5" customHeight="1">
      <c r="A38" s="776" t="s">
        <v>354</v>
      </c>
      <c r="B38" s="214" t="s">
        <v>36</v>
      </c>
      <c r="C38" s="219">
        <f>ROUND(C34*F38,0)</f>
        <v>1115</v>
      </c>
      <c r="D38" s="219"/>
      <c r="E38" s="219"/>
      <c r="F38" s="258">
        <f>'数据-取费表'!B36</f>
        <v>1.4999999999999999E-2</v>
      </c>
      <c r="G38" s="218" t="s">
        <v>90</v>
      </c>
    </row>
    <row r="39" spans="1:7" s="213" customFormat="1" ht="13.5" customHeight="1">
      <c r="A39" s="773" t="s">
        <v>338</v>
      </c>
      <c r="B39" s="209" t="s">
        <v>77</v>
      </c>
      <c r="C39" s="231">
        <f>ROUND(C33*F20,0)</f>
        <v>2175</v>
      </c>
      <c r="D39" s="231"/>
      <c r="E39" s="231"/>
      <c r="F39" s="232"/>
      <c r="G39" s="1063" t="s">
        <v>433</v>
      </c>
    </row>
    <row r="40" spans="1:7" s="213" customFormat="1" ht="13.5" customHeight="1">
      <c r="A40" s="773" t="s">
        <v>339</v>
      </c>
      <c r="B40" s="209" t="s">
        <v>78</v>
      </c>
      <c r="C40" s="261">
        <f>F21</f>
        <v>2.5000000000000001E-2</v>
      </c>
      <c r="D40" s="235" t="s">
        <v>102</v>
      </c>
      <c r="E40" s="231"/>
      <c r="F40" s="232"/>
      <c r="G40" s="233" t="s">
        <v>93</v>
      </c>
    </row>
    <row r="41" spans="1:7" s="213" customFormat="1" ht="13.5" customHeight="1">
      <c r="A41" s="773" t="s">
        <v>340</v>
      </c>
      <c r="B41" s="209" t="s">
        <v>80</v>
      </c>
      <c r="C41" s="231">
        <f ca="1">ROUND(SUM(C42:C43),0)</f>
        <v>4236</v>
      </c>
      <c r="D41" s="234">
        <f ca="1">C44</f>
        <v>1.1999999999999999E-3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4133</v>
      </c>
      <c r="D42" s="237"/>
      <c r="E42" s="237"/>
      <c r="F42" s="238"/>
      <c r="G42" s="3802" t="s">
        <v>94</v>
      </c>
    </row>
    <row r="43" spans="1:7" ht="13.5" customHeight="1">
      <c r="A43" s="776" t="s">
        <v>347</v>
      </c>
      <c r="B43" s="214" t="s">
        <v>426</v>
      </c>
      <c r="C43" s="237">
        <f ca="1">ROUND(IF('数据-取费表'!B22&lt;=1,C39*F22*'数据-取费表'!B21/2,C39*(POWER((1+F22),'数据-取费表'!B21/2)-1)),0)</f>
        <v>103</v>
      </c>
      <c r="D43" s="237"/>
      <c r="E43" s="237"/>
      <c r="F43" s="238"/>
      <c r="G43" s="3803"/>
    </row>
    <row r="44" spans="1:7" ht="13.5" customHeight="1">
      <c r="A44" s="776" t="s">
        <v>348</v>
      </c>
      <c r="B44" s="214" t="s">
        <v>428</v>
      </c>
      <c r="C44" s="237">
        <f ca="1">ROUND(IF('数据-取费表'!B22&lt;=1,C40*F22*'数据-取费表'!B21/2,C40*(POWER((1+F22),'数据-取费表'!B21/2)-1)),4)</f>
        <v>1.1999999999999999E-3</v>
      </c>
      <c r="D44" s="237"/>
      <c r="E44" s="237"/>
      <c r="F44" s="238"/>
      <c r="G44" s="3804"/>
    </row>
    <row r="45" spans="1:7" s="213" customFormat="1" ht="13.5" customHeight="1">
      <c r="A45" s="773" t="s">
        <v>341</v>
      </c>
      <c r="B45" s="243" t="s">
        <v>85</v>
      </c>
      <c r="C45" s="244">
        <f>C46</f>
        <v>11594</v>
      </c>
      <c r="D45" s="234">
        <f>C47</f>
        <v>3.3E-3</v>
      </c>
      <c r="E45" s="235" t="s">
        <v>102</v>
      </c>
      <c r="F45" s="245"/>
      <c r="G45" s="246" t="s">
        <v>434</v>
      </c>
    </row>
    <row r="46" spans="1:7" s="213" customFormat="1" ht="13.5" customHeight="1">
      <c r="A46" s="776" t="s">
        <v>349</v>
      </c>
      <c r="B46" s="247" t="s">
        <v>427</v>
      </c>
      <c r="C46" s="248">
        <f>ROUND((C33+C39)*F27,0)</f>
        <v>11594</v>
      </c>
      <c r="D46" s="262"/>
      <c r="E46" s="235"/>
      <c r="F46" s="245"/>
      <c r="G46" s="246"/>
    </row>
    <row r="47" spans="1:7" s="213" customFormat="1" ht="13.5" customHeight="1">
      <c r="A47" s="776" t="s">
        <v>347</v>
      </c>
      <c r="B47" s="247" t="s">
        <v>429</v>
      </c>
      <c r="C47" s="237">
        <f>ROUND(C40*F27,4)</f>
        <v>3.3E-3</v>
      </c>
      <c r="D47" s="262"/>
      <c r="E47" s="235"/>
      <c r="F47" s="245"/>
      <c r="G47" s="246"/>
    </row>
    <row r="48" spans="1:7" s="213" customFormat="1" ht="13.5" customHeight="1">
      <c r="A48" s="773" t="s">
        <v>342</v>
      </c>
      <c r="B48" s="209" t="s">
        <v>95</v>
      </c>
      <c r="C48" s="261">
        <f>F30</f>
        <v>5.5000000000000007E-2</v>
      </c>
      <c r="D48" s="235" t="s">
        <v>103</v>
      </c>
      <c r="E48" s="231"/>
      <c r="F48" s="236"/>
      <c r="G48" s="233" t="s">
        <v>96</v>
      </c>
    </row>
    <row r="49" spans="1:7" ht="16.5" customHeight="1">
      <c r="A49" s="773" t="s">
        <v>343</v>
      </c>
      <c r="B49" s="209" t="s">
        <v>104</v>
      </c>
      <c r="C49" s="231">
        <f ca="1">ROUND((C33+C39+C41+C45)/(1-C40-D41-D45-C48/(1+'数据-取费表'!B42)),0)</f>
        <v>114381</v>
      </c>
      <c r="D49" s="231"/>
      <c r="E49" s="231"/>
      <c r="F49" s="263"/>
      <c r="G49" s="233" t="s">
        <v>435</v>
      </c>
    </row>
    <row r="50" spans="1:7" s="257" customFormat="1" ht="24">
      <c r="A50" s="773" t="s">
        <v>344</v>
      </c>
      <c r="B50" s="209" t="s">
        <v>97</v>
      </c>
      <c r="C50" s="231"/>
      <c r="D50" s="231"/>
      <c r="E50" s="231"/>
      <c r="F50" s="263">
        <f>IF('数据-取费表'!B24=0,'数据-取费表'!N16,1)</f>
        <v>0.98</v>
      </c>
      <c r="G50" s="246" t="s">
        <v>98</v>
      </c>
    </row>
    <row r="51" spans="1:7" ht="16.5" customHeight="1">
      <c r="A51" s="773" t="s">
        <v>345</v>
      </c>
      <c r="B51" s="209" t="s">
        <v>105</v>
      </c>
      <c r="C51" s="231">
        <f ca="1">ROUND(C49*F50,0)</f>
        <v>112093</v>
      </c>
      <c r="D51" s="231"/>
      <c r="E51" s="231"/>
      <c r="F51" s="263"/>
      <c r="G51" s="233" t="s">
        <v>37</v>
      </c>
    </row>
    <row r="52" spans="1:7" s="207" customFormat="1" ht="16.5" thickBot="1">
      <c r="A52" s="264" t="s">
        <v>38</v>
      </c>
      <c r="B52" s="265"/>
      <c r="C52" s="266">
        <f ca="1">C31+C51</f>
        <v>145182</v>
      </c>
      <c r="D52" s="265"/>
      <c r="E52" s="265"/>
      <c r="F52" s="265"/>
      <c r="G52" s="267"/>
    </row>
    <row r="55" spans="1:7" ht="15">
      <c r="B55" s="269" t="s">
        <v>39</v>
      </c>
      <c r="C55" s="270"/>
    </row>
    <row r="56" spans="1:7">
      <c r="B56" s="272" t="s">
        <v>40</v>
      </c>
      <c r="C56" s="273">
        <f ca="1">ROUND(C51/C52,3)</f>
        <v>0.77200000000000002</v>
      </c>
    </row>
    <row r="57" spans="1:7">
      <c r="B57" s="272" t="s">
        <v>41</v>
      </c>
      <c r="C57" s="274">
        <f ca="1">1-C56</f>
        <v>0.22799999999999998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99" t="s">
        <v>2844</v>
      </c>
      <c r="B1" s="3899"/>
      <c r="C1" s="3899"/>
      <c r="D1" s="3899"/>
      <c r="E1" s="3899"/>
      <c r="F1" s="3899"/>
      <c r="G1" s="390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97"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9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01" t="s">
        <v>3186</v>
      </c>
      <c r="B1" s="3901"/>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902" t="s">
        <v>3237</v>
      </c>
      <c r="B1" s="3902"/>
      <c r="C1" s="3902"/>
      <c r="D1" s="3902"/>
      <c r="E1" s="3902"/>
      <c r="F1" s="3903"/>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R34" sqref="R34"/>
    </sheetView>
  </sheetViews>
  <sheetFormatPr defaultRowHeight="13.5"/>
  <cols>
    <col min="1" max="1" width="13.875" customWidth="1"/>
    <col min="11" max="17" width="0" hidden="1" customWidth="1"/>
    <col min="25" max="30" width="0" hidden="1" customWidth="1"/>
  </cols>
  <sheetData>
    <row r="1" spans="1:30">
      <c r="A1" s="3217">
        <f>基准地价修正!G23</f>
        <v>45159</v>
      </c>
      <c r="B1" s="3206" t="s">
        <v>2843</v>
      </c>
      <c r="C1" s="3207"/>
      <c r="D1" s="3207"/>
      <c r="E1" s="3207"/>
      <c r="F1" s="3207"/>
      <c r="G1" s="3207"/>
      <c r="H1" s="3207"/>
      <c r="I1" s="3207"/>
      <c r="J1" s="3161"/>
      <c r="K1" s="3207" t="s">
        <v>454</v>
      </c>
      <c r="L1" s="3207"/>
      <c r="M1" s="3207"/>
      <c r="N1" s="3207"/>
      <c r="O1" s="3207"/>
      <c r="P1" s="3207"/>
      <c r="Q1" s="3161"/>
      <c r="R1" s="3904" t="s">
        <v>456</v>
      </c>
      <c r="S1" s="3905"/>
      <c r="T1" s="3905"/>
      <c r="U1" s="3905"/>
      <c r="V1" s="3905"/>
      <c r="W1" s="3905"/>
      <c r="X1" s="3161"/>
      <c r="Y1" s="3904" t="s">
        <v>457</v>
      </c>
      <c r="Z1" s="3905"/>
      <c r="AA1" s="3905"/>
      <c r="AB1" s="3905"/>
      <c r="AC1" s="3905"/>
      <c r="AD1" s="3905"/>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ROUND(IF([3]项目基本情况!B8="出让",SUMPRODUCT(PRODUCT(1+K9:K16)),SUMPRODUCT(PRODUCT(1+K9:K15))),4)</f>
        <v>1.0565</v>
      </c>
      <c r="S9" s="3179">
        <f>ROUND(IF([3]项目基本情况!B8="出让",SUMPRODUCT(PRODUCT(1+L9:L16)),SUMPRODUCT(PRODUCT(1+L9:L15))),4)</f>
        <v>1.0250999999999999</v>
      </c>
      <c r="T9" s="3179">
        <f>ROUND(IF([3]项目基本情况!B8="出让",SUMPRODUCT(PRODUCT(1+M9:M16)),SUMPRODUCT(PRODUCT(1+M9:M15))),4)</f>
        <v>1.0145</v>
      </c>
      <c r="U9" s="3179">
        <f>ROUND(IF([3]项目基本情况!B8="出让",SUMPRODUCT(PRODUCT(1+N9:N16)),SUMPRODUCT(PRODUCT(1+N9:N15))),4)</f>
        <v>1.0618000000000001</v>
      </c>
      <c r="V9" s="3179">
        <f>ROUND(IF([3]项目基本情况!B8="出让",SUMPRODUCT(PRODUCT(1+O9:O16)),SUMPRODUCT(PRODUCT(1+O9:O15))),4)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3"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904" t="s">
        <v>2831</v>
      </c>
      <c r="S21" s="3905"/>
      <c r="T21" s="3905"/>
      <c r="U21" s="3905"/>
      <c r="V21" s="3905"/>
      <c r="W21" s="3905"/>
      <c r="X21" s="3161"/>
      <c r="Y21" s="3904" t="s">
        <v>2832</v>
      </c>
      <c r="Z21" s="3905"/>
      <c r="AA21" s="3905"/>
      <c r="AB21" s="3905"/>
      <c r="AC21" s="3905"/>
      <c r="AD21" s="390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1.0396000000000001</v>
      </c>
      <c r="T25" s="3179">
        <f>ROUND(IF([3]项目基本情况!$B$8="出让",SUMPRODUCT(PRODUCT(1+M25:M$36)),SUMPRODUCT(PRODUCT(1+M25:M$35))),4)</f>
        <v>1.0269999999999999</v>
      </c>
      <c r="U25" s="3179">
        <f>ROUND(IF([3]项目基本情况!$B$8="出让",SUMPRODUCT(PRODUCT(1+N25:N$36)),SUMPRODUCT(PRODUCT(1+N25:N$35))),4)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1.0396000000000001</v>
      </c>
      <c r="T26" s="3179">
        <f>ROUND(IF([3]项目基本情况!$B$8="出让",SUMPRODUCT(PRODUCT(1+M26:M$36)),SUMPRODUCT(PRODUCT(1+M26:M$35))),4)</f>
        <v>1.0269999999999999</v>
      </c>
      <c r="U26" s="3179">
        <f>ROUND(IF([3]项目基本情况!$B$8="出让",SUMPRODUCT(PRODUCT(1+N26:N$36)),SUMPRODUCT(PRODUCT(1+N26:N$35))),4)</f>
        <v>1.0668</v>
      </c>
      <c r="V26" s="3179"/>
      <c r="W26" s="3179">
        <f t="shared" ref="W26:W28" si="32">T26</f>
        <v>1.0269999999999999</v>
      </c>
      <c r="X26" s="3177"/>
      <c r="Y26" s="3180"/>
      <c r="Z26" s="3208"/>
      <c r="AA26" s="3444"/>
      <c r="AB26" s="3444"/>
      <c r="AC26" s="3209"/>
      <c r="AD26" s="3180"/>
    </row>
    <row r="27" spans="1:30" s="3191" customFormat="1" ht="12.75">
      <c r="A27" s="3182" t="s">
        <v>3375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ROUND(IF([3]项目基本情况!$B$8="出让",SUMPRODUCT(PRODUCT(1+L27:L$36)),SUMPRODUCT(PRODUCT(1+L27:L$35))),4)</f>
        <v>1.0396000000000001</v>
      </c>
      <c r="T27" s="3188">
        <f>ROUND(IF([3]项目基本情况!$B$8="出让",SUMPRODUCT(PRODUCT(1+M27:M$36)),SUMPRODUCT(PRODUCT(1+M27:M$35))),4)</f>
        <v>1.0269999999999999</v>
      </c>
      <c r="U27" s="3188">
        <f>ROUND(IF([3]项目基本情况!$B$8="出让",SUMPRODUCT(PRODUCT(1+N27:N$36)),SUMPRODUCT(PRODUCT(1+N27:N$35))),4)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ROUND(IF([3]项目基本情况!$B$8="出让",SUMPRODUCT(PRODUCT(1+L28:L$36)),SUMPRODUCT(PRODUCT(1+L28:L$35))),4)</f>
        <v>1.0344</v>
      </c>
      <c r="T28" s="3179">
        <f>ROUND(IF([3]项目基本情况!$B$8="出让",SUMPRODUCT(PRODUCT(1+M28:M$36)),SUMPRODUCT(PRODUCT(1+M28:M$35))),4)</f>
        <v>1.0224</v>
      </c>
      <c r="U28" s="3179">
        <f>ROUND(IF([3]项目基本情况!$B$8="出让",SUMPRODUCT(PRODUCT(1+N28:N$36)),SUMPRODUCT(PRODUCT(1+N28:N$35))),4)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ROUND(IF([3]项目基本情况!$B$8="出让",SUMPRODUCT(PRODUCT(1+L29:L$36)),SUMPRODUCT(PRODUCT(1+L29:L$35))),4)</f>
        <v>1.0286999999999999</v>
      </c>
      <c r="T29" s="3179">
        <f>ROUND(IF([3]项目基本情况!$B$8="出让",SUMPRODUCT(PRODUCT(1+M29:M$36)),SUMPRODUCT(PRODUCT(1+M29:M$35))),4)</f>
        <v>1.0164</v>
      </c>
      <c r="U29" s="3179">
        <f>ROUND(IF([3]项目基本情况!$B$8="出让",SUMPRODUCT(PRODUCT(1+N29:N$36)),SUMPRODUCT(PRODUCT(1+N29:N$35))),4)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3"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1" t="s">
        <v>452</v>
      </c>
      <c r="C1" s="3911"/>
      <c r="D1" s="3911"/>
      <c r="E1" s="3911"/>
      <c r="F1" s="3911"/>
      <c r="G1" s="3907" t="s">
        <v>453</v>
      </c>
      <c r="H1" s="3907"/>
      <c r="I1" s="3907"/>
      <c r="J1" s="3907"/>
      <c r="K1" s="3907"/>
      <c r="L1" s="3907"/>
      <c r="N1" s="3907" t="s">
        <v>454</v>
      </c>
      <c r="O1" s="3907"/>
      <c r="P1" s="3907"/>
      <c r="Q1" s="3907"/>
      <c r="S1" s="3907" t="s">
        <v>455</v>
      </c>
      <c r="T1" s="3907"/>
      <c r="U1" s="3907"/>
      <c r="V1" s="3907"/>
      <c r="X1" s="3906" t="s">
        <v>456</v>
      </c>
      <c r="Y1" s="3907"/>
      <c r="Z1" s="3907"/>
      <c r="AA1" s="3907"/>
      <c r="AB1" s="3907"/>
      <c r="AD1" s="3906" t="s">
        <v>457</v>
      </c>
      <c r="AE1" s="3907"/>
      <c r="AF1" s="3907"/>
      <c r="AG1" s="3907"/>
      <c r="AH1" s="390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0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0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0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1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91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0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0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1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0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0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1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0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0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0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1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0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0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0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1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1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0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0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0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1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0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0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0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1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0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0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0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1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0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0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0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1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0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0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0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1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0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0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0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1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0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0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0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1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0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0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0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1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0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0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0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1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0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0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0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1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0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0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0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1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45159</v>
      </c>
      <c r="D1" s="1298" t="s">
        <v>603</v>
      </c>
      <c r="E1" s="1293">
        <f>'数据-取费表'!B22</f>
        <v>2</v>
      </c>
      <c r="F1" s="1298" t="s">
        <v>604</v>
      </c>
      <c r="G1" s="1294">
        <f ca="1">INDIRECT("d"&amp;$K$1)/100</f>
        <v>3.5499999999999997E-2</v>
      </c>
      <c r="H1" s="1298" t="s">
        <v>634</v>
      </c>
      <c r="I1" s="1294">
        <f ca="1">F4/100</f>
        <v>1.4999999999999999E-2</v>
      </c>
      <c r="J1" s="1299">
        <f>IF(C1&gt;C13,0,MATCH(C1,C$13:C$110,-1))+IF(SUMIF(C13:C110,C1,D13:D110)=0,13,12)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3.55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3.55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3.55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3.55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45097</v>
      </c>
      <c r="D13" s="2818">
        <v>3.55</v>
      </c>
      <c r="E13" s="2818">
        <f>D13</f>
        <v>3.55</v>
      </c>
      <c r="F13" s="2818">
        <f>D13</f>
        <v>3.55</v>
      </c>
      <c r="G13" s="2818">
        <f>D13</f>
        <v>3.55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44795</v>
      </c>
      <c r="D14" s="2813">
        <v>3.65</v>
      </c>
      <c r="E14" s="2813">
        <v>3.65</v>
      </c>
      <c r="F14" s="2813">
        <v>3.65</v>
      </c>
      <c r="G14" s="2813">
        <v>3.65</v>
      </c>
      <c r="H14" s="2813">
        <v>4.3</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44701</v>
      </c>
      <c r="D15" s="2813">
        <v>3.7</v>
      </c>
      <c r="E15" s="2813">
        <f>D15</f>
        <v>3.7</v>
      </c>
      <c r="F15" s="2813">
        <f>D15</f>
        <v>3.7</v>
      </c>
      <c r="G15" s="2813">
        <f>D15</f>
        <v>3.7</v>
      </c>
      <c r="H15" s="2813">
        <v>4.45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44581</v>
      </c>
      <c r="D16" s="2813">
        <v>3.7</v>
      </c>
      <c r="E16" s="2813">
        <f>D16</f>
        <v>3.7</v>
      </c>
      <c r="F16" s="2813">
        <f>D16</f>
        <v>3.7</v>
      </c>
      <c r="G16" s="2813">
        <f>D16</f>
        <v>3.7</v>
      </c>
      <c r="H16" s="2813">
        <v>4.5999999999999996</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44550</v>
      </c>
      <c r="D17" s="2813">
        <v>3.8</v>
      </c>
      <c r="E17" s="2813">
        <f>D17</f>
        <v>3.8</v>
      </c>
      <c r="F17" s="2813">
        <f>D17</f>
        <v>3.8</v>
      </c>
      <c r="G17" s="2813">
        <f>D17</f>
        <v>3.8</v>
      </c>
      <c r="H17" s="2813">
        <v>4.6500000000000004</v>
      </c>
      <c r="I17" s="2813"/>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43881</v>
      </c>
      <c r="D19" s="2813">
        <v>4.05</v>
      </c>
      <c r="E19" s="2813">
        <v>4.05</v>
      </c>
      <c r="F19" s="2813">
        <v>4.05</v>
      </c>
      <c r="G19" s="2813">
        <v>4.05</v>
      </c>
      <c r="H19" s="2813">
        <v>4.75</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43789</v>
      </c>
      <c r="D20" s="2813">
        <v>4.1500000000000004</v>
      </c>
      <c r="E20" s="2813">
        <v>4.1500000000000004</v>
      </c>
      <c r="F20" s="2813">
        <v>4.1500000000000004</v>
      </c>
      <c r="G20" s="2813">
        <v>4.1500000000000004</v>
      </c>
      <c r="H20" s="2813">
        <v>4.8</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43728</v>
      </c>
      <c r="D21" s="2813">
        <v>4.2</v>
      </c>
      <c r="E21" s="2813">
        <v>4.2</v>
      </c>
      <c r="F21" s="2813">
        <v>4.2</v>
      </c>
      <c r="G21" s="2813">
        <v>4.2</v>
      </c>
      <c r="H21" s="2813">
        <v>4.8499999999999996</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t="s">
        <v>2313</v>
      </c>
      <c r="C22" s="2815">
        <v>43697</v>
      </c>
      <c r="D22" s="2816">
        <v>4.25</v>
      </c>
      <c r="E22" s="2816">
        <v>4.25</v>
      </c>
      <c r="F22" s="2816">
        <v>4.25</v>
      </c>
      <c r="G22" s="2816">
        <v>4.25</v>
      </c>
      <c r="H22" s="2816">
        <v>4.8499999999999996</v>
      </c>
      <c r="I22" s="2816"/>
      <c r="J22" s="2816"/>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20"/>
      <c r="C23" s="2821">
        <v>42301</v>
      </c>
      <c r="D23" s="2822">
        <v>4.3499999999999996</v>
      </c>
      <c r="E23" s="2822">
        <v>4.3499999999999996</v>
      </c>
      <c r="F23" s="2822">
        <v>4.75</v>
      </c>
      <c r="G23" s="2822">
        <v>4.75</v>
      </c>
      <c r="H23" s="2822">
        <v>4.9000000000000004</v>
      </c>
      <c r="I23" s="2822"/>
      <c r="J23" s="2822"/>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42242</v>
      </c>
      <c r="D24" s="1286">
        <v>4.5999999999999996</v>
      </c>
      <c r="E24" s="1286">
        <v>4.5999999999999996</v>
      </c>
      <c r="F24" s="1286">
        <v>5</v>
      </c>
      <c r="G24" s="1286">
        <v>5</v>
      </c>
      <c r="H24" s="1286">
        <v>5.15</v>
      </c>
      <c r="I24" s="1286">
        <v>2.75</v>
      </c>
      <c r="J24" s="1286">
        <v>3.25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42183</v>
      </c>
      <c r="D25" s="1286">
        <v>4.8499999999999996</v>
      </c>
      <c r="E25" s="1286">
        <v>4.8499999999999996</v>
      </c>
      <c r="F25" s="1286">
        <v>5.25</v>
      </c>
      <c r="G25" s="1286">
        <v>5.25</v>
      </c>
      <c r="H25" s="1286">
        <v>5.4</v>
      </c>
      <c r="I25" s="1286">
        <v>3</v>
      </c>
      <c r="J25" s="1286">
        <v>3.5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42135</v>
      </c>
      <c r="D26" s="1286">
        <v>5.0999999999999996</v>
      </c>
      <c r="E26" s="1286">
        <v>5.0999999999999996</v>
      </c>
      <c r="F26" s="1286">
        <v>5.5</v>
      </c>
      <c r="G26" s="1286">
        <v>5.5</v>
      </c>
      <c r="H26" s="1286">
        <v>5.65</v>
      </c>
      <c r="I26" s="1286">
        <v>3.25</v>
      </c>
      <c r="J26" s="1286">
        <v>3.75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42064</v>
      </c>
      <c r="D27" s="1286">
        <v>5.35</v>
      </c>
      <c r="E27" s="1286">
        <v>5.35</v>
      </c>
      <c r="F27" s="1286">
        <v>5.75</v>
      </c>
      <c r="G27" s="1286">
        <v>5.75</v>
      </c>
      <c r="H27" s="1286">
        <v>5.9</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41965</v>
      </c>
      <c r="D28" s="1286">
        <v>5.6</v>
      </c>
      <c r="E28" s="1286">
        <v>5.6</v>
      </c>
      <c r="F28" s="1286">
        <v>6</v>
      </c>
      <c r="G28" s="1286">
        <v>6</v>
      </c>
      <c r="H28" s="1286">
        <v>6.15</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41096</v>
      </c>
      <c r="D29" s="1286">
        <v>5.6</v>
      </c>
      <c r="E29" s="1286">
        <v>6</v>
      </c>
      <c r="F29" s="1286">
        <v>6.15</v>
      </c>
      <c r="G29" s="1286">
        <v>6.4</v>
      </c>
      <c r="H29" s="1286">
        <v>6.55</v>
      </c>
      <c r="I29" s="1286">
        <v>4</v>
      </c>
      <c r="J29" s="1286">
        <v>4.5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41068</v>
      </c>
      <c r="D30" s="1286">
        <v>5.85</v>
      </c>
      <c r="E30" s="1286">
        <v>6.31</v>
      </c>
      <c r="F30" s="1286">
        <v>6.4</v>
      </c>
      <c r="G30" s="1286">
        <v>6.65</v>
      </c>
      <c r="H30" s="1286">
        <v>6.8</v>
      </c>
      <c r="I30" s="1286">
        <v>4.2</v>
      </c>
      <c r="J30" s="1286">
        <v>4.7</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40731</v>
      </c>
      <c r="D31" s="1286">
        <v>6.1</v>
      </c>
      <c r="E31" s="1286">
        <v>6.56</v>
      </c>
      <c r="F31" s="1286">
        <v>6.65</v>
      </c>
      <c r="G31" s="1286">
        <v>6.9</v>
      </c>
      <c r="H31" s="1286">
        <v>7.05</v>
      </c>
      <c r="I31" s="1286">
        <v>4.45</v>
      </c>
      <c r="J31" s="1286">
        <v>4.9000000000000004</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40639</v>
      </c>
      <c r="D32" s="1286">
        <v>5.85</v>
      </c>
      <c r="E32" s="1286">
        <v>6.31</v>
      </c>
      <c r="F32" s="1286">
        <v>6.4</v>
      </c>
      <c r="G32" s="1286">
        <v>6.65</v>
      </c>
      <c r="H32" s="1286">
        <v>6.8</v>
      </c>
      <c r="I32" s="1286">
        <v>4.2</v>
      </c>
      <c r="J32" s="1286">
        <v>4.7</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40583</v>
      </c>
      <c r="D33" s="1286">
        <v>5.6</v>
      </c>
      <c r="E33" s="1286">
        <v>6.06</v>
      </c>
      <c r="F33" s="1286">
        <v>6.1</v>
      </c>
      <c r="G33" s="1286">
        <v>6.45</v>
      </c>
      <c r="H33" s="1286">
        <v>6.6</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40538</v>
      </c>
      <c r="D34" s="1286">
        <v>5.35</v>
      </c>
      <c r="E34" s="1286">
        <v>5.81</v>
      </c>
      <c r="F34" s="1286">
        <v>5.85</v>
      </c>
      <c r="G34" s="1286">
        <v>6.22</v>
      </c>
      <c r="H34" s="1286">
        <v>6.4</v>
      </c>
      <c r="I34" s="1286">
        <v>3.75</v>
      </c>
      <c r="J34" s="1286">
        <v>4.3</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40471</v>
      </c>
      <c r="D35" s="1286">
        <v>5.0999999999999996</v>
      </c>
      <c r="E35" s="1286">
        <v>5.56</v>
      </c>
      <c r="F35" s="1286">
        <v>5.6</v>
      </c>
      <c r="G35" s="1286">
        <v>5.96</v>
      </c>
      <c r="H35" s="1286">
        <v>6.14</v>
      </c>
      <c r="I35" s="1286">
        <v>3.5</v>
      </c>
      <c r="J35" s="1286">
        <v>4.05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39805</v>
      </c>
      <c r="D36" s="1286">
        <v>4.8600000000000003</v>
      </c>
      <c r="E36" s="1286">
        <v>5.31</v>
      </c>
      <c r="F36" s="1286">
        <v>5.4</v>
      </c>
      <c r="G36" s="1286">
        <v>5.76</v>
      </c>
      <c r="H36" s="1286">
        <v>5.94</v>
      </c>
      <c r="I36" s="1286">
        <v>3.33</v>
      </c>
      <c r="J36" s="1286">
        <v>3.87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39779</v>
      </c>
      <c r="D37" s="1286">
        <v>5.04</v>
      </c>
      <c r="E37" s="1286">
        <v>5.58</v>
      </c>
      <c r="F37" s="1286">
        <v>5.67</v>
      </c>
      <c r="G37" s="1286">
        <v>5.94</v>
      </c>
      <c r="H37" s="1286">
        <v>6.12</v>
      </c>
      <c r="I37" s="1286">
        <v>3.51</v>
      </c>
      <c r="J37" s="1286">
        <v>4.05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39751</v>
      </c>
      <c r="D38" s="1286">
        <v>6.03</v>
      </c>
      <c r="E38" s="1286">
        <v>6.66</v>
      </c>
      <c r="F38" s="1286">
        <v>6.75</v>
      </c>
      <c r="G38" s="1286">
        <v>7.02</v>
      </c>
      <c r="H38" s="1286">
        <v>7.2</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8">
        <v>39748</v>
      </c>
      <c r="D39" s="1286">
        <v>6.12</v>
      </c>
      <c r="E39" s="1286">
        <v>6.93</v>
      </c>
      <c r="F39" s="1286">
        <v>7.02</v>
      </c>
      <c r="G39" s="1286">
        <v>7.29</v>
      </c>
      <c r="H39" s="1286">
        <v>7.47</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39730</v>
      </c>
      <c r="D40" s="1286">
        <v>6.12</v>
      </c>
      <c r="E40" s="1286">
        <v>6.93</v>
      </c>
      <c r="F40" s="1286">
        <v>7.02</v>
      </c>
      <c r="G40" s="1286">
        <v>7.29</v>
      </c>
      <c r="H40" s="1286">
        <v>7.47</v>
      </c>
      <c r="I40" s="1286">
        <v>4.32</v>
      </c>
      <c r="J40" s="1286">
        <v>4.8600000000000003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39707</v>
      </c>
      <c r="D41" s="1286">
        <v>6.21</v>
      </c>
      <c r="E41" s="1286">
        <v>7.2</v>
      </c>
      <c r="F41" s="1286">
        <v>7.29</v>
      </c>
      <c r="G41" s="1286">
        <v>7.56</v>
      </c>
      <c r="H41" s="1286">
        <v>7.74</v>
      </c>
      <c r="I41" s="1286">
        <v>4.59</v>
      </c>
      <c r="J41" s="1286">
        <v>5.13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39437</v>
      </c>
      <c r="D42" s="1286">
        <v>6.57</v>
      </c>
      <c r="E42" s="1286">
        <v>7.47</v>
      </c>
      <c r="F42" s="1286">
        <v>7.56</v>
      </c>
      <c r="G42" s="1286">
        <v>7.74</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39340</v>
      </c>
      <c r="D43" s="1286">
        <v>6.48</v>
      </c>
      <c r="E43" s="1286">
        <v>7.29</v>
      </c>
      <c r="F43" s="1286">
        <v>7.47</v>
      </c>
      <c r="G43" s="1286">
        <v>7.65</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39316</v>
      </c>
      <c r="D44" s="1286">
        <v>6.21</v>
      </c>
      <c r="E44" s="1286">
        <v>7.02</v>
      </c>
      <c r="F44" s="1286">
        <v>7.2</v>
      </c>
      <c r="G44" s="1286">
        <v>7.38</v>
      </c>
      <c r="H44" s="1286">
        <v>7.56</v>
      </c>
      <c r="I44" s="1286">
        <v>4.59</v>
      </c>
      <c r="J44" s="1286">
        <v>5.04</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39284</v>
      </c>
      <c r="D45" s="1286">
        <v>6.03</v>
      </c>
      <c r="E45" s="1286">
        <v>6.84</v>
      </c>
      <c r="F45" s="1286">
        <v>7.02</v>
      </c>
      <c r="G45" s="1286">
        <v>7.2</v>
      </c>
      <c r="H45" s="1286">
        <v>7.38</v>
      </c>
      <c r="I45" s="1286">
        <v>4.5</v>
      </c>
      <c r="J45" s="1286">
        <v>4.95</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39221</v>
      </c>
      <c r="D46" s="1286">
        <v>5.85</v>
      </c>
      <c r="E46" s="1286">
        <v>6.57</v>
      </c>
      <c r="F46" s="1286">
        <v>6.75</v>
      </c>
      <c r="G46" s="1286">
        <v>6.93</v>
      </c>
      <c r="H46" s="1286">
        <v>7.2</v>
      </c>
      <c r="I46" s="1286">
        <v>4.41</v>
      </c>
      <c r="J46" s="1286">
        <v>4.8600000000000003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39159</v>
      </c>
      <c r="D47" s="1286">
        <v>5.67</v>
      </c>
      <c r="E47" s="1286">
        <v>6.39</v>
      </c>
      <c r="F47" s="1286">
        <v>6.57</v>
      </c>
      <c r="G47" s="1286">
        <v>6.75</v>
      </c>
      <c r="H47" s="1286">
        <v>7.11</v>
      </c>
      <c r="I47" s="1286">
        <v>4.32</v>
      </c>
      <c r="J47" s="1286">
        <v>4.7699999999999996</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38948</v>
      </c>
      <c r="D48" s="1286">
        <v>5.58</v>
      </c>
      <c r="E48" s="1286">
        <v>6.12</v>
      </c>
      <c r="F48" s="1286">
        <v>6.3</v>
      </c>
      <c r="G48" s="1286">
        <v>6.48</v>
      </c>
      <c r="H48" s="1286">
        <v>6.84</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38835</v>
      </c>
      <c r="D49" s="1286">
        <v>5.4</v>
      </c>
      <c r="E49" s="1286">
        <v>5.85</v>
      </c>
      <c r="F49" s="1286">
        <v>6.03</v>
      </c>
      <c r="G49" s="1286">
        <v>6.12</v>
      </c>
      <c r="H49" s="1286">
        <v>6.39</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38428</v>
      </c>
      <c r="D50" s="1286">
        <v>5.22</v>
      </c>
      <c r="E50" s="1286">
        <v>5.58</v>
      </c>
      <c r="F50" s="1286">
        <v>5.76</v>
      </c>
      <c r="G50" s="1286">
        <v>5.85</v>
      </c>
      <c r="H50" s="1286">
        <v>6.12</v>
      </c>
      <c r="I50" s="1286">
        <v>3.96</v>
      </c>
      <c r="J50" s="1286">
        <v>4.41</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38289</v>
      </c>
      <c r="D51" s="1286">
        <v>5.22</v>
      </c>
      <c r="E51" s="1286">
        <v>5.58</v>
      </c>
      <c r="F51" s="1286">
        <v>5.76</v>
      </c>
      <c r="G51" s="1286">
        <v>5.85</v>
      </c>
      <c r="H51" s="1286">
        <v>6.12</v>
      </c>
      <c r="I51" s="1286">
        <v>3.78</v>
      </c>
      <c r="J51" s="1286">
        <v>4.2300000000000004</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37308</v>
      </c>
      <c r="D52" s="1286">
        <v>5.04</v>
      </c>
      <c r="E52" s="1286">
        <v>5.31</v>
      </c>
      <c r="F52" s="1286">
        <v>5.49</v>
      </c>
      <c r="G52" s="1286">
        <v>5.58</v>
      </c>
      <c r="H52" s="1286">
        <v>5.76</v>
      </c>
      <c r="I52" s="1286">
        <v>3.6</v>
      </c>
      <c r="J52" s="1286">
        <v>4.05</v>
      </c>
      <c r="L52" s="1286"/>
      <c r="M52" s="1287"/>
      <c r="N52" s="1286"/>
      <c r="O52" s="1286"/>
      <c r="P52" s="1286"/>
      <c r="Q52" s="1286"/>
      <c r="R52" s="1286"/>
      <c r="S52" s="1286"/>
      <c r="T52" s="1286"/>
      <c r="U52" s="1286"/>
      <c r="V52" s="1286"/>
      <c r="W52" s="1286"/>
      <c r="X52" s="1286"/>
      <c r="Y52" s="1286"/>
      <c r="Z52" s="1286"/>
    </row>
    <row r="53" spans="2:26">
      <c r="B53" s="1286"/>
      <c r="C53" s="1287">
        <v>36321</v>
      </c>
      <c r="D53" s="1286">
        <v>5.58</v>
      </c>
      <c r="E53" s="1286">
        <v>5.85</v>
      </c>
      <c r="F53" s="1286">
        <v>5.94</v>
      </c>
      <c r="G53" s="1286">
        <v>6.03</v>
      </c>
      <c r="H53" s="1286">
        <v>6.21</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36136</v>
      </c>
      <c r="D54" s="1286">
        <v>6.12</v>
      </c>
      <c r="E54" s="1286">
        <v>6.39</v>
      </c>
      <c r="F54" s="1286">
        <v>6.66</v>
      </c>
      <c r="G54" s="1286">
        <v>7.2</v>
      </c>
      <c r="H54" s="1286">
        <v>7.56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35977</v>
      </c>
      <c r="D55" s="1286">
        <v>6.57</v>
      </c>
      <c r="E55" s="1286">
        <v>6.93</v>
      </c>
      <c r="F55" s="1286">
        <v>7.11</v>
      </c>
      <c r="G55" s="1286">
        <v>7.65</v>
      </c>
      <c r="H55" s="1286">
        <v>8.01</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35879</v>
      </c>
      <c r="D56" s="1286">
        <v>7.02</v>
      </c>
      <c r="E56" s="1286">
        <v>7.92</v>
      </c>
      <c r="F56" s="1286">
        <v>9</v>
      </c>
      <c r="G56" s="1286">
        <v>9.7200000000000006</v>
      </c>
      <c r="H56" s="1286">
        <v>10.35</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35726</v>
      </c>
      <c r="D57" s="1286">
        <v>7.65</v>
      </c>
      <c r="E57" s="1286">
        <v>8.64</v>
      </c>
      <c r="F57" s="1286">
        <v>9.36</v>
      </c>
      <c r="G57" s="1286">
        <v>9.9</v>
      </c>
      <c r="H57" s="1286">
        <v>10.53</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35300</v>
      </c>
      <c r="D58" s="1286">
        <v>9.18</v>
      </c>
      <c r="E58" s="1286">
        <v>10.08</v>
      </c>
      <c r="F58" s="1286">
        <v>10.98</v>
      </c>
      <c r="G58" s="1286">
        <v>11.7</v>
      </c>
      <c r="H58" s="1286">
        <v>12.42</v>
      </c>
      <c r="I58" s="1286">
        <v>0</v>
      </c>
      <c r="J58" s="1286">
        <v>0</v>
      </c>
    </row>
    <row r="59" spans="2:26">
      <c r="B59" s="1286"/>
      <c r="C59" s="1287">
        <v>35186</v>
      </c>
      <c r="D59" s="1286">
        <v>9.7200000000000006</v>
      </c>
      <c r="E59" s="1286">
        <v>10.98</v>
      </c>
      <c r="F59" s="1286">
        <v>13.14</v>
      </c>
      <c r="G59" s="1286">
        <v>14.94</v>
      </c>
      <c r="H59" s="1286">
        <v>15.12</v>
      </c>
      <c r="I59" s="1286">
        <v>0</v>
      </c>
      <c r="J59" s="1286">
        <v>0</v>
      </c>
    </row>
    <row r="60" spans="2:26">
      <c r="B60" s="1286"/>
      <c r="C60" s="1287">
        <v>34881</v>
      </c>
      <c r="D60" s="1286">
        <v>10.08</v>
      </c>
      <c r="E60" s="1286">
        <v>12.06</v>
      </c>
      <c r="F60" s="1286">
        <v>13.5</v>
      </c>
      <c r="G60" s="1286">
        <v>15.12</v>
      </c>
      <c r="H60" s="1286">
        <v>15.3</v>
      </c>
      <c r="I60" s="1286">
        <v>0</v>
      </c>
      <c r="J60" s="1286">
        <v>0</v>
      </c>
    </row>
    <row r="61" spans="2:26">
      <c r="B61" s="1286"/>
      <c r="C61" s="1287">
        <v>34700</v>
      </c>
      <c r="D61" s="1286">
        <v>9</v>
      </c>
      <c r="E61" s="1286">
        <v>10.98</v>
      </c>
      <c r="F61" s="1286">
        <v>12.96</v>
      </c>
      <c r="G61" s="1286">
        <v>14.58</v>
      </c>
      <c r="H61" s="1286">
        <v>14.76</v>
      </c>
      <c r="I61" s="1286">
        <v>0</v>
      </c>
      <c r="J61" s="1286">
        <v>0</v>
      </c>
    </row>
    <row r="62" spans="2:26">
      <c r="B62" s="1286"/>
      <c r="C62" s="1287">
        <v>34161</v>
      </c>
      <c r="D62" s="1286">
        <v>9</v>
      </c>
      <c r="E62" s="1286">
        <v>10.98</v>
      </c>
      <c r="F62" s="1286">
        <v>12.24</v>
      </c>
      <c r="G62" s="1286">
        <v>13.86</v>
      </c>
      <c r="H62" s="1286">
        <v>14.04</v>
      </c>
      <c r="I62" s="1286">
        <v>0</v>
      </c>
      <c r="J62" s="1286">
        <v>0</v>
      </c>
    </row>
    <row r="63" spans="2:26">
      <c r="B63" s="1286"/>
      <c r="C63" s="1287">
        <v>34104</v>
      </c>
      <c r="D63" s="1286">
        <v>8.82</v>
      </c>
      <c r="E63" s="1286">
        <v>9.36</v>
      </c>
      <c r="F63" s="1286">
        <v>10.8</v>
      </c>
      <c r="G63" s="1286">
        <v>12.06</v>
      </c>
      <c r="H63" s="1286">
        <v>12.24</v>
      </c>
      <c r="I63" s="1286">
        <v>0</v>
      </c>
      <c r="J63" s="1286">
        <v>0</v>
      </c>
    </row>
    <row r="64" spans="2:26">
      <c r="B64" s="1286"/>
      <c r="C64" s="1287">
        <v>33349</v>
      </c>
      <c r="D64" s="1286">
        <v>8.1</v>
      </c>
      <c r="E64" s="1286">
        <v>8.64</v>
      </c>
      <c r="F64" s="1286">
        <v>9</v>
      </c>
      <c r="G64" s="1286">
        <v>9.5399999999999991</v>
      </c>
      <c r="H64" s="1286">
        <v>9.7200000000000006</v>
      </c>
      <c r="I64" s="1286">
        <v>0</v>
      </c>
      <c r="J64" s="1286">
        <v>0</v>
      </c>
    </row>
    <row r="65" spans="2:10">
      <c r="B65" s="1286"/>
      <c r="C65" s="1287">
        <v>33318</v>
      </c>
      <c r="D65" s="1286">
        <v>9</v>
      </c>
      <c r="E65" s="1286">
        <v>10.08</v>
      </c>
      <c r="F65" s="1286">
        <v>10.8</v>
      </c>
      <c r="G65" s="1286">
        <v>11.52</v>
      </c>
      <c r="H65" s="1286">
        <v>11.88</v>
      </c>
      <c r="I65" s="1286" t="s">
        <v>633</v>
      </c>
      <c r="J65" s="1286" t="s">
        <v>633</v>
      </c>
    </row>
    <row r="66" spans="2:10">
      <c r="B66" s="1286"/>
      <c r="C66" s="1287">
        <v>33106</v>
      </c>
      <c r="D66" s="1286">
        <v>8.64</v>
      </c>
      <c r="E66" s="1286">
        <v>9.36</v>
      </c>
      <c r="F66" s="1286">
        <v>10.08</v>
      </c>
      <c r="G66" s="1286">
        <v>10.8</v>
      </c>
      <c r="H66" s="1286">
        <v>11.16</v>
      </c>
      <c r="I66" s="1286">
        <v>0</v>
      </c>
      <c r="J66" s="1286">
        <v>0</v>
      </c>
    </row>
    <row r="67" spans="2:10">
      <c r="B67" s="1286"/>
      <c r="C67" s="1287">
        <v>32540</v>
      </c>
      <c r="D67" s="1286">
        <v>11.34</v>
      </c>
      <c r="E67" s="1286">
        <v>11.34</v>
      </c>
      <c r="F67" s="1286">
        <v>12.78</v>
      </c>
      <c r="G67" s="1286">
        <v>14.4</v>
      </c>
      <c r="H67" s="1286">
        <v>19.260000000000002</v>
      </c>
      <c r="I67" s="1286">
        <v>0</v>
      </c>
      <c r="J67" s="1286">
        <v>0</v>
      </c>
    </row>
    <row r="68" spans="2:10">
      <c r="B68" s="1286"/>
      <c r="C68" s="1287"/>
      <c r="D68" s="1286"/>
      <c r="E68" s="1286"/>
      <c r="F68" s="1286"/>
      <c r="G68" s="1286"/>
      <c r="H68" s="1286"/>
      <c r="I68" s="1286"/>
      <c r="J68" s="1286"/>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38"/>
      <c r="C72" s="1238"/>
      <c r="D72" s="1238"/>
      <c r="E72" s="1238"/>
      <c r="F72" s="1238"/>
      <c r="G72" s="1238"/>
      <c r="H72" s="1238"/>
      <c r="I72" s="1238"/>
      <c r="J72" s="1238"/>
    </row>
    <row r="73" spans="2:10">
      <c r="B73" s="1238"/>
      <c r="C73" s="1238"/>
      <c r="D73" s="1238"/>
      <c r="E73" s="1238"/>
      <c r="F73" s="1238"/>
      <c r="G73" s="1238"/>
      <c r="H73" s="1238"/>
      <c r="I73" s="1238"/>
      <c r="J73" s="1238"/>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95" t="s">
        <v>956</v>
      </c>
      <c r="B15" s="3590" t="s">
        <v>109</v>
      </c>
      <c r="C15" s="3591"/>
    </row>
    <row r="16" spans="1:7" ht="13.5">
      <c r="A16" s="3596"/>
      <c r="B16" s="3590" t="s">
        <v>42</v>
      </c>
      <c r="C16" s="3591"/>
    </row>
    <row r="17" spans="1:3" ht="13.5">
      <c r="A17" s="3596"/>
      <c r="B17" s="3593" t="s">
        <v>957</v>
      </c>
      <c r="C17" s="1528" t="s">
        <v>956</v>
      </c>
    </row>
    <row r="18" spans="1:3" ht="13.5">
      <c r="A18" s="3596"/>
      <c r="B18" s="3593"/>
      <c r="C18" s="1528" t="s">
        <v>958</v>
      </c>
    </row>
    <row r="19" spans="1:3" ht="13.5">
      <c r="A19" s="3596"/>
      <c r="B19" s="3593"/>
      <c r="C19" s="1528" t="s">
        <v>959</v>
      </c>
    </row>
    <row r="20" spans="1:3" ht="13.5">
      <c r="A20" s="3597"/>
      <c r="B20" s="3592" t="s">
        <v>960</v>
      </c>
      <c r="C20" s="3591"/>
    </row>
    <row r="21" spans="1:3" ht="13.5">
      <c r="A21" s="1529" t="s">
        <v>961</v>
      </c>
      <c r="B21" s="1530"/>
      <c r="C21" s="1531"/>
    </row>
    <row r="22" spans="1:3" ht="13.5">
      <c r="A22" s="3594" t="s">
        <v>962</v>
      </c>
      <c r="B22" s="3592" t="s">
        <v>963</v>
      </c>
      <c r="C22" s="3591"/>
    </row>
    <row r="23" spans="1:3" ht="13.5">
      <c r="A23" s="3594"/>
      <c r="B23" s="3592" t="s">
        <v>964</v>
      </c>
      <c r="C23" s="3591"/>
    </row>
    <row r="24" spans="1:3" ht="13.5">
      <c r="A24" s="3594"/>
      <c r="B24" s="3592" t="s">
        <v>965</v>
      </c>
      <c r="C24" s="3591"/>
    </row>
    <row r="25" spans="1:3" ht="13.5">
      <c r="A25" s="3594"/>
      <c r="B25" s="3593" t="s">
        <v>966</v>
      </c>
      <c r="C25" s="1528" t="s">
        <v>967</v>
      </c>
    </row>
    <row r="26" spans="1:3" ht="13.5">
      <c r="A26" s="3594"/>
      <c r="B26" s="3593"/>
      <c r="C26" s="1528" t="s">
        <v>968</v>
      </c>
    </row>
    <row r="27" spans="1:3" ht="13.5">
      <c r="A27" s="3594"/>
      <c r="B27" s="3593"/>
      <c r="C27" s="1528" t="s">
        <v>969</v>
      </c>
    </row>
    <row r="28" spans="1:3" ht="13.5">
      <c r="A28" s="3594"/>
      <c r="B28" s="3593"/>
      <c r="C28" s="1528" t="s">
        <v>970</v>
      </c>
    </row>
    <row r="29" spans="1:3" ht="13.5">
      <c r="A29" s="3594"/>
      <c r="B29" s="3593"/>
      <c r="C29" s="1528" t="s">
        <v>971</v>
      </c>
    </row>
    <row r="30" spans="1:3" ht="13.5">
      <c r="A30" s="3594"/>
      <c r="B30" s="3593"/>
      <c r="C30" s="1528" t="s">
        <v>972</v>
      </c>
    </row>
    <row r="31" spans="1:3" ht="13.5">
      <c r="A31" s="3594"/>
      <c r="B31" s="3593"/>
      <c r="C31" s="1528" t="s">
        <v>973</v>
      </c>
    </row>
    <row r="32" spans="1:3" ht="13.5">
      <c r="A32" s="3594"/>
      <c r="B32" s="3593"/>
      <c r="C32" s="1528" t="s">
        <v>974</v>
      </c>
    </row>
    <row r="33" spans="1:3" ht="13.5">
      <c r="A33" s="3594"/>
      <c r="B33" s="359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45281</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98" t="s">
        <v>2160</v>
      </c>
      <c r="B17" s="3598"/>
      <c r="C17" s="3598"/>
      <c r="D17" s="3598"/>
      <c r="E17" s="3598"/>
      <c r="F17" s="3598"/>
      <c r="G17" s="3598"/>
      <c r="H17" s="3598"/>
    </row>
    <row r="18" spans="1:8" ht="24" customHeight="1">
      <c r="A18" s="3599" t="s">
        <v>2161</v>
      </c>
      <c r="B18" s="3599"/>
      <c r="C18" s="3599"/>
      <c r="D18" s="2339"/>
      <c r="E18" s="3600" t="s">
        <v>2162</v>
      </c>
      <c r="F18" s="3599"/>
      <c r="G18" s="359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82" priority="53">
      <formula>AND($C4-TODAY()&lt;30,TODAY()&lt;$C4)</formula>
    </cfRule>
  </conditionalFormatting>
  <conditionalFormatting sqref="C20:D20">
    <cfRule type="expression" dxfId="281" priority="52">
      <formula>AND($C20-TODAY()&lt;30,TODAY()&lt;$C20)</formula>
    </cfRule>
  </conditionalFormatting>
  <conditionalFormatting sqref="C20:D20 G4 C4:D5 C13:D13">
    <cfRule type="cellIs" dxfId="280" priority="54" stopIfTrue="1" operator="lessThan">
      <formula>$B$2</formula>
    </cfRule>
  </conditionalFormatting>
  <conditionalFormatting sqref="G5 G7 G9">
    <cfRule type="cellIs" dxfId="279" priority="51" stopIfTrue="1" operator="lessThan">
      <formula>$B$2</formula>
    </cfRule>
  </conditionalFormatting>
  <conditionalFormatting sqref="C6:D6 D14 D16">
    <cfRule type="expression" dxfId="278" priority="49">
      <formula>AND($C6-TODAY()&lt;30,TODAY()&lt;$C6)</formula>
    </cfRule>
  </conditionalFormatting>
  <conditionalFormatting sqref="G6 G8 G10 C6:D6 D7:D12 D14 D16">
    <cfRule type="cellIs" dxfId="277" priority="50" stopIfTrue="1" operator="lessThan">
      <formula>$B$2</formula>
    </cfRule>
  </conditionalFormatting>
  <conditionalFormatting sqref="D12">
    <cfRule type="expression" dxfId="276" priority="47">
      <formula>AND($C12-TODAY()&lt;30,TODAY()&lt;$C12)</formula>
    </cfRule>
  </conditionalFormatting>
  <conditionalFormatting sqref="D12">
    <cfRule type="cellIs" dxfId="275" priority="48" stopIfTrue="1" operator="lessThan">
      <formula>$B$2</formula>
    </cfRule>
  </conditionalFormatting>
  <conditionalFormatting sqref="C13:D13">
    <cfRule type="expression" dxfId="274" priority="45">
      <formula>AND($C13-TODAY()&lt;30,TODAY()&lt;$C13)</formula>
    </cfRule>
  </conditionalFormatting>
  <conditionalFormatting sqref="C13:D13">
    <cfRule type="cellIs" dxfId="273" priority="46" stopIfTrue="1" operator="lessThan">
      <formula>$B$2</formula>
    </cfRule>
  </conditionalFormatting>
  <conditionalFormatting sqref="D14">
    <cfRule type="expression" dxfId="272" priority="43">
      <formula>AND($C14-TODAY()&lt;30,TODAY()&lt;$C14)</formula>
    </cfRule>
  </conditionalFormatting>
  <conditionalFormatting sqref="D14">
    <cfRule type="cellIs" dxfId="271" priority="44" stopIfTrue="1" operator="lessThan">
      <formula>$B$2</formula>
    </cfRule>
  </conditionalFormatting>
  <conditionalFormatting sqref="G13">
    <cfRule type="cellIs" dxfId="270" priority="42" stopIfTrue="1" operator="lessThan">
      <formula>$B$2</formula>
    </cfRule>
  </conditionalFormatting>
  <conditionalFormatting sqref="B4:B11 F4:F11 B13 F13:F14">
    <cfRule type="cellIs" dxfId="269" priority="41" stopIfTrue="1" operator="equal">
      <formula>"已过期"</formula>
    </cfRule>
  </conditionalFormatting>
  <conditionalFormatting sqref="C7">
    <cfRule type="cellIs" dxfId="268" priority="38" stopIfTrue="1" operator="lessThan">
      <formula>$B$2</formula>
    </cfRule>
  </conditionalFormatting>
  <conditionalFormatting sqref="C7">
    <cfRule type="expression" dxfId="267" priority="37">
      <formula>AND($C7-TODAY()&lt;30,TODAY()&lt;$C7)</formula>
    </cfRule>
  </conditionalFormatting>
  <conditionalFormatting sqref="C8">
    <cfRule type="expression" dxfId="266" priority="35">
      <formula>AND($C8-TODAY()&lt;30,TODAY()&lt;$C8)</formula>
    </cfRule>
  </conditionalFormatting>
  <conditionalFormatting sqref="C8">
    <cfRule type="cellIs" dxfId="265" priority="36" stopIfTrue="1" operator="lessThan">
      <formula>$B$2</formula>
    </cfRule>
  </conditionalFormatting>
  <conditionalFormatting sqref="C11">
    <cfRule type="expression" dxfId="264" priority="33">
      <formula>AND($C11-TODAY()&lt;30,TODAY()&lt;$C11)</formula>
    </cfRule>
  </conditionalFormatting>
  <conditionalFormatting sqref="C11">
    <cfRule type="cellIs" dxfId="263" priority="34" stopIfTrue="1" operator="lessThan">
      <formula>$B$2</formula>
    </cfRule>
  </conditionalFormatting>
  <conditionalFormatting sqref="A16:C16">
    <cfRule type="cellIs" dxfId="262" priority="32" stopIfTrue="1" operator="equal">
      <formula>"已过期"</formula>
    </cfRule>
  </conditionalFormatting>
  <conditionalFormatting sqref="E16:G16">
    <cfRule type="cellIs" dxfId="261" priority="31" stopIfTrue="1" operator="equal">
      <formula>"已过期"</formula>
    </cfRule>
  </conditionalFormatting>
  <conditionalFormatting sqref="G11">
    <cfRule type="cellIs" dxfId="260" priority="30"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2">
    <cfRule type="cellIs" dxfId="257" priority="27" stopIfTrue="1" operator="lessThan">
      <formula>$B$2</formula>
    </cfRule>
  </conditionalFormatting>
  <conditionalFormatting sqref="C12">
    <cfRule type="expression" dxfId="256" priority="25">
      <formula>AND($C12-TODAY()&lt;30,TODAY()&lt;$C12)</formula>
    </cfRule>
  </conditionalFormatting>
  <conditionalFormatting sqref="C12">
    <cfRule type="cellIs" dxfId="255" priority="26" stopIfTrue="1" operator="lessThan">
      <formula>$B$2</formula>
    </cfRule>
  </conditionalFormatting>
  <conditionalFormatting sqref="B12">
    <cfRule type="cellIs" dxfId="254" priority="24" stopIfTrue="1" operator="equal">
      <formula>"已过期"</formula>
    </cfRule>
  </conditionalFormatting>
  <conditionalFormatting sqref="C9:C10">
    <cfRule type="expression" dxfId="253" priority="22">
      <formula>AND($C9-TODAY()&lt;30,TODAY()&lt;$C9)</formula>
    </cfRule>
  </conditionalFormatting>
  <conditionalFormatting sqref="C9:C10">
    <cfRule type="cellIs" dxfId="252" priority="23" stopIfTrue="1" operator="lessThan">
      <formula>$B$2</formula>
    </cfRule>
  </conditionalFormatting>
  <conditionalFormatting sqref="G21">
    <cfRule type="expression" dxfId="251" priority="20" stopIfTrue="1">
      <formula>AND(#REF!-TODAY()&lt;30,TODAY()&lt;#REF!)</formula>
    </cfRule>
  </conditionalFormatting>
  <conditionalFormatting sqref="G21">
    <cfRule type="cellIs" dxfId="250" priority="21" stopIfTrue="1" operator="lessThan">
      <formula>$B$2</formula>
    </cfRule>
  </conditionalFormatting>
  <conditionalFormatting sqref="C14">
    <cfRule type="expression" dxfId="249" priority="18">
      <formula>AND($C14-TODAY()&lt;30,TODAY()&lt;$C14)</formula>
    </cfRule>
  </conditionalFormatting>
  <conditionalFormatting sqref="C14">
    <cfRule type="cellIs" dxfId="248" priority="19" stopIfTrue="1" operator="lessThan">
      <formula>$B$2</formula>
    </cfRule>
  </conditionalFormatting>
  <conditionalFormatting sqref="C14">
    <cfRule type="expression" dxfId="247" priority="16">
      <formula>AND($C14-TODAY()&lt;30,TODAY()&lt;$C14)</formula>
    </cfRule>
  </conditionalFormatting>
  <conditionalFormatting sqref="C14">
    <cfRule type="cellIs" dxfId="246" priority="17" stopIfTrue="1" operator="lessThan">
      <formula>$B$2</formula>
    </cfRule>
  </conditionalFormatting>
  <conditionalFormatting sqref="B14">
    <cfRule type="cellIs" dxfId="245" priority="15" stopIfTrue="1" operator="equal">
      <formula>"已过期"</formula>
    </cfRule>
  </conditionalFormatting>
  <conditionalFormatting sqref="G14">
    <cfRule type="cellIs" dxfId="244" priority="14" stopIfTrue="1" operator="lessThan">
      <formula>$B$2</formula>
    </cfRule>
  </conditionalFormatting>
  <conditionalFormatting sqref="D15">
    <cfRule type="expression" dxfId="243" priority="12">
      <formula>AND($C15-TODAY()&lt;30,TODAY()&lt;$C15)</formula>
    </cfRule>
  </conditionalFormatting>
  <conditionalFormatting sqref="D15">
    <cfRule type="cellIs" dxfId="242" priority="13" stopIfTrue="1" operator="lessThan">
      <formula>$B$2</formula>
    </cfRule>
  </conditionalFormatting>
  <conditionalFormatting sqref="D15">
    <cfRule type="expression" dxfId="241" priority="10">
      <formula>AND($C15-TODAY()&lt;30,TODAY()&lt;$C15)</formula>
    </cfRule>
  </conditionalFormatting>
  <conditionalFormatting sqref="D15">
    <cfRule type="cellIs" dxfId="240" priority="11" stopIfTrue="1" operator="lessThan">
      <formula>$B$2</formula>
    </cfRule>
  </conditionalFormatting>
  <conditionalFormatting sqref="F15">
    <cfRule type="cellIs" dxfId="239" priority="9" stopIfTrue="1" operator="equal">
      <formula>"已过期"</formula>
    </cfRule>
  </conditionalFormatting>
  <conditionalFormatting sqref="C15">
    <cfRule type="expression" dxfId="238" priority="7">
      <formula>AND($C15-TODAY()&lt;30,TODAY()&lt;$C15)</formula>
    </cfRule>
  </conditionalFormatting>
  <conditionalFormatting sqref="C15">
    <cfRule type="cellIs" dxfId="237" priority="8" stopIfTrue="1" operator="lessThan">
      <formula>$B$2</formula>
    </cfRule>
  </conditionalFormatting>
  <conditionalFormatting sqref="C15">
    <cfRule type="expression" dxfId="236" priority="5">
      <formula>AND($C15-TODAY()&lt;30,TODAY()&lt;$C15)</formula>
    </cfRule>
  </conditionalFormatting>
  <conditionalFormatting sqref="C15">
    <cfRule type="cellIs" dxfId="235" priority="6" stopIfTrue="1" operator="lessThan">
      <formula>$B$2</formula>
    </cfRule>
  </conditionalFormatting>
  <conditionalFormatting sqref="B15">
    <cfRule type="cellIs" dxfId="234" priority="4" stopIfTrue="1" operator="equal">
      <formula>"已过期"</formula>
    </cfRule>
  </conditionalFormatting>
  <conditionalFormatting sqref="G15">
    <cfRule type="cellIs" dxfId="233" priority="3" stopIfTrue="1" operator="lessThan">
      <formula>$B$2</formula>
    </cfRule>
  </conditionalFormatting>
  <conditionalFormatting sqref="G20">
    <cfRule type="expression" dxfId="232" priority="1" stopIfTrue="1">
      <formula>AND(#REF!-TODAY()&lt;30,TODAY()&lt;#REF!)</formula>
    </cfRule>
  </conditionalFormatting>
  <conditionalFormatting sqref="G20">
    <cfRule type="cellIs" dxfId="23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69</vt:i4>
      </vt:variant>
      <vt:variant>
        <vt:lpstr>命名范围</vt:lpstr>
      </vt:variant>
      <vt:variant>
        <vt:i4>183</vt:i4>
      </vt:variant>
    </vt:vector>
  </HeadingPairs>
  <TitlesOfParts>
    <vt:vector size="2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已售明细</vt:lpstr>
      <vt:lpstr>未售明细</vt:lpstr>
      <vt:lpstr>项目基本情况</vt:lpstr>
      <vt:lpstr>数据-基础表</vt:lpstr>
      <vt:lpstr>数据-汇总表</vt:lpstr>
      <vt:lpstr>数据-取费表</vt:lpstr>
      <vt:lpstr>比较法-中跃住宅</vt:lpstr>
      <vt:lpstr>比较法-下跃住宅</vt:lpstr>
      <vt:lpstr>面积表</vt:lpstr>
      <vt:lpstr>结果表-洋房</vt:lpstr>
      <vt:lpstr>成本法-洋房</vt:lpstr>
      <vt:lpstr>基准地价修正</vt:lpstr>
      <vt:lpstr>土地级别</vt:lpstr>
      <vt:lpstr>估价对象房地状况</vt:lpstr>
      <vt:lpstr>假设开发法</vt:lpstr>
      <vt:lpstr>比较法-洋房</vt:lpstr>
      <vt:lpstr>金地大湖风华中指</vt:lpstr>
      <vt:lpstr>天恒·京西悦府</vt:lpstr>
      <vt:lpstr>中国铁建·山语澜廷中指1</vt:lpstr>
      <vt:lpstr>二手房案例</vt:lpstr>
      <vt:lpstr>天恒·摩墅</vt:lpstr>
      <vt:lpstr>北京半岛中指</vt:lpstr>
      <vt:lpstr>结果表-车位</vt:lpstr>
      <vt:lpstr>比较法-车位</vt:lpstr>
      <vt:lpstr>车位案例</vt:lpstr>
      <vt:lpstr>成本法-车位</vt:lpstr>
      <vt:lpstr>收益法-车位</vt:lpstr>
      <vt:lpstr>系统读取表</vt:lpstr>
      <vt:lpstr>房山项目汇总</vt:lpstr>
      <vt:lpstr>收益法 (元)</vt:lpstr>
      <vt:lpstr>收益法-酒店模型</vt:lpstr>
      <vt:lpstr>收益法（汇总）</vt:lpstr>
      <vt:lpstr>建委熙湖悦著</vt:lpstr>
      <vt:lpstr>熙湖悦著中指</vt:lpstr>
      <vt:lpstr>中国铁建·山语澜廷中指</vt:lpstr>
      <vt:lpstr>东亚朗悦居</vt:lpstr>
      <vt:lpstr>中骏云景台</vt:lpstr>
      <vt:lpstr>北京恒大御峰中指</vt:lpstr>
      <vt:lpstr>比较法-商业</vt:lpstr>
      <vt:lpstr>比较法-办公</vt:lpstr>
      <vt:lpstr>比较法-工业</vt:lpstr>
      <vt:lpstr>土地比较法-住宅、综合</vt:lpstr>
      <vt:lpstr>土地比较法-工业</vt:lpstr>
      <vt:lpstr>典型户型修正</vt:lpstr>
      <vt:lpstr>基准地价（汇总）</vt:lpstr>
      <vt:lpstr>成本法 (元)</vt:lpstr>
      <vt:lpstr>比较法-仓储</vt:lpstr>
      <vt:lpstr>收益法</vt:lpstr>
      <vt:lpstr>洋房租金案例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'比较法-下跃住宅'!Print_Area</vt:lpstr>
      <vt:lpstr>'比较法-洋房'!Print_Area</vt:lpstr>
      <vt:lpstr>'比较法-中跃住宅'!Print_Area</vt:lpstr>
      <vt:lpstr>'成本法 (元)'!Print_Area</vt:lpstr>
      <vt:lpstr>'成本法-车位'!Print_Area</vt:lpstr>
      <vt:lpstr>'成本法-洋房'!Print_Area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'结果表-洋房'!Print_Area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'比较法-下跃住宅'!住宅朝向</vt:lpstr>
      <vt:lpstr>'比较法-中跃住宅'!住宅朝向</vt:lpstr>
      <vt:lpstr>住宅朝向</vt:lpstr>
      <vt:lpstr>'比较法-下跃住宅'!住宅房型</vt:lpstr>
      <vt:lpstr>'比较法-中跃住宅'!住宅房型</vt:lpstr>
      <vt:lpstr>住宅房型</vt:lpstr>
      <vt:lpstr>'比较法-下跃住宅'!住宅公共部分装修</vt:lpstr>
      <vt:lpstr>'比较法-中跃住宅'!住宅公共部分装修</vt:lpstr>
      <vt:lpstr>住宅公共部分装修</vt:lpstr>
      <vt:lpstr>'比较法-下跃住宅'!住宅基础设施水平</vt:lpstr>
      <vt:lpstr>'比较法-中跃住宅'!住宅基础设施水平</vt:lpstr>
      <vt:lpstr>住宅基础设施水平</vt:lpstr>
      <vt:lpstr>'比较法-下跃住宅'!住宅建筑结构</vt:lpstr>
      <vt:lpstr>'比较法-中跃住宅'!住宅建筑结构</vt:lpstr>
      <vt:lpstr>住宅建筑结构</vt:lpstr>
      <vt:lpstr>'比较法-下跃住宅'!住宅建筑类型</vt:lpstr>
      <vt:lpstr>'比较法-中跃住宅'!住宅建筑类型</vt:lpstr>
      <vt:lpstr>住宅建筑类型</vt:lpstr>
      <vt:lpstr>'比较法-下跃住宅'!住宅建筑品质</vt:lpstr>
      <vt:lpstr>'比较法-中跃住宅'!住宅建筑品质</vt:lpstr>
      <vt:lpstr>住宅建筑品质</vt:lpstr>
      <vt:lpstr>'比较法-下跃住宅'!住宅交易情况</vt:lpstr>
      <vt:lpstr>'比较法-中跃住宅'!住宅交易情况</vt:lpstr>
      <vt:lpstr>住宅交易情况</vt:lpstr>
      <vt:lpstr>'比较法-下跃住宅'!住宅楼层</vt:lpstr>
      <vt:lpstr>'比较法-中跃住宅'!住宅楼层</vt:lpstr>
      <vt:lpstr>住宅楼层</vt:lpstr>
      <vt:lpstr>'比较法-下跃住宅'!住宅内部装修</vt:lpstr>
      <vt:lpstr>'比较法-中跃住宅'!住宅内部装修</vt:lpstr>
      <vt:lpstr>住宅内部装修</vt:lpstr>
      <vt:lpstr>'比较法-下跃住宅'!住宅物业管理</vt:lpstr>
      <vt:lpstr>'比较法-中跃住宅'!住宅物业管理</vt:lpstr>
      <vt:lpstr>住宅物业管理</vt:lpstr>
      <vt:lpstr>'比较法-下跃住宅'!住宅用途</vt:lpstr>
      <vt:lpstr>'比较法-中跃住宅'!住宅用途</vt:lpstr>
      <vt:lpstr>住宅用途</vt:lpstr>
      <vt:lpstr>'比较法-下跃住宅'!住宅主力户型面积</vt:lpstr>
      <vt:lpstr>'比较法-中跃住宅'!住宅主力户型面积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2023-12-21T09:17:17Z</dcterms:modified>
</cp:coreProperties>
</file>