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205" yWindow="450" windowWidth="14805" windowHeight="8010" activeTab="1"/>
  </bookViews>
  <sheets>
    <sheet name="主表" sheetId="1" r:id="rId1"/>
    <sheet name="成新率" sheetId="2" r:id="rId2"/>
    <sheet name="利润率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4" i="1" l="1"/>
  <c r="D16" i="1"/>
  <c r="D12" i="1"/>
  <c r="D7" i="1"/>
  <c r="D8" i="1" l="1"/>
  <c r="E3" i="2"/>
  <c r="E4" i="2" l="1"/>
  <c r="E5" i="2"/>
  <c r="E6" i="2"/>
  <c r="E7" i="2"/>
  <c r="E8" i="2"/>
  <c r="E9" i="2"/>
  <c r="E11" i="2"/>
  <c r="E12" i="2"/>
  <c r="E13" i="2"/>
  <c r="E14" i="2"/>
  <c r="E15" i="2"/>
  <c r="E17" i="2"/>
  <c r="E2" i="2"/>
  <c r="C10" i="2"/>
  <c r="E10" i="2" s="1"/>
  <c r="C16" i="2"/>
  <c r="E16" i="2" s="1"/>
  <c r="D20" i="1"/>
  <c r="E21" i="1"/>
  <c r="B5" i="1"/>
  <c r="C18" i="2" l="1"/>
  <c r="E21" i="2"/>
  <c r="C19" i="2"/>
  <c r="D9" i="1"/>
  <c r="D11" i="1" s="1"/>
  <c r="D10" i="1"/>
  <c r="D13" i="1" l="1"/>
  <c r="C20" i="2"/>
  <c r="C21" i="2" s="1"/>
  <c r="F21" i="2"/>
  <c r="E20" i="1" s="1"/>
  <c r="D22" i="1" s="1"/>
  <c r="D17" i="1" s="1"/>
  <c r="B8" i="1"/>
  <c r="D5" i="1"/>
  <c r="D18" i="1" l="1"/>
  <c r="E18" i="1" l="1"/>
  <c r="E16" i="1"/>
</calcChain>
</file>

<file path=xl/sharedStrings.xml><?xml version="1.0" encoding="utf-8"?>
<sst xmlns="http://schemas.openxmlformats.org/spreadsheetml/2006/main" count="53" uniqueCount="53">
  <si>
    <t>项    目</t>
  </si>
  <si>
    <t>重置全新价</t>
  </si>
  <si>
    <t>重置成新价</t>
  </si>
  <si>
    <t>估算测算</t>
    <phoneticPr fontId="1" type="noConversion"/>
  </si>
  <si>
    <t>依据</t>
    <phoneticPr fontId="1" type="noConversion"/>
  </si>
  <si>
    <t>来源</t>
    <phoneticPr fontId="1" type="noConversion"/>
  </si>
  <si>
    <t>建安费用-主体结构</t>
    <phoneticPr fontId="1" type="noConversion"/>
  </si>
  <si>
    <t>建安费用-新增工程</t>
    <phoneticPr fontId="1" type="noConversion"/>
  </si>
  <si>
    <t>说明</t>
    <phoneticPr fontId="1" type="noConversion"/>
  </si>
  <si>
    <t>金额、费率、系数</t>
    <phoneticPr fontId="1" type="noConversion"/>
  </si>
  <si>
    <t>通行标准</t>
    <phoneticPr fontId="1" type="noConversion"/>
  </si>
  <si>
    <t>1-3年期利率</t>
    <phoneticPr fontId="1" type="noConversion"/>
  </si>
  <si>
    <t>加： 管理费用</t>
    <phoneticPr fontId="1" type="noConversion"/>
  </si>
  <si>
    <t>调整成新率</t>
    <phoneticPr fontId="1" type="noConversion"/>
  </si>
  <si>
    <t>重置价格系数调整后</t>
    <phoneticPr fontId="1" type="noConversion"/>
  </si>
  <si>
    <t>结构及前期开发成本小计</t>
    <phoneticPr fontId="1" type="noConversion"/>
  </si>
  <si>
    <t>开发成本合计</t>
    <phoneticPr fontId="1" type="noConversion"/>
  </si>
  <si>
    <t xml:space="preserve">        贷款利息</t>
    <phoneticPr fontId="1" type="noConversion"/>
  </si>
  <si>
    <t xml:space="preserve">       开发利润</t>
    <phoneticPr fontId="1" type="noConversion"/>
  </si>
  <si>
    <t xml:space="preserve">       销售税费</t>
    <phoneticPr fontId="1" type="noConversion"/>
  </si>
  <si>
    <t>简易征收税率</t>
    <phoneticPr fontId="1" type="noConversion"/>
  </si>
  <si>
    <t>？</t>
    <phoneticPr fontId="1" type="noConversion"/>
  </si>
  <si>
    <t>是否通告标准？</t>
    <phoneticPr fontId="1" type="noConversion"/>
  </si>
  <si>
    <t>原2012年估价报告系数为1.5，经咨询造价师认为略高，建议调整1.3</t>
    <phoneticPr fontId="1" type="noConversion"/>
  </si>
  <si>
    <t>我集团内部造价公司，可出正式报告</t>
    <phoneticPr fontId="1" type="noConversion"/>
  </si>
  <si>
    <t>建设开发期按两年计算</t>
    <phoneticPr fontId="1" type="noConversion"/>
  </si>
  <si>
    <t>监理费</t>
    <phoneticPr fontId="1" type="noConversion"/>
  </si>
  <si>
    <t>设计费</t>
    <phoneticPr fontId="1" type="noConversion"/>
  </si>
  <si>
    <t>土石方</t>
    <phoneticPr fontId="1" type="noConversion"/>
  </si>
  <si>
    <t>项目</t>
    <phoneticPr fontId="1" type="noConversion"/>
  </si>
  <si>
    <t>估算金额</t>
    <phoneticPr fontId="1" type="noConversion"/>
  </si>
  <si>
    <t>建筑工程</t>
    <phoneticPr fontId="1" type="noConversion"/>
  </si>
  <si>
    <t>结构工程</t>
    <phoneticPr fontId="1" type="noConversion"/>
  </si>
  <si>
    <t>钢结构工程</t>
    <phoneticPr fontId="1" type="noConversion"/>
  </si>
  <si>
    <t>砌筑工程</t>
    <phoneticPr fontId="1" type="noConversion"/>
  </si>
  <si>
    <t>屋面、防水及保温工程</t>
    <phoneticPr fontId="1" type="noConversion"/>
  </si>
  <si>
    <t>外墙面工程</t>
    <phoneticPr fontId="1" type="noConversion"/>
  </si>
  <si>
    <t>门窗工程</t>
    <phoneticPr fontId="1" type="noConversion"/>
  </si>
  <si>
    <t>机电和专项工程</t>
    <phoneticPr fontId="1" type="noConversion"/>
  </si>
  <si>
    <t>暖通</t>
    <phoneticPr fontId="1" type="noConversion"/>
  </si>
  <si>
    <t>电气</t>
    <phoneticPr fontId="1" type="noConversion"/>
  </si>
  <si>
    <t>弱点</t>
    <phoneticPr fontId="1" type="noConversion"/>
  </si>
  <si>
    <t>给排水</t>
    <phoneticPr fontId="1" type="noConversion"/>
  </si>
  <si>
    <t>消防</t>
    <phoneticPr fontId="1" type="noConversion"/>
  </si>
  <si>
    <t>小市政</t>
    <phoneticPr fontId="1" type="noConversion"/>
  </si>
  <si>
    <t>合计</t>
    <phoneticPr fontId="1" type="noConversion"/>
  </si>
  <si>
    <t>小计</t>
    <phoneticPr fontId="1" type="noConversion"/>
  </si>
  <si>
    <t>小计</t>
    <phoneticPr fontId="1" type="noConversion"/>
  </si>
  <si>
    <t>开办费（10%）</t>
    <phoneticPr fontId="1" type="noConversion"/>
  </si>
  <si>
    <t>西侧首层室内装修</t>
    <phoneticPr fontId="1" type="noConversion"/>
  </si>
  <si>
    <t>不可预见（5%）</t>
    <phoneticPr fontId="1" type="noConversion"/>
  </si>
  <si>
    <t>建安总计</t>
    <phoneticPr fontId="1" type="noConversion"/>
  </si>
  <si>
    <t>成新率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</si>
</sst>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#,##0.0000_);[Red]\(#,##0.0000\)"/>
    <numFmt numFmtId="178" formatCode="0_ "/>
    <numFmt numFmtId="179" formatCode="#,##0.000_);[Red]\(#,##0.000\)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华文楷体"/>
      <family val="3"/>
      <charset val="134"/>
    </font>
    <font>
      <sz val="16"/>
      <color theme="1"/>
      <name val="华文楷体"/>
      <family val="3"/>
      <charset val="134"/>
    </font>
    <font>
      <b/>
      <sz val="12"/>
      <color theme="1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76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9" fontId="2" fillId="0" borderId="0" xfId="0" applyNumberFormat="1" applyFont="1" applyBorder="1"/>
    <xf numFmtId="0" fontId="0" fillId="0" borderId="1" xfId="0" applyBorder="1"/>
    <xf numFmtId="10" fontId="0" fillId="0" borderId="1" xfId="0" applyNumberFormat="1" applyBorder="1"/>
    <xf numFmtId="10" fontId="0" fillId="2" borderId="0" xfId="0" applyNumberFormat="1" applyFill="1"/>
    <xf numFmtId="10" fontId="0" fillId="2" borderId="1" xfId="0" applyNumberForma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1326;&#27665;&#26063;&#22253;&#34013;&#28023;&#27915;&#24037;&#31243;&#36896;&#20215;&#27979;&#31639;final/CP-001R&#65288;20180122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1)"/>
      <sheetName val="Break down (1)"/>
      <sheetName val="Sheet1"/>
    </sheetNames>
    <sheetDataSet>
      <sheetData sheetId="0">
        <row r="35">
          <cell r="D35">
            <v>201663000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opLeftCell="A13" zoomScale="120" zoomScaleNormal="120" workbookViewId="0">
      <selection activeCell="E20" sqref="E20"/>
    </sheetView>
  </sheetViews>
  <sheetFormatPr defaultColWidth="9" defaultRowHeight="17.25" x14ac:dyDescent="0.3"/>
  <cols>
    <col min="1" max="1" width="26.125" style="5" customWidth="1"/>
    <col min="2" max="2" width="17.875" style="6" customWidth="1"/>
    <col min="3" max="3" width="17.25" style="1" customWidth="1"/>
    <col min="4" max="4" width="12.75" style="6" customWidth="1"/>
    <col min="5" max="5" width="9.625" style="6" customWidth="1"/>
    <col min="6" max="6" width="40.75" style="1" customWidth="1"/>
    <col min="7" max="16384" width="9" style="1"/>
  </cols>
  <sheetData>
    <row r="3" spans="1:6" s="7" customFormat="1" ht="23.1" customHeight="1" x14ac:dyDescent="0.15">
      <c r="A3" s="28" t="s">
        <v>0</v>
      </c>
      <c r="B3" s="27" t="s">
        <v>4</v>
      </c>
      <c r="C3" s="27"/>
      <c r="D3" s="30" t="s">
        <v>3</v>
      </c>
      <c r="E3" s="31"/>
      <c r="F3" s="29" t="s">
        <v>8</v>
      </c>
    </row>
    <row r="4" spans="1:6" s="7" customFormat="1" ht="23.1" customHeight="1" x14ac:dyDescent="0.15">
      <c r="A4" s="28"/>
      <c r="B4" s="8" t="s">
        <v>9</v>
      </c>
      <c r="C4" s="9" t="s">
        <v>5</v>
      </c>
      <c r="D4" s="32"/>
      <c r="E4" s="33"/>
      <c r="F4" s="29"/>
    </row>
    <row r="5" spans="1:6" s="7" customFormat="1" ht="23.1" customHeight="1" x14ac:dyDescent="0.15">
      <c r="A5" s="10" t="s">
        <v>6</v>
      </c>
      <c r="B5" s="11">
        <f>'[1]SUMMARY (1)'!$D$35/10000</f>
        <v>20166.3</v>
      </c>
      <c r="C5" s="12"/>
      <c r="D5" s="34">
        <f>B5</f>
        <v>20166.3</v>
      </c>
      <c r="E5" s="35"/>
      <c r="F5" s="13"/>
    </row>
    <row r="6" spans="1:6" s="7" customFormat="1" ht="24.6" customHeight="1" x14ac:dyDescent="0.15">
      <c r="A6" s="10" t="s">
        <v>26</v>
      </c>
      <c r="B6" s="20">
        <v>0.01</v>
      </c>
      <c r="C6" s="13"/>
      <c r="D6" s="34">
        <v>200</v>
      </c>
      <c r="E6" s="35"/>
      <c r="F6" s="16"/>
    </row>
    <row r="7" spans="1:6" s="7" customFormat="1" ht="23.1" customHeight="1" x14ac:dyDescent="0.15">
      <c r="A7" s="10" t="s">
        <v>27</v>
      </c>
      <c r="B7" s="11">
        <v>400</v>
      </c>
      <c r="C7" s="14"/>
      <c r="D7" s="34">
        <f>B7</f>
        <v>400</v>
      </c>
      <c r="E7" s="35"/>
      <c r="F7" s="13"/>
    </row>
    <row r="8" spans="1:6" s="7" customFormat="1" ht="23.1" customHeight="1" x14ac:dyDescent="0.15">
      <c r="A8" s="12" t="s">
        <v>15</v>
      </c>
      <c r="B8" s="11">
        <f>SUM(B5:B7)</f>
        <v>20566.309999999998</v>
      </c>
      <c r="C8" s="14"/>
      <c r="D8" s="34">
        <f>D5+D6+D7</f>
        <v>20766.3</v>
      </c>
      <c r="E8" s="35"/>
      <c r="F8" s="13"/>
    </row>
    <row r="9" spans="1:6" s="7" customFormat="1" ht="35.25" customHeight="1" x14ac:dyDescent="0.15">
      <c r="A9" s="15" t="s">
        <v>14</v>
      </c>
      <c r="B9" s="12">
        <v>1</v>
      </c>
      <c r="C9" s="12"/>
      <c r="D9" s="34">
        <f>D8*B9</f>
        <v>20766.3</v>
      </c>
      <c r="E9" s="35"/>
      <c r="F9" s="16" t="s">
        <v>23</v>
      </c>
    </row>
    <row r="10" spans="1:6" s="7" customFormat="1" ht="35.25" customHeight="1" x14ac:dyDescent="0.15">
      <c r="A10" s="10" t="s">
        <v>7</v>
      </c>
      <c r="B10" s="11">
        <v>0</v>
      </c>
      <c r="C10" s="12"/>
      <c r="D10" s="34">
        <f>B10</f>
        <v>0</v>
      </c>
      <c r="E10" s="35"/>
      <c r="F10" s="16" t="s">
        <v>24</v>
      </c>
    </row>
    <row r="11" spans="1:6" s="7" customFormat="1" ht="23.1" customHeight="1" x14ac:dyDescent="0.15">
      <c r="A11" s="9" t="s">
        <v>16</v>
      </c>
      <c r="B11" s="13"/>
      <c r="C11" s="13"/>
      <c r="D11" s="36">
        <f>D9+D10</f>
        <v>20766.3</v>
      </c>
      <c r="E11" s="37"/>
      <c r="F11" s="13"/>
    </row>
    <row r="12" spans="1:6" s="7" customFormat="1" ht="23.1" customHeight="1" x14ac:dyDescent="0.15">
      <c r="A12" s="18" t="s">
        <v>12</v>
      </c>
      <c r="B12" s="14">
        <v>0.02</v>
      </c>
      <c r="C12" s="14" t="s">
        <v>10</v>
      </c>
      <c r="D12" s="11">
        <f>ROUND(D11*B12,2)</f>
        <v>415.33</v>
      </c>
      <c r="E12" s="17">
        <v>0</v>
      </c>
      <c r="F12" s="13"/>
    </row>
    <row r="13" spans="1:6" s="7" customFormat="1" ht="23.1" customHeight="1" x14ac:dyDescent="0.15">
      <c r="A13" s="10" t="s">
        <v>17</v>
      </c>
      <c r="B13" s="14">
        <v>4.7500000000000001E-2</v>
      </c>
      <c r="C13" s="12" t="s">
        <v>11</v>
      </c>
      <c r="D13" s="11">
        <f>ROUND((D5+D6+D12)*((1+B13)^1-1),2)+ROUND(D7*((1+B13)^2-1),2)</f>
        <v>1026.03</v>
      </c>
      <c r="E13" s="19"/>
      <c r="F13" s="13" t="s">
        <v>25</v>
      </c>
    </row>
    <row r="14" spans="1:6" s="7" customFormat="1" ht="23.1" customHeight="1" x14ac:dyDescent="0.15">
      <c r="A14" s="18" t="s">
        <v>18</v>
      </c>
      <c r="B14" s="14">
        <v>0.05</v>
      </c>
      <c r="C14" s="14" t="s">
        <v>21</v>
      </c>
      <c r="D14" s="11">
        <f>ROUND((D11+D12)*B14,2)</f>
        <v>1059.08</v>
      </c>
      <c r="E14" s="19"/>
      <c r="F14" s="13" t="s">
        <v>22</v>
      </c>
    </row>
    <row r="15" spans="1:6" s="7" customFormat="1" ht="23.1" customHeight="1" x14ac:dyDescent="0.15">
      <c r="A15" s="10" t="s">
        <v>19</v>
      </c>
      <c r="B15" s="14">
        <v>5.6000000000000001E-2</v>
      </c>
      <c r="C15" s="14" t="s">
        <v>20</v>
      </c>
      <c r="D15" s="11">
        <v>0</v>
      </c>
      <c r="E15" s="19">
        <v>0</v>
      </c>
      <c r="F15" s="13"/>
    </row>
    <row r="16" spans="1:6" s="7" customFormat="1" ht="23.1" customHeight="1" x14ac:dyDescent="0.15">
      <c r="A16" s="12" t="s">
        <v>1</v>
      </c>
      <c r="B16" s="11"/>
      <c r="C16" s="12"/>
      <c r="D16" s="21">
        <f>ROUND((D9+D12+D13+D14)/(1-E15),2)</f>
        <v>23266.74</v>
      </c>
      <c r="E16" s="17">
        <f>D16*10000/F16</f>
        <v>2498.8443776178715</v>
      </c>
      <c r="F16" s="13">
        <v>93110</v>
      </c>
    </row>
    <row r="17" spans="1:6" s="7" customFormat="1" ht="23.1" customHeight="1" x14ac:dyDescent="0.15">
      <c r="A17" s="18" t="s">
        <v>13</v>
      </c>
      <c r="B17" s="11"/>
      <c r="C17" s="12"/>
      <c r="D17" s="11">
        <f>D22</f>
        <v>0.88</v>
      </c>
      <c r="E17" s="17"/>
      <c r="F17" s="13"/>
    </row>
    <row r="18" spans="1:6" s="7" customFormat="1" ht="23.1" customHeight="1" x14ac:dyDescent="0.15">
      <c r="A18" s="12" t="s">
        <v>2</v>
      </c>
      <c r="B18" s="11"/>
      <c r="C18" s="12"/>
      <c r="D18" s="11">
        <f>D16*D17</f>
        <v>20474.731200000002</v>
      </c>
      <c r="E18" s="17">
        <f>D18*10000/F16</f>
        <v>2198.9830523037272</v>
      </c>
      <c r="F18" s="13"/>
    </row>
    <row r="19" spans="1:6" s="7" customFormat="1" ht="23.1" customHeight="1" x14ac:dyDescent="0.15">
      <c r="A19" s="2"/>
      <c r="B19" s="3"/>
      <c r="C19" s="4"/>
      <c r="D19" s="3">
        <v>60</v>
      </c>
      <c r="E19" s="3"/>
    </row>
    <row r="20" spans="1:6" x14ac:dyDescent="0.3">
      <c r="D20" s="22">
        <f>(D19-18)/D19</f>
        <v>0.7</v>
      </c>
      <c r="E20" s="6">
        <f>ROUND(成新率!F21,2)</f>
        <v>0.96</v>
      </c>
    </row>
    <row r="21" spans="1:6" x14ac:dyDescent="0.3">
      <c r="D21" s="6">
        <v>0.3</v>
      </c>
      <c r="E21" s="6">
        <f>1-D21</f>
        <v>0.7</v>
      </c>
    </row>
    <row r="22" spans="1:6" x14ac:dyDescent="0.3">
      <c r="D22" s="6">
        <f>ROUND(D20*D21+E20*E21,2)</f>
        <v>0.88</v>
      </c>
    </row>
  </sheetData>
  <mergeCells count="11">
    <mergeCell ref="D11:E11"/>
    <mergeCell ref="D5:E5"/>
    <mergeCell ref="D6:E6"/>
    <mergeCell ref="D7:E7"/>
    <mergeCell ref="D8:E8"/>
    <mergeCell ref="D9:E9"/>
    <mergeCell ref="B3:C3"/>
    <mergeCell ref="A3:A4"/>
    <mergeCell ref="F3:F4"/>
    <mergeCell ref="D3:E4"/>
    <mergeCell ref="D10:E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20" zoomScaleNormal="120" workbookViewId="0">
      <selection activeCell="D7" sqref="D7"/>
    </sheetView>
  </sheetViews>
  <sheetFormatPr defaultRowHeight="13.5" x14ac:dyDescent="0.15"/>
  <cols>
    <col min="2" max="2" width="24.875" customWidth="1"/>
    <col min="3" max="4" width="9.5" bestFit="1" customWidth="1"/>
    <col min="6" max="6" width="12.25" customWidth="1"/>
  </cols>
  <sheetData>
    <row r="1" spans="1:5" x14ac:dyDescent="0.15">
      <c r="A1" s="23" t="s">
        <v>29</v>
      </c>
      <c r="B1" s="23"/>
      <c r="C1" s="23" t="s">
        <v>30</v>
      </c>
      <c r="D1" s="23" t="s">
        <v>52</v>
      </c>
    </row>
    <row r="2" spans="1:5" x14ac:dyDescent="0.15">
      <c r="A2" s="38" t="s">
        <v>28</v>
      </c>
      <c r="B2" s="38"/>
      <c r="C2" s="23">
        <v>2319</v>
      </c>
      <c r="D2" s="26">
        <v>1</v>
      </c>
      <c r="E2">
        <f>C2*D2</f>
        <v>2319</v>
      </c>
    </row>
    <row r="3" spans="1:5" x14ac:dyDescent="0.15">
      <c r="A3" s="38" t="s">
        <v>31</v>
      </c>
      <c r="B3" s="23" t="s">
        <v>32</v>
      </c>
      <c r="C3" s="23">
        <v>11714</v>
      </c>
      <c r="D3" s="24">
        <v>0.95</v>
      </c>
      <c r="E3">
        <f>C3*D3</f>
        <v>11128.3</v>
      </c>
    </row>
    <row r="4" spans="1:5" x14ac:dyDescent="0.15">
      <c r="A4" s="38"/>
      <c r="B4" s="23" t="s">
        <v>33</v>
      </c>
      <c r="C4" s="23">
        <v>793</v>
      </c>
      <c r="D4" s="24">
        <v>0.85</v>
      </c>
      <c r="E4">
        <f t="shared" ref="E4:E17" si="0">C4*D4</f>
        <v>674.05</v>
      </c>
    </row>
    <row r="5" spans="1:5" x14ac:dyDescent="0.15">
      <c r="A5" s="38"/>
      <c r="B5" s="23" t="s">
        <v>34</v>
      </c>
      <c r="C5" s="23">
        <v>225</v>
      </c>
      <c r="D5" s="24">
        <v>0.9</v>
      </c>
      <c r="E5">
        <f t="shared" si="0"/>
        <v>202.5</v>
      </c>
    </row>
    <row r="6" spans="1:5" x14ac:dyDescent="0.15">
      <c r="A6" s="38"/>
      <c r="B6" s="23" t="s">
        <v>35</v>
      </c>
      <c r="C6" s="23">
        <v>376</v>
      </c>
      <c r="D6" s="24">
        <v>0.7</v>
      </c>
      <c r="E6">
        <f t="shared" si="0"/>
        <v>263.2</v>
      </c>
    </row>
    <row r="7" spans="1:5" x14ac:dyDescent="0.15">
      <c r="A7" s="38"/>
      <c r="B7" s="23" t="s">
        <v>36</v>
      </c>
      <c r="C7" s="23">
        <v>912</v>
      </c>
      <c r="D7" s="24">
        <v>0.7</v>
      </c>
      <c r="E7">
        <f t="shared" si="0"/>
        <v>638.4</v>
      </c>
    </row>
    <row r="8" spans="1:5" x14ac:dyDescent="0.15">
      <c r="A8" s="38"/>
      <c r="B8" s="23" t="s">
        <v>37</v>
      </c>
      <c r="C8" s="23">
        <v>128</v>
      </c>
      <c r="D8" s="24">
        <v>0.6</v>
      </c>
      <c r="E8">
        <f t="shared" si="0"/>
        <v>76.8</v>
      </c>
    </row>
    <row r="9" spans="1:5" x14ac:dyDescent="0.15">
      <c r="A9" s="38"/>
      <c r="B9" s="23" t="s">
        <v>49</v>
      </c>
      <c r="C9" s="23">
        <v>167</v>
      </c>
      <c r="D9" s="24">
        <v>0.75</v>
      </c>
      <c r="E9">
        <f t="shared" si="0"/>
        <v>125.25</v>
      </c>
    </row>
    <row r="10" spans="1:5" x14ac:dyDescent="0.15">
      <c r="A10" s="38"/>
      <c r="B10" s="23" t="s">
        <v>46</v>
      </c>
      <c r="C10" s="23">
        <f>SUM(C3:C9)</f>
        <v>14315</v>
      </c>
      <c r="D10" s="24"/>
      <c r="E10">
        <f t="shared" si="0"/>
        <v>0</v>
      </c>
    </row>
    <row r="11" spans="1:5" x14ac:dyDescent="0.15">
      <c r="A11" s="38" t="s">
        <v>38</v>
      </c>
      <c r="B11" s="23" t="s">
        <v>39</v>
      </c>
      <c r="C11" s="23">
        <v>10</v>
      </c>
      <c r="D11" s="24">
        <v>0.9</v>
      </c>
      <c r="E11">
        <f t="shared" si="0"/>
        <v>9</v>
      </c>
    </row>
    <row r="12" spans="1:5" x14ac:dyDescent="0.15">
      <c r="A12" s="38"/>
      <c r="B12" s="23" t="s">
        <v>40</v>
      </c>
      <c r="C12" s="23">
        <v>257</v>
      </c>
      <c r="D12" s="24">
        <v>0.9</v>
      </c>
      <c r="E12">
        <f t="shared" si="0"/>
        <v>231.3</v>
      </c>
    </row>
    <row r="13" spans="1:5" x14ac:dyDescent="0.15">
      <c r="A13" s="38"/>
      <c r="B13" s="23" t="s">
        <v>41</v>
      </c>
      <c r="C13" s="23">
        <v>46</v>
      </c>
      <c r="D13" s="24">
        <v>0.9</v>
      </c>
      <c r="E13">
        <f t="shared" si="0"/>
        <v>41.4</v>
      </c>
    </row>
    <row r="14" spans="1:5" x14ac:dyDescent="0.15">
      <c r="A14" s="38"/>
      <c r="B14" s="23" t="s">
        <v>42</v>
      </c>
      <c r="C14" s="23">
        <v>59</v>
      </c>
      <c r="D14" s="24">
        <v>0.9</v>
      </c>
      <c r="E14">
        <f t="shared" si="0"/>
        <v>53.1</v>
      </c>
    </row>
    <row r="15" spans="1:5" x14ac:dyDescent="0.15">
      <c r="A15" s="38"/>
      <c r="B15" s="23" t="s">
        <v>43</v>
      </c>
      <c r="C15" s="23">
        <v>191</v>
      </c>
      <c r="D15" s="24">
        <v>0.9</v>
      </c>
      <c r="E15">
        <f t="shared" si="0"/>
        <v>171.9</v>
      </c>
    </row>
    <row r="16" spans="1:5" x14ac:dyDescent="0.15">
      <c r="A16" s="38"/>
      <c r="B16" s="23" t="s">
        <v>47</v>
      </c>
      <c r="C16" s="23">
        <f>SUM(C11:C15)</f>
        <v>563</v>
      </c>
      <c r="D16" s="24">
        <v>0.9</v>
      </c>
      <c r="E16">
        <f t="shared" si="0"/>
        <v>506.7</v>
      </c>
    </row>
    <row r="17" spans="1:6" x14ac:dyDescent="0.15">
      <c r="A17" s="38" t="s">
        <v>44</v>
      </c>
      <c r="B17" s="38"/>
      <c r="C17" s="23">
        <v>263</v>
      </c>
      <c r="D17" s="24">
        <v>0.9</v>
      </c>
      <c r="E17">
        <f t="shared" si="0"/>
        <v>236.70000000000002</v>
      </c>
    </row>
    <row r="18" spans="1:6" x14ac:dyDescent="0.15">
      <c r="A18" s="38" t="s">
        <v>45</v>
      </c>
      <c r="B18" s="38"/>
      <c r="C18" s="23">
        <f>C10+C16+C17+C2</f>
        <v>17460</v>
      </c>
      <c r="D18" s="24"/>
    </row>
    <row r="19" spans="1:6" x14ac:dyDescent="0.15">
      <c r="A19" s="38" t="s">
        <v>48</v>
      </c>
      <c r="B19" s="38"/>
      <c r="C19" s="23">
        <f>C18*0.1</f>
        <v>1746</v>
      </c>
      <c r="D19" s="24"/>
    </row>
    <row r="20" spans="1:6" x14ac:dyDescent="0.15">
      <c r="A20" s="38" t="s">
        <v>50</v>
      </c>
      <c r="B20" s="38"/>
      <c r="C20" s="23">
        <f>(C18+C19)*0.05</f>
        <v>960.30000000000007</v>
      </c>
      <c r="D20" s="24"/>
    </row>
    <row r="21" spans="1:6" x14ac:dyDescent="0.15">
      <c r="A21" s="38" t="s">
        <v>51</v>
      </c>
      <c r="B21" s="38"/>
      <c r="C21" s="23">
        <f>C18+C19+C20</f>
        <v>20166.3</v>
      </c>
      <c r="D21" s="24"/>
      <c r="E21">
        <f>SUM(E2:E20)</f>
        <v>16677.599999999999</v>
      </c>
      <c r="F21" s="25">
        <f>E21/C18</f>
        <v>0.95518900343642599</v>
      </c>
    </row>
  </sheetData>
  <mergeCells count="8">
    <mergeCell ref="A20:B20"/>
    <mergeCell ref="A21:B21"/>
    <mergeCell ref="A2:B2"/>
    <mergeCell ref="A3:A10"/>
    <mergeCell ref="A11:A16"/>
    <mergeCell ref="A17:B17"/>
    <mergeCell ref="A18:B18"/>
    <mergeCell ref="A19:B1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主表</vt:lpstr>
      <vt:lpstr>成新率</vt:lpstr>
      <vt:lpstr>利润率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2018-02-05T07:14:45Z</dcterms:modified>
</cp:coreProperties>
</file>