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9170" windowHeight="12465" tabRatio="885" firstSheet="11"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E20" i="1"/>
  <c r="E13" i="1"/>
  <c r="D2" i="4"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R30" i="31" s="1"/>
  <c r="T30" i="31" s="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C20" i="57"/>
  <c r="F5" i="61"/>
  <c r="F4" i="61"/>
  <c r="D20" i="57"/>
  <c r="F3" i="61"/>
  <c r="E2" i="35"/>
  <c r="D5" i="61"/>
  <c r="F7" i="61"/>
  <c r="E2" i="11"/>
  <c r="C19" i="57"/>
  <c r="D3" i="61"/>
  <c r="E2" i="21"/>
  <c r="E2" i="33"/>
  <c r="F6" i="61"/>
  <c r="D7" i="61"/>
  <c r="E2" i="37"/>
  <c r="H23" i="31"/>
  <c r="D19" i="57"/>
  <c r="E2" i="34"/>
  <c r="E2" i="36"/>
  <c r="D6" i="61"/>
  <c r="D4" i="61"/>
  <c r="R32" i="31" l="1"/>
  <c r="T32" i="31" s="1"/>
  <c r="R33" i="31"/>
  <c r="R31" i="31"/>
  <c r="T31" i="31" s="1"/>
  <c r="T33" i="31"/>
  <c r="S33" i="31"/>
  <c r="S32" i="31"/>
  <c r="S31" i="31"/>
  <c r="G125" i="57"/>
  <c r="S30" i="3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F67" i="39"/>
  <c r="G67" i="39"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G69" i="39"/>
  <c r="H67" i="39"/>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I67" i="39" l="1"/>
  <c r="H69" i="3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K67" i="39" l="1"/>
  <c r="J69" i="39"/>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19" i="9"/>
  <c r="C20" i="9"/>
  <c r="C102" i="9" l="1"/>
  <c r="C101" i="9"/>
  <c r="M67" i="39"/>
  <c r="L69" i="39"/>
  <c r="C98" i="57"/>
  <c r="E98" i="57" s="1"/>
  <c r="E99" i="57" s="1"/>
  <c r="C7" i="59"/>
  <c r="D8" i="59"/>
  <c r="D9" i="59"/>
  <c r="T9"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C6" i="59"/>
  <c r="D7" i="59"/>
  <c r="O63" i="57"/>
  <c r="O62" i="57"/>
  <c r="L62" i="40"/>
  <c r="K64" i="40"/>
  <c r="E52" i="21"/>
  <c r="F52" i="21" s="1"/>
  <c r="E53" i="21"/>
  <c r="F53" i="21" s="1"/>
  <c r="C48" i="21"/>
  <c r="C49" i="21"/>
  <c r="B2" i="21" s="1"/>
  <c r="B3" i="21" s="1"/>
  <c r="L59" i="34"/>
  <c r="C47" i="15"/>
  <c r="J41" i="15"/>
  <c r="J42" i="15" s="1"/>
  <c r="Q54" i="15"/>
  <c r="C43" i="15"/>
  <c r="Q65" i="15"/>
  <c r="Q45" i="15"/>
  <c r="Q51" i="15" s="1"/>
  <c r="Q63" i="15"/>
  <c r="O67" i="39" l="1"/>
  <c r="O69" i="39" s="1"/>
  <c r="N69" i="39"/>
  <c r="D6" i="59"/>
  <c r="C5" i="59"/>
  <c r="D35" i="9"/>
  <c r="D34" i="9" s="1"/>
  <c r="L64" i="40"/>
  <c r="M62" i="40"/>
  <c r="M59" i="34"/>
  <c r="N59" i="34" s="1"/>
  <c r="O59" i="34" s="1"/>
  <c r="H7" i="34" s="1"/>
  <c r="L58" i="15"/>
  <c r="L61" i="15" s="1"/>
  <c r="J7" i="39" l="1"/>
  <c r="F7" i="39"/>
  <c r="H7" i="39"/>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S7" i="39" l="1"/>
  <c r="AA7" i="39"/>
  <c r="R47" i="39" s="1"/>
  <c r="AB7" i="39"/>
  <c r="T47" i="39" s="1"/>
  <c r="G47" i="39" s="1"/>
  <c r="U7" i="39"/>
  <c r="AC7" i="39"/>
  <c r="V47" i="39" s="1"/>
  <c r="I47" i="39" s="1"/>
  <c r="I51" i="39" s="1"/>
  <c r="J51" i="39" s="1"/>
  <c r="W7" i="39"/>
  <c r="AA7" i="34"/>
  <c r="R49" i="34" s="1"/>
  <c r="B2" i="15"/>
  <c r="B3" i="15"/>
  <c r="AC7" i="34"/>
  <c r="V49" i="34" s="1"/>
  <c r="I49" i="34" s="1"/>
  <c r="G54" i="34" s="1"/>
  <c r="H54" i="34" s="1"/>
  <c r="E49" i="34"/>
  <c r="E53" i="34" s="1"/>
  <c r="F53" i="34" s="1"/>
  <c r="R50" i="34"/>
  <c r="O62" i="40"/>
  <c r="O64" i="40" s="1"/>
  <c r="N64" i="40"/>
  <c r="G51" i="39"/>
  <c r="H51" i="39" s="1"/>
  <c r="G53" i="34"/>
  <c r="H53" i="34" s="1"/>
  <c r="E54" i="34"/>
  <c r="F54" i="34" s="1"/>
  <c r="D20" i="9"/>
  <c r="D19" i="9"/>
  <c r="D101" i="9" l="1"/>
  <c r="G19" i="9"/>
  <c r="D22" i="9"/>
  <c r="D102" i="9"/>
  <c r="G20" i="9"/>
  <c r="C32" i="9" s="1"/>
  <c r="C35" i="9" s="1"/>
  <c r="C34" i="9" s="1"/>
  <c r="G52" i="39"/>
  <c r="H52" i="39" s="1"/>
  <c r="R48" i="39"/>
  <c r="E47" i="39"/>
  <c r="I53" i="34"/>
  <c r="J53" i="34" s="1"/>
  <c r="I54" i="34"/>
  <c r="J54" i="34" s="1"/>
  <c r="C50" i="34"/>
  <c r="B2" i="34" s="1"/>
  <c r="B3" i="34" s="1"/>
  <c r="C49" i="34"/>
  <c r="H7" i="40"/>
  <c r="J7" i="40"/>
  <c r="F7" i="40"/>
  <c r="I52" i="39" l="1"/>
  <c r="J52" i="39" s="1"/>
  <c r="E52" i="39"/>
  <c r="F52" i="39" s="1"/>
  <c r="E51" i="39"/>
  <c r="F51" i="39" s="1"/>
  <c r="C48" i="39"/>
  <c r="C47" i="39"/>
  <c r="AC7" i="40"/>
  <c r="V42" i="40" s="1"/>
  <c r="I42" i="40" s="1"/>
  <c r="I46" i="40" s="1"/>
  <c r="J46" i="40" s="1"/>
  <c r="W7" i="40"/>
  <c r="S7" i="40"/>
  <c r="AA7" i="40"/>
  <c r="R42" i="40" s="1"/>
  <c r="R43" i="40" s="1"/>
  <c r="AB7" i="40"/>
  <c r="T42" i="40" s="1"/>
  <c r="G42" i="40" s="1"/>
  <c r="G46" i="40" s="1"/>
  <c r="H46" i="40" s="1"/>
  <c r="U7" i="40"/>
  <c r="B61" i="39" l="1"/>
  <c r="F61" i="39" s="1"/>
  <c r="B62" i="39"/>
  <c r="F62" i="39" s="1"/>
  <c r="B60" i="39"/>
  <c r="F60" i="39" s="1"/>
  <c r="B64" i="39"/>
  <c r="F64" i="39" s="1"/>
  <c r="B56" i="39"/>
  <c r="F56" i="39" s="1"/>
  <c r="F65" i="39" s="1"/>
  <c r="B2" i="39" s="1"/>
  <c r="B3" i="39" s="1"/>
  <c r="B57" i="39"/>
  <c r="F57" i="39" s="1"/>
  <c r="B63" i="39"/>
  <c r="F63" i="39" s="1"/>
  <c r="B58" i="39"/>
  <c r="F58" i="39" s="1"/>
  <c r="B59" i="39"/>
  <c r="F59" i="3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E121" i="9"/>
  <c r="E4" i="52" s="1"/>
  <c r="B38" i="60" s="1"/>
  <c r="G121" i="9"/>
  <c r="G4" i="52" s="1"/>
  <c r="B41" i="60" s="1"/>
  <c r="I121" i="9"/>
  <c r="F121" i="9" l="1"/>
  <c r="F4" i="52" s="1"/>
  <c r="B40" i="60" s="1"/>
  <c r="D121" i="9"/>
  <c r="D4" i="52" s="1"/>
  <c r="B37" i="60" s="1"/>
  <c r="I4" i="52"/>
  <c r="D107" i="9"/>
  <c r="C104" i="9"/>
  <c r="I103" i="9"/>
  <c r="H121" i="9"/>
  <c r="D122" i="9"/>
  <c r="D5" i="52" s="1"/>
  <c r="B39" i="60" s="1"/>
  <c r="F122" i="9"/>
  <c r="F5" i="52" s="1"/>
  <c r="B42" i="60" s="1"/>
  <c r="D9" i="50" l="1"/>
  <c r="B21" i="60" s="1"/>
  <c r="D30" i="50"/>
  <c r="C103" i="9"/>
  <c r="H4" i="52"/>
  <c r="D14" i="62"/>
  <c r="H122" i="9"/>
  <c r="H5" i="52" s="1"/>
  <c r="I102" i="9"/>
  <c r="D106" i="9"/>
  <c r="D112" i="9" s="1"/>
  <c r="D117" i="9" l="1"/>
  <c r="D113" i="9"/>
  <c r="N48" i="9"/>
  <c r="D28" i="50"/>
  <c r="D29" i="50" s="1"/>
  <c r="I110" i="9"/>
  <c r="D7" i="50"/>
  <c r="D45" i="9"/>
  <c r="F14" i="62"/>
  <c r="B5" i="62"/>
  <c r="E14" i="62"/>
  <c r="D38" i="50" l="1"/>
  <c r="B62" i="60" s="1"/>
  <c r="I111" i="9"/>
  <c r="D8" i="50"/>
  <c r="B22" i="60" s="1"/>
  <c r="B19" i="60"/>
  <c r="D5" i="62"/>
  <c r="C5" i="62"/>
  <c r="D52" i="9"/>
  <c r="C78" i="9"/>
  <c r="C73" i="9" s="1"/>
  <c r="D53" i="9"/>
  <c r="D48" i="9" s="1"/>
  <c r="N52" i="9" s="1"/>
  <c r="O57" i="9" s="1"/>
  <c r="C72" i="9"/>
  <c r="C79" i="9" s="1"/>
  <c r="C93" i="9"/>
  <c r="C86" i="9" s="1"/>
  <c r="C85" i="9"/>
  <c r="C64" i="9"/>
  <c r="C63" i="9" s="1"/>
  <c r="C67" i="9" s="1"/>
  <c r="C68" i="9" s="1"/>
  <c r="D54" i="9" s="1"/>
  <c r="D15" i="50"/>
  <c r="D36" i="50"/>
  <c r="D37" i="50" s="1"/>
  <c r="D125" i="9"/>
  <c r="D44" i="50"/>
  <c r="I115" i="9"/>
  <c r="D23" i="50" s="1"/>
  <c r="B34" i="60" s="1"/>
  <c r="D8" i="52" l="1"/>
  <c r="G14" i="62"/>
  <c r="B6" i="62" s="1"/>
  <c r="D16" i="50"/>
  <c r="B30" i="60" s="1"/>
  <c r="B29" i="60"/>
  <c r="C95" i="9"/>
  <c r="C80" i="9"/>
  <c r="E80" i="9" s="1"/>
  <c r="E81" i="9" s="1"/>
  <c r="D17" i="50"/>
  <c r="D126" i="9"/>
  <c r="D9" i="52" s="1"/>
  <c r="Q57" i="9"/>
  <c r="O59" i="9"/>
  <c r="O58" i="9"/>
  <c r="C81" i="9" l="1"/>
  <c r="C6" i="62"/>
  <c r="D6" i="62"/>
  <c r="O61" i="9"/>
  <c r="O60"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<sst xmlns="http://schemas.openxmlformats.org/spreadsheetml/2006/main" count="6903" uniqueCount="3046">
  <si>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</si>
  <si>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</si>
  <si>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</si>
  <si>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</si>
  <si>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</si>
  <si>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</si>
  <si>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</si>
  <si>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</si>
  <si>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</si>
  <si>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</si>
  <si>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</si>
  <si>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</si>
  <si>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</si>
  <si>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</si>
  <si>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</si>
  <si>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</si>
  <si>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</si>
  <si>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</si>
  <si>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</si>
  <si>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</si>
  <si>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</si>
  <si>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</si>
  <si>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</si>
  <si>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</si>
  <si>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</si>
  <si>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</si>
  <si>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</si>
  <si>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</si>
  <si>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</si>
  <si>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</si>
  <si>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</si>
  <si>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</si>
  <si>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</si>
  <si>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</si>
  <si>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</si>
  <si>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</si>
  <si>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</si>
  <si>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</si>
  <si>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</si>
  <si>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</si>
  <si>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</si>
  <si>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</si>
  <si>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</si>
  <si>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</si>
  <si>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</si>
  <si>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</si>
  <si>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</si>
  <si>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</si>
  <si>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</si>
  <si>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</si>
  <si>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</si>
  <si>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</si>
  <si>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</si>
  <si>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</si>
  <si>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</si>
  <si>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</si>
  <si>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</si>
  <si>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</si>
  <si>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</si>
  <si>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</si>
  <si>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</si>
  <si>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</si>
  <si>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</si>
  <si>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</si>
  <si>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</si>
  <si>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</si>
  <si>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</si>
  <si>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</si>
  <si>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</si>
  <si>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</si>
  <si>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</si>
  <si>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</si>
  <si>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</si>
  <si>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</si>
  <si>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</si>
  <si>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</si>
  <si>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</si>
  <si>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</si>
  <si>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</si>
  <si>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</si>
  <si>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</si>
  <si>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</si>
  <si>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</si>
  <si>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</si>
  <si>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</si>
  <si>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</si>
  <si>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</si>
  <si>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</si>
  <si>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</si>
  <si>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</si>
  <si>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</si>
  <si>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</si>
  <si>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</si>
  <si>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</si>
  <si>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</si>
  <si>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</si>
  <si>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</si>
  <si>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</si>
  <si>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</si>
  <si>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</si>
  <si>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</si>
  <si>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</si>
  <si>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</si>
  <si>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</si>
  <si>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</si>
  <si>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</si>
  <si>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</si>
  <si>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</si>
  <si>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</si>
  <si>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</si>
  <si>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</si>
  <si>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</si>
  <si>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</si>
  <si>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</si>
  <si>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</si>
  <si>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</si>
  <si>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</si>
  <si>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</si>
  <si>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</si>
  <si>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</si>
  <si>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</si>
  <si>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</si>
  <si>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</si>
  <si>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</si>
  <si>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</si>
  <si>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</si>
  <si>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</si>
  <si>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</si>
  <si>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</si>
  <si>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</si>
  <si>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</si>
  <si>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</si>
  <si>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</si>
  <si>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</si>
  <si>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</si>
  <si>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</si>
  <si>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</si>
  <si>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</si>
  <si>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</si>
  <si>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</si>
  <si>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</si>
  <si>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</si>
  <si>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</si>
  <si>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</si>
  <si>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</si>
  <si>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</si>
  <si>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</si>
  <si>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</si>
  <si>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</si>
  <si>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</si>
  <si>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</si>
  <si>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</si>
  <si>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</si>
  <si>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</si>
  <si>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</si>
  <si>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</si>
  <si>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</si>
  <si>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</si>
  <si>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</si>
  <si>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</si>
  <si>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</si>
  <si>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</si>
  <si>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</si>
  <si>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</si>
  <si>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</si>
  <si>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</si>
  <si>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</si>
  <si>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</si>
  <si>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</si>
  <si>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</si>
  <si>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</si>
  <si>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</si>
  <si>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</si>
  <si>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</si>
  <si>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</si>
  <si>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</si>
  <si>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</si>
  <si>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</si>
  <si>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</si>
  <si>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</si>
  <si>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</si>
  <si>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</si>
  <si>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</si>
  <si>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</si>
  <si>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</si>
  <si>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</si>
  <si>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</si>
  <si>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</si>
  <si>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</si>
  <si>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</si>
  <si>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</si>
  <si>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</si>
  <si>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</si>
  <si>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</si>
  <si>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</si>
  <si>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</si>
  <si>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</si>
  <si>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</si>
  <si>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</si>
  <si>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</si>
  <si>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</si>
  <si>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</si>
  <si>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</si>
  <si>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</si>
  <si>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</si>
  <si>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</si>
  <si>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</si>
  <si>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</si>
  <si>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</si>
  <si>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</si>
  <si>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</si>
  <si>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</si>
  <si>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</si>
  <si>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</si>
  <si>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</si>
  <si>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</si>
  <si>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</si>
  <si>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</si>
  <si>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</si>
  <si>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</si>
  <si>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</si>
  <si>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</si>
  <si>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</si>
  <si>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</si>
  <si>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</si>
  <si>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</si>
  <si>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</si>
  <si>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</si>
  <si>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</si>
  <si>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</si>
  <si>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</si>
  <si>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</si>
  <si>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</si>
  <si>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</si>
  <si>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</si>
  <si>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</si>
  <si>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</si>
  <si>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</si>
  <si>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</si>
  <si>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</si>
  <si>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</si>
  <si>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</si>
  <si>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</si>
  <si>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</si>
  <si>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</si>
  <si>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</si>
  <si>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</si>
  <si>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</si>
  <si>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</si>
  <si>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</si>
  <si>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</si>
  <si>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</si>
  <si>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</si>
  <si>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</si>
  <si>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</si>
  <si>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</si>
  <si>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</si>
  <si>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</si>
  <si>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</si>
  <si>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</si>
  <si>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</si>
  <si>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</si>
  <si>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</si>
  <si>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</si>
  <si>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</si>
  <si>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</si>
  <si>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</si>
  <si>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</si>
  <si>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</si>
  <si>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</si>
  <si>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</si>
  <si>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</si>
  <si>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</si>
  <si>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</si>
  <si>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</si>
  <si>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</si>
  <si>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</si>
  <si>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</si>
  <si>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</si>
  <si>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</si>
  <si>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</si>
  <si>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</si>
  <si>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</si>
  <si>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</si>
  <si>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</si>
  <si>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</si>
  <si>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</si>
  <si>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</si>
  <si>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</si>
  <si>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</si>
  <si>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</si>
  <si>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</si>
  <si>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</si>
  <si>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</si>
  <si>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</si>
  <si>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</si>
  <si>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</si>
  <si>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</si>
  <si>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</si>
  <si>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</si>
  <si>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</si>
  <si>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</si>
  <si>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</si>
  <si>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</si>
  <si>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</si>
  <si>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</si>
  <si>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</si>
  <si>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</si>
  <si>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</si>
  <si>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</si>
  <si>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</si>
  <si>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</si>
  <si>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</si>
  <si>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</si>
  <si>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</si>
  <si>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</si>
  <si>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</si>
  <si>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</si>
  <si>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</si>
  <si>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</si>
  <si>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</si>
  <si>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</si>
  <si>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</si>
  <si>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</si>
  <si>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</si>
  <si>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</si>
  <si>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</si>
  <si>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</si>
  <si>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</si>
  <si>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</si>
  <si>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</si>
  <si>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</si>
  <si>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</si>
  <si>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</si>
  <si>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</si>
  <si>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</si>
  <si>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</si>
  <si>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</si>
  <si>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</si>
  <si>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</si>
  <si>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</si>
  <si>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</si>
  <si>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</si>
  <si>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</si>
  <si>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</si>
  <si>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</si>
  <si>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</si>
  <si>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</si>
  <si>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</si>
  <si>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</si>
  <si>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</si>
  <si>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</si>
  <si>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</si>
  <si>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</si>
  <si>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</si>
  <si>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</si>
  <si>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</si>
  <si>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</si>
  <si>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</si>
  <si>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</si>
  <si>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</si>
  <si>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</si>
  <si>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</si>
  <si>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</si>
  <si>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</si>
  <si>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</si>
  <si>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</si>
  <si>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</si>
  <si>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</si>
  <si>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</si>
  <si>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</si>
  <si>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</si>
  <si>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</si>
  <si>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</si>
  <si>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</si>
  <si>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</si>
  <si>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</si>
  <si>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</si>
  <si>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</si>
  <si>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</si>
  <si>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</si>
  <si>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</si>
  <si>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</si>
  <si>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</si>
  <si>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</si>
  <si>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</si>
  <si>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</si>
  <si>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</si>
  <si>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</si>
  <si>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</si>
  <si>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</si>
  <si>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</si>
  <si>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</si>
  <si>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</si>
  <si>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</si>
  <si>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</si>
  <si>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</si>
  <si>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</si>
  <si>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</si>
  <si>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</si>
  <si>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</si>
  <si>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</si>
  <si>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</si>
  <si>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</si>
  <si>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</si>
  <si>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</si>
  <si>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</si>
  <si>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</si>
  <si>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</si>
  <si>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</si>
  <si>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</si>
  <si>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</si>
  <si>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</si>
  <si>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</si>
  <si>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</si>
  <si>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</si>
  <si>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</si>
  <si>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</si>
  <si>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</si>
  <si>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</si>
  <si>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</si>
  <si>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</si>
  <si>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</si>
  <si>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</si>
  <si>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</si>
  <si>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</si>
  <si>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</si>
  <si>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</si>
  <si>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</si>
  <si>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</si>
  <si>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</si>
  <si>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</si>
  <si>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</si>
  <si>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</si>
  <si>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</si>
  <si>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</si>
  <si>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</si>
  <si>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</si>
  <si>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</si>
  <si>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</si>
  <si>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</si>
  <si>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</si>
  <si>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</si>
  <si>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</si>
  <si>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</si>
  <si>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</si>
  <si>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</si>
  <si>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</si>
  <si>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</si>
  <si>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</si>
  <si>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</si>
  <si>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</si>
  <si>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</si>
  <si>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</si>
  <si>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</si>
  <si>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</si>
  <si>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</si>
  <si>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</si>
  <si>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</si>
  <si>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</si>
  <si>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</si>
  <si>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</si>
  <si>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</si>
  <si>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</si>
  <si>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</si>
  <si>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</si>
  <si>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</si>
  <si>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</si>
  <si>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</si>
  <si>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</si>
  <si>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</si>
  <si>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</si>
  <si>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</si>
  <si>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</si>
  <si>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</si>
  <si>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</si>
  <si>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</si>
  <si>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</si>
  <si>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</si>
  <si>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</si>
  <si>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</si>
  <si>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</si>
  <si>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</si>
  <si>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</si>
  <si>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</si>
  <si>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</si>
  <si>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</si>
  <si>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</si>
  <si>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</si>
  <si>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</si>
  <si>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</si>
  <si>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</si>
  <si>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</si>
  <si>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</si>
  <si>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</si>
  <si>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</si>
  <si>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</si>
  <si>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</si>
  <si>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</si>
  <si>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</si>
  <si>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</si>
  <si>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</si>
  <si>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</si>
  <si>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</si>
  <si>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</si>
  <si>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</si>
  <si>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</si>
  <si>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</si>
  <si>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</si>
  <si>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</si>
  <si>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</si>
  <si>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</si>
  <si>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</si>
  <si>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</si>
  <si>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</si>
  <si>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</si>
  <si>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</si>
  <si>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</si>
  <si>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</si>
  <si>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</si>
  <si>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</si>
  <si>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</si>
  <si>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</si>
  <si>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</si>
  <si>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</si>
  <si>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</si>
  <si>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</si>
  <si>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</si>
  <si>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</si>
  <si>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</si>
  <si>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</si>
  <si>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</si>
  <si>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</si>
  <si>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</si>
  <si>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</si>
  <si>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</si>
  <si>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</si>
  <si>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</si>
  <si>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</si>
  <si>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</si>
  <si>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</si>
  <si>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</si>
  <si>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</si>
  <si>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</si>
  <si>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</si>
  <si>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</si>
  <si>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</si>
  <si>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</si>
  <si>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</si>
  <si>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</si>
  <si>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</si>
  <si>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</si>
  <si>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</si>
  <si>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</si>
  <si>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</si>
  <si>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</si>
  <si>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</si>
  <si>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</si>
  <si>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</si>
  <si>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</si>
  <si>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</si>
  <si>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</si>
  <si>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</si>
  <si>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</si>
  <si>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</si>
  <si>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</si>
  <si>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</si>
  <si>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</si>
  <si>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</si>
  <si>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</si>
  <si>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</si>
  <si>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</si>
  <si>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</si>
  <si>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</si>
  <si>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</si>
  <si>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</si>
  <si>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</si>
  <si>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</si>
  <si>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</si>
  <si>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</si>
  <si>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</si>
  <si>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</si>
  <si>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</si>
  <si>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</si>
  <si>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</si>
  <si>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</si>
  <si>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</si>
  <si>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</si>
  <si>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</si>
  <si>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</si>
  <si>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</si>
  <si>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</si>
  <si>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</si>
  <si>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</si>
  <si>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</si>
  <si>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</si>
  <si>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</si>
  <si>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</si>
  <si>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</si>
  <si>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</si>
  <si>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</si>
  <si>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</si>
  <si>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</si>
  <si>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</si>
  <si>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</si>
  <si>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</si>
  <si>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</si>
  <si>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</si>
  <si>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</si>
  <si>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</si>
  <si>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</si>
  <si>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</si>
  <si>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</si>
  <si>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</si>
  <si>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</si>
  <si>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</si>
  <si>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</si>
  <si>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</si>
  <si>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</si>
  <si>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</si>
  <si>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</si>
  <si>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</si>
  <si>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</si>
  <si>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</si>
  <si>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</si>
  <si>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</si>
  <si>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</si>
  <si>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</si>
  <si>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</si>
  <si>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</si>
  <si>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</si>
  <si>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</si>
  <si>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</si>
  <si>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</si>
  <si>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</si>
  <si>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</si>
  <si>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</si>
  <si>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</si>
  <si>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</si>
  <si>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</si>
  <si>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</si>
  <si>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</si>
  <si>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</si>
  <si>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</si>
  <si>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</si>
  <si>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</si>
  <si>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</si>
  <si>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</si>
  <si>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</si>
  <si>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</si>
  <si>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</si>
  <si>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</si>
  <si>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</si>
  <si>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</si>
  <si>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</si>
  <si>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</si>
  <si>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</si>
  <si>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</si>
  <si>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</si>
  <si>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</si>
  <si>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</si>
  <si>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</si>
  <si>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</si>
  <si>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</si>
  <si>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</si>
  <si>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</si>
  <si>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</si>
  <si>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</si>
  <si>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</si>
  <si>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</si>
  <si>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</si>
  <si>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</si>
  <si>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</si>
  <si>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</si>
  <si>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</si>
  <si>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</si>
  <si>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</si>
  <si>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</si>
  <si>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</si>
  <si>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</si>
  <si>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</si>
  <si>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</si>
  <si>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</si>
  <si>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</si>
  <si>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</si>
  <si>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</si>
  <si>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</si>
  <si>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</si>
  <si>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</si>
  <si>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</si>
  <si>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</si>
  <si>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</si>
  <si>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</si>
  <si>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</si>
  <si>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</si>
  <si>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</si>
  <si>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</si>
  <si>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</si>
  <si>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</si>
  <si>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</si>
  <si>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</si>
  <si>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</si>
  <si>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</si>
  <si>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</si>
  <si>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</si>
  <si>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</si>
  <si>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</si>
  <si>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</si>
  <si>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</si>
  <si>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</si>
  <si>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</si>
  <si>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</si>
  <si>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</si>
  <si>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</si>
  <si>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</si>
  <si>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</si>
  <si>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</si>
  <si>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</si>
  <si>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</si>
  <si>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</si>
  <si>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</si>
  <si>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</si>
  <si>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</si>
  <si>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</si>
  <si>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</si>
  <si>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</si>
  <si>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</si>
  <si>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</si>
  <si>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</si>
  <si>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</si>
  <si>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</si>
  <si>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</si>
  <si>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</si>
  <si>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</si>
  <si>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</si>
  <si>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</si>
  <si>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</si>
  <si>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</si>
  <si>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</si>
  <si>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</si>
  <si>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</si>
  <si>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</si>
  <si>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</si>
  <si>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</si>
  <si>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</si>
  <si>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</si>
  <si>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</si>
  <si>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</si>
  <si>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</si>
  <si>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</si>
  <si>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</si>
  <si>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</si>
  <si>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</si>
  <si>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</si>
  <si>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</si>
  <si>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</si>
  <si>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</si>
  <si>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</si>
  <si>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</si>
  <si>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</si>
  <si>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</si>
  <si>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</si>
  <si>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</si>
  <si>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</si>
  <si>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</si>
  <si>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</si>
  <si>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</si>
  <si>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</si>
  <si>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</si>
  <si>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</si>
  <si>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</si>
  <si>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</si>
  <si>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</si>
  <si>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</si>
  <si>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</si>
  <si>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</si>
  <si>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</si>
  <si>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</si>
  <si>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</si>
  <si>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</si>
  <si>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</si>
  <si>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</si>
  <si>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</si>
  <si>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</si>
  <si>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</si>
  <si>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</si>
  <si>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</si>
  <si>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</si>
  <si>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</si>
  <si>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</si>
  <si>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</si>
  <si>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</si>
  <si>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</si>
  <si>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</si>
  <si>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</si>
  <si>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</si>
  <si>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</si>
  <si>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</si>
  <si>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</si>
  <si>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</si>
  <si>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</si>
  <si>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</si>
  <si>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</si>
  <si>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</si>
  <si>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</si>
  <si>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</si>
  <si>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</si>
  <si>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</si>
  <si>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</si>
  <si>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</si>
  <si>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</si>
  <si>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</si>
  <si>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</si>
  <si>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</si>
  <si>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</si>
  <si>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</si>
  <si>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</si>
  <si>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</si>
  <si>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</si>
  <si>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</si>
  <si>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</si>
  <si>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</si>
  <si>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</si>
  <si>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</si>
  <si>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</si>
  <si>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</si>
  <si>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</si>
  <si>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</si>
  <si>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</si>
  <si>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</si>
  <si>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</si>
  <si>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</si>
  <si>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</si>
  <si>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</si>
  <si>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</si>
  <si>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</si>
  <si>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</si>
  <si>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</si>
  <si>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</si>
  <si>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</si>
  <si>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</si>
  <si>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</si>
  <si>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</si>
  <si>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</si>
  <si>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</si>
  <si>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</si>
  <si>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</si>
  <si>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</si>
  <si>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</si>
  <si>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</si>
  <si>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</si>
  <si>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</si>
  <si>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</si>
  <si>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</si>
  <si>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</si>
  <si>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</si>
  <si>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</si>
  <si>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</si>
  <si>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</si>
  <si>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</si>
  <si>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</si>
  <si>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</si>
  <si>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</si>
  <si>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</si>
  <si>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</si>
  <si>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</si>
  <si>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</si>
  <si>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</si>
  <si>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</si>
  <si>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</si>
  <si>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</si>
  <si>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</si>
  <si>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</si>
  <si>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</si>
  <si>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</si>
  <si>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</si>
  <si>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</si>
  <si>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</si>
  <si>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</si>
  <si>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</si>
  <si>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</si>
  <si>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</si>
  <si>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</si>
  <si>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</si>
  <si>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</si>
  <si>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</si>
  <si>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</si>
  <si>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</si>
  <si>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</si>
  <si>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</si>
  <si>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</si>
  <si>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</si>
  <si>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</si>
  <si>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</si>
  <si>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</si>
  <si>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</si>
  <si>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</si>
  <si>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</si>
  <si>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</si>
  <si>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</si>
  <si>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</si>
  <si>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</si>
  <si>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</si>
  <si>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</si>
  <si>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</si>
  <si>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</si>
  <si>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</si>
  <si>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</si>
  <si>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</si>
  <si>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</si>
  <si>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</si>
  <si>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</si>
  <si>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</si>
  <si>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</si>
  <si>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</si>
  <si>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</si>
  <si>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</si>
  <si>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</si>
  <si>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</si>
  <si>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</si>
  <si>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</si>
  <si>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</si>
  <si>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</si>
  <si>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</si>
  <si>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</si>
  <si>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</si>
  <si>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</si>
  <si>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</si>
  <si>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</si>
  <si>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</si>
  <si>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</si>
  <si>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</si>
  <si>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</si>
  <si>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</si>
  <si>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</si>
  <si>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</si>
  <si>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</si>
  <si>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</si>
  <si>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</si>
  <si>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</si>
  <si>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</si>
  <si>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</si>
  <si>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</si>
  <si>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</si>
  <si>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</si>
  <si>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</si>
  <si>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</si>
  <si>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</si>
  <si>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</si>
  <si>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</si>
  <si>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</si>
  <si>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</si>
  <si>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</si>
  <si>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</si>
  <si>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</si>
  <si>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</si>
  <si>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</si>
  <si>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</si>
  <si>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</si>
  <si>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</si>
  <si>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</si>
  <si>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</si>
  <si>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</si>
  <si>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</si>
  <si>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</si>
  <si>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</si>
  <si>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</si>
  <si>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</si>
  <si>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</si>
  <si>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</si>
  <si>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</si>
  <si>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</si>
  <si>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</si>
  <si>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</si>
  <si>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</si>
  <si>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</si>
  <si>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</si>
  <si>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</si>
  <si>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</si>
  <si>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</si>
  <si>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</si>
  <si>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</si>
  <si>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</si>
  <si>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</si>
  <si>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</si>
  <si>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</si>
  <si>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</si>
  <si>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</si>
  <si>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</si>
  <si>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</si>
  <si>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</si>
  <si>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</si>
  <si>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</si>
  <si>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</si>
  <si>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</si>
  <si>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</si>
  <si>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</si>
  <si>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</si>
  <si>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</si>
  <si>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</si>
  <si>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</si>
  <si>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</si>
  <si>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</si>
  <si>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</si>
  <si>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</si>
  <si>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</si>
  <si>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</si>
  <si>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</si>
  <si>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</si>
  <si>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</si>
  <si>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</si>
  <si>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</si>
  <si>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</si>
  <si>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</si>
  <si>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</si>
  <si>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</si>
  <si>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</si>
  <si>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</si>
  <si>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</si>
  <si>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</si>
  <si>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</si>
  <si>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</si>
  <si>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</si>
  <si>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</si>
  <si>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</si>
  <si>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</si>
  <si>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</si>
  <si>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</si>
  <si>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</si>
  <si>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</si>
  <si>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</si>
  <si>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</si>
  <si>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</si>
  <si>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</si>
  <si>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</si>
  <si>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</si>
  <si>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</si>
  <si>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</si>
  <si>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</si>
  <si>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</si>
  <si>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</si>
  <si>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</si>
  <si>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</si>
  <si>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</si>
  <si>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</si>
  <si>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</si>
  <si>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</si>
  <si>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</si>
  <si>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</si>
  <si>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</si>
  <si>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</si>
  <si>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</si>
  <si>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</si>
  <si>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</si>
  <si>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</si>
  <si>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</si>
  <si>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</si>
  <si>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</si>
  <si>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</si>
  <si>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</si>
  <si>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</si>
  <si>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</si>
  <si>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</si>
  <si>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</si>
  <si>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</si>
  <si>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</si>
  <si>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</si>
  <si>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</si>
  <si>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</si>
  <si>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</si>
  <si>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</si>
  <si>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</si>
  <si>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</si>
  <si>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</si>
  <si>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</si>
  <si>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</si>
  <si>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</si>
  <si>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</si>
  <si>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</si>
  <si>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</si>
  <si>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</si>
  <si>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</si>
  <si>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</si>
  <si>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</si>
  <si>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</si>
  <si>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</si>
  <si>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</si>
  <si>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</si>
  <si>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</si>
  <si>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</si>
  <si>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</si>
  <si>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</si>
  <si>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</si>
  <si>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</si>
  <si>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</si>
  <si>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</si>
  <si>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</si>
  <si>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</si>
  <si>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</si>
  <si>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</si>
  <si>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</si>
  <si>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</si>
  <si>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</si>
  <si>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</si>
  <si>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</si>
  <si>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</si>
  <si>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</si>
  <si>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</si>
  <si>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</si>
  <si>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</si>
  <si>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</si>
  <si>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</si>
  <si>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</si>
  <si>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</si>
  <si>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</si>
  <si>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</si>
  <si>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</si>
  <si>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</si>
  <si>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</si>
  <si>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</si>
  <si>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</si>
  <si>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</si>
  <si>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</si>
  <si>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</si>
  <si>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</si>
  <si>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</si>
  <si>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</si>
  <si>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</si>
  <si>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</si>
  <si>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</si>
  <si>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</si>
  <si>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</si>
  <si>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</si>
  <si>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</si>
  <si>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</si>
  <si>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</si>
  <si>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</si>
  <si>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</si>
  <si>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</si>
  <si>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</si>
  <si>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</si>
  <si>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</si>
  <si>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</si>
  <si>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</si>
  <si>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</si>
  <si>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</si>
  <si>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</si>
  <si>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</si>
  <si>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</si>
  <si>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</si>
  <si>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</si>
  <si>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</si>
  <si>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</si>
  <si>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</si>
  <si>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</si>
  <si>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</si>
  <si>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</si>
  <si>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</si>
  <si>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</si>
  <si>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</si>
  <si>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</si>
  <si>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</si>
  <si>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</si>
  <si>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</si>
  <si>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</si>
  <si>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</si>
  <si>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</si>
  <si>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</si>
  <si>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</si>
  <si>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</si>
  <si>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</si>
  <si>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</si>
  <si>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</si>
  <si>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</si>
  <si>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</si>
  <si>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</si>
  <si>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</si>
  <si>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</si>
  <si>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</si>
  <si>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</si>
  <si>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</si>
  <si>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</si>
  <si>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</si>
  <si>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</si>
  <si>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</si>
  <si>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</si>
  <si>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</si>
  <si>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</si>
  <si>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</si>
  <si>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</si>
  <si>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</si>
  <si>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</si>
  <si>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</si>
  <si>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</si>
  <si>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</si>
  <si>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</si>
  <si>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</si>
  <si>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</si>
  <si>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</si>
  <si>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</si>
  <si>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</si>
  <si>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</si>
  <si>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</si>
  <si>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</si>
  <si>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</si>
  <si>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</si>
  <si>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</si>
  <si>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</si>
  <si>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</si>
  <si>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</si>
  <si>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</si>
  <si>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</si>
  <si>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</si>
  <si>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</si>
  <si>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</si>
  <si>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</si>
  <si>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</si>
  <si>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</si>
  <si>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</si>
  <si>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</si>
  <si>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</si>
  <si>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</si>
  <si>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</si>
  <si>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</si>
  <si>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</si>
  <si>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</si>
  <si>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</si>
  <si>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</si>
  <si>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</si>
  <si>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</si>
  <si>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</si>
  <si>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</si>
  <si>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</si>
  <si>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</si>
  <si>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</si>
  <si>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</si>
  <si>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</si>
  <si>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</si>
  <si>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</si>
  <si>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</si>
  <si>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</si>
  <si>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</si>
  <si>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</si>
  <si>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</si>
  <si>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</si>
  <si>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</si>
  <si>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</si>
  <si>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</si>
  <si>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</si>
  <si>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</si>
  <si>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</si>
  <si>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</si>
  <si>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</si>
  <si>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</si>
  <si>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</si>
  <si>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</si>
  <si>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</si>
  <si>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</si>
  <si>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</si>
  <si>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</si>
  <si>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</si>
  <si>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</si>
  <si>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</si>
  <si>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</si>
  <si>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</si>
  <si>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</si>
  <si>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</si>
  <si>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</si>
  <si>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</si>
  <si>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</si>
  <si>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</si>
  <si>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</si>
  <si>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</si>
  <si>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</si>
  <si>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</si>
  <si>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</si>
  <si>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</si>
  <si>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</si>
  <si>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</si>
  <si>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</si>
  <si>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</si>
  <si>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</si>
  <si>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</si>
  <si>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</si>
  <si>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</si>
  <si>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</si>
  <si>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</si>
  <si>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</si>
  <si>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</si>
  <si>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</si>
  <si>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</si>
  <si>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</si>
  <si>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</si>
  <si>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</si>
  <si>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</si>
  <si>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</si>
  <si>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</si>
  <si>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</si>
  <si>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</si>
  <si>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</si>
  <si>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</si>
  <si>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</si>
  <si>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</si>
  <si>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</si>
  <si>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</si>
  <si>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</si>
  <si>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</si>
  <si>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</si>
  <si>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</si>
  <si>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</si>
  <si>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</si>
  <si>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</si>
  <si>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</si>
  <si>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</si>
  <si>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</si>
  <si>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</si>
  <si>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</si>
  <si>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</si>
  <si>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</si>
  <si>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</si>
  <si>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</si>
  <si>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</si>
  <si>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</si>
  <si>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</si>
  <si>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</si>
  <si>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</si>
  <si>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</si>
  <si>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</si>
  <si>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</si>
  <si>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</si>
  <si>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</si>
  <si>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</si>
  <si>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</si>
  <si>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</si>
  <si>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</si>
  <si>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</si>
  <si>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</si>
  <si>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</si>
  <si>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</si>
  <si>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</si>
  <si>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</si>
  <si>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</si>
  <si>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</si>
  <si>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</si>
  <si>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</si>
  <si>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</si>
  <si>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</si>
  <si>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</si>
  <si>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</si>
  <si>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</si>
  <si>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</si>
  <si>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</si>
  <si>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</si>
  <si>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</si>
  <si>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</si>
  <si>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</si>
  <si>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</si>
  <si>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</si>
  <si>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</si>
  <si>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</si>
  <si>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</si>
  <si>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</si>
  <si>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</si>
  <si>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</si>
  <si>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</si>
  <si>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</si>
  <si>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</si>
  <si>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</si>
  <si>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</si>
  <si>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</si>
  <si>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</si>
  <si>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</si>
  <si>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</si>
  <si>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</si>
  <si>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</si>
  <si>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</si>
  <si>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</si>
  <si>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</si>
  <si>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</si>
  <si>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</si>
  <si>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</si>
  <si>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</si>
  <si>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</si>
  <si>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</si>
  <si>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</si>
  <si>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</si>
  <si>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</si>
  <si>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</si>
  <si>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</si>
  <si>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</si>
  <si>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</si>
  <si>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</si>
  <si>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</si>
  <si>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</si>
  <si>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</si>
  <si>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</si>
  <si>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</si>
  <si>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</si>
  <si>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</si>
  <si>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</si>
  <si>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</si>
  <si>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</si>
  <si>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</si>
  <si>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</si>
  <si>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</si>
  <si>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</si>
  <si>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</si>
  <si>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</si>
  <si>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</si>
  <si>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</si>
  <si>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</si>
  <si>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</si>
  <si>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</si>
  <si>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</si>
  <si>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</si>
  <si>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</si>
  <si>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</si>
  <si>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</si>
  <si>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</si>
  <si>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</si>
  <si>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</si>
  <si>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</si>
  <si>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</si>
  <si>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</si>
  <si>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</si>
  <si>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</si>
  <si>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</si>
  <si>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</si>
  <si>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</si>
  <si>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</si>
  <si>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</si>
  <si>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</si>
  <si>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</si>
  <si>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</si>
  <si>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</si>
  <si>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</si>
  <si>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</si>
  <si>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</si>
  <si>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</si>
  <si>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</si>
  <si>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</si>
  <si>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</si>
  <si>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</si>
  <si>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</si>
  <si>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</si>
  <si>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</si>
  <si>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</si>
  <si>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</si>
  <si>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</si>
  <si>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</si>
  <si>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</si>
  <si>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</si>
  <si>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</si>
  <si>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</si>
  <si>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</si>
  <si>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</si>
  <si>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</si>
  <si>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</si>
  <si>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</si>
  <si>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</si>
  <si>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</si>
  <si>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</si>
  <si>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</si>
  <si>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</si>
  <si>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</si>
  <si>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</si>
  <si>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</si>
  <si>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</si>
  <si>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</si>
  <si>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</si>
  <si>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</si>
  <si>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</si>
  <si>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</si>
  <si>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</si>
  <si>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</si>
  <si>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</si>
  <si>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</si>
  <si>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</si>
  <si>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</si>
  <si>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</si>
  <si>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</si>
  <si>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</si>
  <si>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</si>
  <si>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</si>
  <si>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</si>
  <si>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</si>
  <si>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</si>
  <si>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</si>
  <si>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</si>
  <si>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</si>
  <si>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</si>
  <si>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</si>
  <si>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</si>
  <si>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</si>
  <si>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</si>
  <si>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</si>
  <si>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</si>
  <si>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</si>
  <si>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</si>
  <si>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</si>
  <si>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</si>
  <si>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</si>
  <si>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</si>
  <si>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</si>
  <si>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</si>
  <si>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</si>
  <si>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</si>
  <si>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</si>
  <si>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</si>
  <si>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</si>
  <si>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</si>
  <si>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</si>
  <si>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</si>
  <si>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</si>
  <si>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</si>
  <si>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</si>
  <si>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</si>
  <si>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</si>
  <si>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</si>
  <si>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</si>
  <si>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</si>
  <si>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</si>
  <si>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</si>
  <si>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</si>
  <si>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</si>
  <si>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</si>
  <si>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</si>
  <si>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</si>
  <si>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</si>
  <si>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</si>
  <si>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</si>
  <si>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</si>
  <si>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</si>
  <si>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</si>
  <si>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</si>
  <si>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</si>
  <si>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</si>
  <si>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</si>
  <si>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</si>
  <si>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</si>
  <si>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</si>
  <si>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</si>
  <si>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</si>
  <si>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</si>
  <si>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</si>
  <si>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</si>
  <si>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</si>
  <si>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</si>
  <si>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</si>
  <si>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</si>
  <si>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</si>
  <si>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</si>
  <si>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</si>
  <si>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</si>
  <si>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</si>
  <si>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</si>
  <si>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</si>
  <si>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</si>
  <si>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</si>
  <si>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</si>
  <si>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</si>
  <si>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</si>
  <si>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</si>
  <si>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</si>
  <si>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</si>
  <si>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</si>
  <si>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</si>
  <si>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</si>
  <si>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</si>
  <si>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</si>
  <si>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</si>
  <si>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</si>
  <si>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</si>
  <si>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</si>
  <si>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</si>
  <si>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</si>
  <si>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</si>
  <si>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</si>
  <si>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</si>
  <si>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</si>
  <si>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</si>
  <si>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</si>
  <si>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</si>
  <si>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</si>
  <si>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</si>
  <si>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</si>
  <si>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</si>
  <si>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</si>
  <si>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</si>
  <si>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</si>
  <si>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</si>
  <si>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</si>
  <si>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</si>
  <si>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</si>
  <si>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</si>
  <si>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</si>
  <si>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</si>
  <si>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</si>
  <si>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</si>
  <si>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</si>
  <si>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</si>
  <si>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</si>
  <si>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</si>
  <si>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</si>
  <si>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</si>
  <si>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</si>
  <si>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</si>
  <si>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</si>
  <si>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</si>
  <si>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</si>
  <si>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</si>
  <si>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</si>
  <si>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</si>
  <si>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</si>
  <si>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</si>
  <si>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</si>
  <si>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</si>
  <si>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</si>
  <si>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</si>
  <si>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</si>
  <si>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</si>
  <si>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</si>
  <si>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</si>
  <si>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</si>
  <si>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</si>
  <si>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</si>
  <si>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</si>
  <si>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</si>
  <si>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</si>
  <si>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</si>
  <si>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</si>
  <si>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</si>
  <si>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</si>
  <si>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</si>
  <si>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</si>
  <si>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</si>
  <si>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</si>
  <si>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</si>
  <si>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</si>
  <si>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</si>
  <si>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</si>
  <si>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</si>
  <si>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</si>
  <si>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</si>
  <si>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</si>
  <si>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</si>
  <si>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</si>
  <si>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</si>
  <si>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</si>
  <si>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</si>
  <si>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</si>
  <si>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</si>
  <si>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</si>
  <si>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</si>
  <si>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</si>
  <si>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</si>
  <si>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</si>
  <si>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</si>
  <si>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</si>
  <si>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</si>
  <si>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</si>
  <si>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</si>
  <si>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</si>
  <si>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</si>
  <si>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</si>
  <si>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</si>
  <si>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</si>
  <si>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</si>
  <si>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</si>
  <si>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</si>
  <si>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</si>
  <si>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</si>
  <si>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</si>
  <si>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</si>
  <si>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</si>
  <si>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</si>
  <si>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</si>
  <si>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</si>
  <si>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</si>
  <si>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</si>
  <si>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</si>
  <si>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</si>
  <si>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</si>
  <si>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</si>
  <si>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</si>
  <si>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</si>
  <si>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</si>
  <si>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</si>
  <si>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</si>
  <si>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</si>
  <si>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</si>
  <si>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</si>
  <si>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</si>
  <si>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</si>
  <si>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</si>
  <si>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</si>
  <si>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</si>
  <si>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</si>
  <si>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</si>
  <si>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</si>
  <si>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</si>
  <si>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</si>
  <si>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</si>
  <si>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</si>
  <si>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</si>
  <si>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</si>
  <si>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</si>
  <si>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</si>
  <si>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</si>
  <si>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</si>
  <si>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</si>
  <si>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</si>
  <si>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</si>
  <si>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</si>
  <si>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</si>
  <si>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</si>
  <si>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</si>
  <si>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</si>
  <si>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</si>
  <si>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</si>
  <si>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</si>
  <si>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</si>
  <si>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</si>
  <si>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</si>
  <si>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</si>
  <si>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</si>
  <si>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</si>
  <si>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</si>
  <si>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</si>
  <si>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</si>
  <si>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</si>
  <si>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</si>
  <si>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</si>
  <si>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</si>
  <si>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</si>
  <si>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</si>
  <si>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</si>
  <si>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</si>
  <si>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</si>
  <si>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</si>
  <si>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</si>
  <si>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</si>
  <si>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</si>
  <si>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</si>
  <si>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</si>
  <si>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</si>
  <si>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</si>
  <si>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</si>
  <si>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</si>
  <si>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</si>
  <si>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</si>
  <si>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</si>
  <si>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</si>
  <si>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</si>
  <si>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</si>
  <si>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</si>
  <si>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</si>
  <si>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</si>
  <si>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</si>
  <si>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</si>
  <si>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</si>
  <si>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</si>
  <si>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</si>
  <si>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</si>
  <si>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</si>
  <si>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</si>
  <si>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</si>
  <si>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</si>
  <si>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</si>
  <si>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</si>
  <si>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</si>
  <si>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</si>
  <si>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</si>
  <si>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</si>
  <si>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</si>
  <si>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</si>
  <si>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</si>
  <si>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</si>
  <si>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</si>
  <si>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</si>
  <si>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</si>
  <si>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</si>
  <si>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</si>
  <si>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</si>
  <si>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</si>
  <si>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</si>
  <si>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</si>
  <si>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</si>
  <si>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</si>
  <si>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</si>
  <si>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</si>
  <si>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</si>
  <si>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</si>
  <si>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</si>
  <si>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</si>
  <si>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</si>
  <si>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</si>
  <si>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</si>
  <si>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</si>
  <si>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</si>
  <si>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</si>
  <si>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</si>
  <si>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</si>
  <si>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</si>
  <si>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</si>
  <si>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</si>
  <si>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</si>
  <si>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</si>
  <si>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</si>
  <si>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</si>
  <si>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</si>
  <si>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</si>
  <si>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</si>
  <si>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</si>
  <si>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</si>
  <si>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</si>
  <si>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</si>
  <si>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</si>
  <si>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</si>
  <si>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</si>
  <si>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</si>
  <si>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</si>
  <si>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</si>
  <si>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</si>
  <si>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</si>
  <si>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</si>
  <si>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</si>
  <si>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</si>
  <si>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</si>
  <si>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</si>
  <si>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</si>
  <si>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</si>
  <si>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</si>
  <si>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</si>
  <si>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</si>
  <si>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</si>
  <si>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</si>
  <si>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</si>
  <si>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</si>
  <si>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</si>
  <si>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</si>
  <si>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</si>
  <si>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</si>
  <si>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</si>
  <si>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</si>
  <si>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</si>
  <si>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</si>
  <si>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</si>
  <si>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</si>
  <si>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</si>
  <si>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</si>
  <si>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</si>
  <si>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</si>
  <si>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</si>
  <si>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</si>
  <si>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</si>
  <si>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</si>
  <si>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</si>
  <si>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</si>
  <si>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</si>
  <si>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</si>
  <si>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</si>
  <si>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</si>
  <si>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</si>
  <si>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</si>
  <si>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</si>
  <si>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</si>
  <si>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</si>
  <si>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</si>
  <si>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</si>
  <si>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</si>
  <si>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</si>
  <si>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</si>
  <si>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</si>
  <si>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</si>
  <si>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</si>
  <si>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</si>
  <si>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</si>
  <si>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</si>
  <si>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</si>
  <si>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</si>
  <si>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</si>
  <si>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</si>
  <si>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</si>
  <si>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</si>
  <si>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</si>
  <si>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</si>
  <si>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</si>
  <si>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</si>
  <si>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</si>
  <si>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</si>
  <si>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</si>
  <si>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</si>
  <si>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</si>
  <si>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</si>
  <si>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</si>
  <si>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</si>
  <si>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</si>
  <si>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</si>
  <si>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</si>
  <si>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</si>
  <si>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</si>
  <si>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</si>
  <si>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</si>
  <si>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</si>
  <si>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</si>
  <si>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</si>
  <si>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</si>
  <si>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</si>
  <si>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</si>
  <si>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</si>
  <si>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</si>
  <si>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</si>
  <si>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</si>
  <si>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</si>
  <si>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</si>
  <si>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</si>
  <si>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</si>
  <si>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</si>
  <si>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</si>
  <si>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</si>
  <si>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</si>
  <si>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</si>
  <si>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</si>
  <si>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</si>
  <si>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</si>
  <si>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</si>
  <si>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</si>
  <si>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</si>
  <si>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</si>
  <si>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</si>
  <si>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</si>
  <si>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</si>
  <si>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</si>
  <si>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</si>
  <si>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</si>
  <si>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</si>
  <si>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</si>
  <si>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</si>
  <si>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</si>
  <si>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</si>
  <si>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</si>
  <si>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</si>
  <si>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</si>
  <si>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</si>
  <si>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</si>
  <si>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</si>
  <si>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</si>
  <si>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</si>
  <si>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</si>
  <si>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</si>
  <si>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</si>
  <si>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</si>
  <si>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</si>
  <si>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</si>
  <si>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</si>
  <si>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</si>
  <si>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</si>
  <si>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</si>
  <si>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</si>
  <si>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</si>
  <si>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</si>
  <si>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</si>
  <si>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</si>
  <si>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</si>
  <si>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</si>
  <si>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</si>
  <si>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</si>
  <si>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</si>
  <si>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</si>
  <si>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</si>
  <si>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</si>
  <si>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</si>
  <si>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</si>
  <si>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</si>
  <si>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</si>
  <si>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</si>
  <si>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</si>
  <si>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</si>
  <si>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</si>
  <si>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</si>
  <si>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</si>
  <si>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</si>
  <si>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</si>
  <si>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</si>
  <si>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</si>
  <si>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</si>
  <si>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</si>
  <si>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</si>
  <si>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</si>
  <si>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</si>
  <si>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</si>
  <si>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</si>
  <si>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</si>
  <si>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</si>
  <si>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</si>
  <si>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</si>
  <si>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</si>
  <si>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</si>
  <si>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</si>
  <si>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</si>
  <si>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</si>
  <si>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</si>
  <si>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</si>
  <si>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</si>
  <si>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</si>
  <si>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</si>
  <si>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</si>
  <si>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</si>
  <si>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</si>
  <si>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</si>
  <si>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</si>
  <si>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</si>
  <si>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</si>
  <si>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</si>
  <si>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</si>
  <si>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</si>
  <si>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</si>
  <si>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</si>
  <si>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</si>
  <si>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</si>
  <si>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</si>
  <si>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</si>
  <si>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</si>
  <si>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</si>
  <si>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</si>
  <si>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</si>
  <si>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</si>
  <si>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</si>
  <si>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</si>
  <si>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</si>
  <si>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</si>
  <si>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</si>
  <si>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</si>
  <si>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</si>
  <si>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</si>
  <si>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</si>
  <si>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</si>
  <si>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</si>
  <si>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</si>
  <si>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</si>
  <si>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</si>
  <si>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</si>
  <si>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</si>
  <si>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</si>
  <si>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</si>
  <si>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</si>
  <si>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</si>
  <si>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</si>
  <si>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</si>
  <si>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</si>
  <si>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</si>
  <si>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</si>
  <si>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</si>
  <si>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</si>
  <si>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</si>
  <si>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</si>
  <si>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</si>
  <si>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</si>
  <si>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</si>
  <si>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</si>
  <si>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</si>
  <si>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</si>
  <si>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</si>
  <si>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</si>
  <si>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</si>
  <si>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</si>
  <si>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</si>
  <si>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</si>
  <si>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</si>
  <si>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</si>
  <si>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</si>
  <si>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</si>
  <si>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</si>
  <si>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</si>
  <si>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</si>
  <si>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</si>
  <si>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</si>
  <si>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</si>
  <si>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</si>
  <si>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</si>
  <si>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</si>
  <si>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</si>
  <si>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</si>
  <si>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</si>
  <si>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</si>
  <si>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</si>
  <si>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</si>
  <si>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</si>
  <si>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</si>
  <si>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</si>
  <si>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</si>
  <si>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</si>
  <si>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</si>
  <si>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</si>
  <si>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</si>
  <si>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</si>
  <si>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</si>
  <si>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</si>
  <si>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</si>
  <si>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</si>
  <si>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</si>
  <si>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</si>
  <si>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</si>
  <si>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</si>
  <si>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</si>
  <si>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</si>
  <si>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</si>
  <si>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</si>
  <si>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</si>
  <si>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</si>
  <si>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</si>
  <si>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</si>
  <si>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</si>
  <si>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</si>
  <si>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</si>
  <si>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</si>
  <si>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</si>
  <si>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</si>
  <si>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</si>
  <si>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</si>
  <si>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</si>
  <si>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</si>
  <si>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</si>
  <si>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</si>
  <si>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</si>
  <si>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</si>
  <si>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</si>
  <si>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</si>
  <si>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</si>
  <si>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</si>
  <si>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</si>
  <si>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</si>
  <si>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</si>
  <si>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</si>
  <si>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</si>
  <si>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</si>
  <si>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</si>
  <si>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</si>
  <si>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</si>
  <si>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</si>
  <si>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</si>
  <si>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</si>
  <si>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</si>
  <si>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</si>
  <si>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</si>
  <si>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</si>
  <si>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</si>
  <si>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</si>
  <si>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</si>
  <si>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</si>
  <si>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</si>
  <si>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</si>
  <si>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</si>
  <si>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</si>
  <si>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</si>
  <si>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</si>
  <si>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</si>
  <si>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</si>
  <si>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</si>
  <si>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</si>
  <si>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</si>
  <si>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</si>
  <si>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</si>
  <si>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</si>
  <si>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</si>
  <si>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</si>
  <si>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</si>
  <si>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</si>
  <si>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</si>
  <si>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</si>
  <si>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</si>
  <si>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</si>
  <si>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</si>
  <si>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</si>
  <si>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</si>
  <si>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</si>
  <si>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</si>
  <si>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</si>
  <si>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</si>
  <si>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</si>
  <si>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</si>
  <si>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</si>
  <si>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</si>
  <si>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</si>
  <si>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</si>
  <si>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</si>
  <si>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</si>
  <si>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</si>
  <si>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</si>
  <si>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</si>
  <si>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</si>
  <si>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</si>
  <si>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</si>
  <si>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</si>
  <si>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</si>
  <si>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</si>
  <si>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</si>
  <si>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</si>
  <si>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</si>
  <si>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</si>
  <si>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</si>
  <si>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</si>
  <si>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</si>
  <si>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</si>
  <si>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</si>
  <si>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</si>
  <si>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</si>
  <si>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</si>
  <si>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</si>
  <si>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</si>
  <si>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</si>
  <si>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</si>
  <si>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</si>
  <si>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</si>
  <si>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</si>
  <si>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</si>
  <si>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</si>
  <si>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</si>
  <si>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</si>
  <si>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</si>
  <si>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</si>
  <si>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</si>
  <si>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</si>
  <si>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</si>
  <si>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</si>
  <si>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</si>
  <si>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</si>
  <si>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</si>
  <si>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</si>
  <si>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</si>
  <si>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</si>
  <si>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</si>
  <si>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</si>
  <si>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</si>
  <si>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</si>
  <si>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</si>
  <si>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</si>
  <si>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</si>
  <si>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</si>
  <si>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</si>
  <si>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</si>
  <si>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</si>
  <si>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</si>
  <si>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</si>
  <si>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</si>
  <si>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</si>
  <si>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</si>
  <si>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</si>
  <si>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</si>
  <si>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</si>
  <si>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</si>
  <si>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</si>
  <si>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</si>
  <si>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</si>
  <si>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</si>
  <si>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</si>
  <si>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</si>
  <si>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</si>
  <si>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</si>
  <si>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</si>
  <si>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</si>
  <si>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</si>
  <si>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</si>
  <si>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</si>
  <si>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</si>
  <si>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</si>
  <si>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</si>
  <si>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</si>
  <si>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</si>
  <si>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</si>
  <si>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</si>
  <si>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</si>
  <si>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</si>
  <si>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</si>
  <si>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</si>
  <si>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</si>
  <si>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</si>
  <si>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</si>
  <si>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</si>
  <si>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</si>
  <si>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</si>
  <si>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</si>
  <si>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</si>
  <si>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</si>
  <si>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</si>
  <si>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</si>
  <si>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</si>
  <si>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</si>
  <si>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</si>
  <si>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</si>
  <si>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</si>
  <si>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</si>
  <si>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</si>
  <si>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</si>
  <si>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</si>
  <si>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</si>
  <si>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</si>
  <si>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</si>
  <si>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</si>
  <si>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</si>
  <si>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</si>
  <si>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</si>
  <si>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</si>
  <si>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</si>
  <si>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</si>
  <si>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</si>
  <si>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</si>
  <si>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</si>
  <si>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</si>
  <si>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</si>
  <si>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</si>
  <si>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</si>
  <si>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</si>
  <si>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</si>
  <si>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</si>
  <si>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</si>
  <si>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</si>
  <si>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</si>
  <si>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</si>
  <si>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</si>
  <si>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</si>
  <si>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</si>
  <si>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</si>
  <si>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</si>
  <si>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</si>
  <si>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</si>
  <si>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</si>
  <si>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</si>
  <si>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</si>
  <si>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</si>
  <si>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</si>
  <si>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</si>
  <si>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</si>
  <si>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</si>
  <si>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</si>
  <si>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</si>
  <si>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</si>
  <si>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</si>
  <si>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</si>
  <si>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</si>
  <si>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</si>
  <si>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</si>
  <si>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</si>
  <si>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</si>
  <si>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</si>
  <si>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</si>
  <si>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</si>
  <si>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</si>
  <si>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</si>
  <si>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</si>
  <si>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</si>
  <si>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</si>
  <si>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</si>
  <si>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</si>
  <si>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</si>
  <si>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</si>
  <si>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</si>
  <si>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</si>
  <si>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</si>
  <si>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</si>
  <si>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</si>
  <si>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</si>
  <si>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</si>
  <si>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</si>
  <si>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</si>
  <si>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</si>
  <si>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</si>
  <si>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</si>
  <si>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</si>
  <si>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</si>
  <si>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</si>
  <si>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</si>
  <si>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</si>
  <si>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</si>
  <si>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</si>
  <si>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</si>
  <si>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</si>
  <si>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</si>
  <si>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</si>
  <si>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</si>
  <si>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</si>
  <si>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</si>
  <si>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</si>
  <si>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</si>
  <si>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</si>
  <si>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</si>
  <si>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</si>
  <si>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</si>
  <si>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</si>
  <si>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</si>
  <si>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</si>
  <si>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</si>
  <si>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</si>
  <si>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</si>
  <si>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</si>
  <si>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</si>
  <si>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</si>
  <si>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</si>
  <si>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</si>
  <si>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</si>
  <si>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</si>
  <si>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</si>
  <si>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</si>
  <si>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</si>
  <si>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</si>
  <si>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</si>
  <si>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</si>
  <si>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</si>
  <si>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</si>
  <si>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</si>
  <si>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</si>
  <si>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</si>
  <si>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</si>
  <si>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</si>
  <si>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</si>
  <si>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</si>
  <si>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</si>
  <si>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</si>
  <si>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</si>
  <si>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</si>
  <si>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</si>
  <si>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</si>
  <si>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</si>
  <si>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</si>
  <si>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</si>
  <si>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</si>
  <si>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</si>
  <si>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</si>
  <si>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</si>
  <si>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</si>
  <si>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</si>
  <si>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</si>
  <si>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</si>
  <si>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</si>
  <si>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</si>
  <si>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</si>
  <si>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</si>
  <si>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</si>
  <si>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</si>
  <si>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</si>
  <si>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</si>
  <si>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</si>
  <si>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</si>
  <si>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</si>
  <si>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</si>
  <si>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</si>
  <si>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</si>
  <si>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</si>
  <si>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</si>
  <si>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</si>
  <si>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</si>
  <si>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</si>
  <si>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</si>
  <si>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</si>
  <si>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</si>
  <si>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</si>
  <si>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</si>
  <si>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</si>
  <si>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</si>
  <si>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</si>
  <si>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</si>
  <si>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</si>
  <si>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</si>
  <si>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</si>
  <si>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</si>
  <si>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</si>
  <si>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</si>
  <si>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</si>
  <si>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</si>
  <si>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</si>
  <si>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</si>
  <si>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</si>
  <si>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</si>
  <si>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</si>
  <si>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</si>
  <si>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</si>
  <si>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</si>
  <si>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</si>
  <si>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</si>
  <si>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</si>
  <si>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</si>
  <si>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</si>
  <si>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</si>
  <si>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</si>
  <si>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</si>
  <si>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</si>
  <si>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</si>
  <si>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</si>
  <si>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</si>
  <si>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</si>
  <si>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</si>
  <si>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</si>
  <si>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</si>
  <si>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</si>
  <si>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</si>
  <si>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</si>
  <si>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</si>
  <si>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</si>
  <si>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</si>
  <si>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</si>
  <si>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</si>
  <si>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</si>
  <si>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</si>
  <si>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</si>
  <si>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</si>
  <si>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</si>
  <si>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</si>
  <si>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</si>
  <si>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</si>
  <si>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</si>
  <si>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</si>
  <si>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</si>
  <si>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</si>
  <si>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</si>
  <si>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</si>
  <si>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</si>
  <si>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</si>
  <si>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</si>
  <si>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</si>
  <si>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</si>
  <si>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</si>
  <si>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</si>
  <si>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</si>
  <si>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</si>
  <si>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</si>
  <si>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</si>
  <si>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</si>
  <si>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</si>
  <si>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</si>
  <si>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</si>
  <si>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</si>
  <si>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</si>
  <si>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</si>
  <si>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</si>
  <si>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</si>
  <si>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</si>
  <si>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</si>
  <si>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</si>
  <si>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</si>
  <si>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</si>
  <si>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</si>
  <si>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</si>
  <si>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</si>
  <si>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</si>
  <si>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</si>
  <si>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</si>
  <si>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</si>
  <si>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</si>
  <si>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</si>
  <si>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</si>
  <si>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</si>
  <si>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</si>
  <si>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</si>
  <si>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</si>
  <si>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</si>
  <si>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</si>
  <si>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</si>
  <si>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</si>
  <si>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</si>
  <si>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</si>
  <si>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</si>
  <si>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</si>
  <si>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</si>
  <si>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</si>
  <si>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</si>
  <si>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</si>
  <si>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</si>
  <si>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</si>
  <si>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</si>
  <si>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</si>
  <si>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</si>
  <si>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</si>
  <si>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</si>
  <si>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</si>
  <si>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</si>
  <si>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</si>
  <si>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</si>
  <si>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</si>
  <si>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</si>
  <si>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</si>
  <si>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</si>
  <si>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</si>
  <si>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</si>
  <si>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</si>
  <si>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</si>
  <si>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</si>
  <si>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</si>
  <si>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</si>
  <si>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</si>
  <si>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</si>
  <si>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</si>
  <si>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</si>
  <si>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</si>
  <si>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</si>
  <si>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</si>
  <si>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</si>
  <si>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</si>
  <si>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</si>
  <si>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</si>
  <si>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</si>
  <si>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</si>
  <si>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</si>
  <si>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</si>
  <si>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</si>
  <si>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</si>
  <si>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</si>
  <si>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</si>
  <si>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</si>
  <si>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</si>
  <si>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</si>
  <si>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</si>
  <si>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</si>
  <si>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</si>
  <si>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</si>
  <si>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</si>
  <si>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</si>
  <si>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</si>
  <si>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</si>
  <si>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</si>
  <si>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</si>
  <si>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</si>
  <si>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</si>
  <si>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</si>
  <si>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</si>
  <si>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</si>
  <si>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</si>
  <si>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</si>
  <si>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</si>
  <si>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</si>
  <si>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</si>
  <si>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</si>
  <si>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</si>
  <si>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</si>
  <si>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</si>
  <si>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</si>
  <si>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</si>
  <si>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</si>
  <si>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</si>
  <si>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</si>
  <si>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</si>
  <si>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</si>
  <si>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</si>
  <si>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</si>
  <si>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</si>
  <si>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</si>
  <si>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</si>
  <si>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</si>
  <si>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</si>
  <si>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</si>
  <si>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</si>
  <si>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</si>
  <si>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</si>
  <si>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</si>
  <si>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</si>
  <si>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</si>
  <si>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</si>
  <si>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</si>
  <si>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</si>
  <si>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</si>
  <si>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</si>
  <si>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</si>
  <si>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</si>
  <si>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</si>
  <si>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</si>
  <si>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</si>
  <si>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</si>
  <si>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</si>
  <si>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</si>
  <si>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</si>
  <si>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</si>
  <si>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</si>
  <si>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</si>
  <si>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</si>
  <si>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</si>
  <si>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</si>
  <si>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</si>
  <si>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</si>
  <si>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</si>
  <si>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</si>
  <si>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</si>
  <si>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</si>
  <si>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</si>
  <si>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</si>
  <si>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</si>
  <si>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</si>
  <si>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</si>
  <si>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</si>
  <si>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</si>
  <si>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</si>
  <si>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</si>
  <si>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</si>
  <si>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</si>
  <si>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</si>
  <si>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</si>
  <si>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</si>
  <si>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</si>
  <si>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</si>
  <si>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</si>
  <si>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</si>
  <si>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</si>
  <si>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</si>
  <si>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</si>
  <si>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</si>
  <si>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</si>
  <si>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</si>
  <si>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</si>
  <si>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</si>
  <si>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</si>
  <si>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</si>
  <si>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</si>
  <si>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</si>
  <si>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</si>
  <si>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</si>
  <si>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</si>
  <si>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</si>
  <si>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</si>
  <si>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</si>
  <si>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</si>
  <si>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</si>
  <si>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</si>
  <si>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</si>
  <si>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</si>
  <si>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</si>
  <si>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</si>
  <si>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</si>
  <si>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</si>
  <si>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</si>
  <si>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</si>
  <si>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</si>
  <si>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</si>
  <si>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</si>
  <si>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</si>
  <si>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</si>
  <si>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</si>
  <si>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</si>
  <si>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</si>
  <si>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</si>
  <si>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</si>
  <si>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</si>
  <si>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</si>
  <si>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</si>
  <si>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</si>
  <si>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</si>
  <si>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</si>
  <si>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</si>
  <si>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</si>
  <si>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</si>
  <si>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</si>
  <si>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</si>
  <si>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</si>
  <si>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</si>
  <si>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</si>
  <si>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</si>
  <si>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</si>
  <si>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</si>
  <si>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</si>
  <si>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</si>
  <si>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</si>
  <si>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</si>
  <si>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</si>
  <si>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</si>
  <si>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</si>
  <si>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</si>
  <si>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</si>
  <si>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</si>
  <si>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</si>
  <si>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</si>
  <si>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</si>
  <si>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</si>
  <si>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</si>
  <si>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</si>
  <si>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</si>
  <si>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</si>
  <si>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</si>
  <si>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</si>
  <si>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</si>
  <si>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</si>
  <si>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</si>
  <si>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</si>
  <si>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</si>
  <si>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</si>
  <si>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</si>
  <si>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</si>
  <si>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</si>
  <si>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</si>
  <si>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</si>
  <si>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</si>
  <si>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</si>
  <si>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</si>
  <si>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</si>
  <si>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</si>
  <si>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</si>
  <si>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</si>
  <si>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</si>
  <si>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</si>
  <si>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</si>
  <si>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</si>
  <si>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</si>
  <si>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</si>
  <si>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</si>
  <si>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</si>
  <si>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</si>
  <si>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</si>
  <si>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</si>
  <si>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</si>
  <si>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</si>
  <si>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</si>
  <si>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</si>
  <si>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</si>
  <si>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</si>
  <si>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</si>
  <si>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</si>
  <si>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</si>
  <si>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</si>
  <si>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</si>
  <si>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</si>
  <si>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</si>
  <si>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</si>
  <si>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</si>
  <si>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</si>
  <si>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</si>
  <si>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</si>
  <si>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</si>
  <si>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</si>
  <si>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</si>
  <si>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</si>
  <si>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</si>
  <si>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</si>
  <si>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</si>
  <si>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</si>
  <si>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</si>
  <si>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</si>
  <si>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</si>
  <si>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</si>
  <si>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</si>
  <si>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</si>
  <si>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</si>
  <si>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</si>
  <si>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</si>
  <si>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</si>
  <si>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</si>
  <si>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</si>
  <si>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</si>
  <si>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</si>
  <si>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</si>
  <si>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</si>
  <si>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</si>
  <si>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</si>
  <si>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</si>
  <si>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</si>
  <si>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</si>
  <si>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</si>
  <si>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</si>
  <si>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</si>
  <si>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</si>
  <si>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</si>
  <si>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</si>
  <si>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</si>
  <si>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</si>
  <si>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</si>
  <si>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</si>
  <si>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</si>
  <si>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</si>
  <si>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</si>
  <si>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</si>
  <si>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</si>
  <si>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</si>
  <si>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</si>
  <si>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</si>
  <si>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</si>
  <si>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</si>
  <si>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</si>
  <si>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</si>
  <si>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</si>
  <si>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</si>
  <si>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</si>
  <si>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</si>
  <si>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</si>
  <si>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</si>
  <si>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</si>
  <si>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</si>
  <si>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</si>
  <si>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</si>
  <si>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</si>
  <si>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</si>
  <si>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</si>
  <si>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</si>
  <si>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</si>
  <si>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</si>
  <si>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</si>
  <si>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</si>
  <si>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</si>
  <si>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</si>
  <si>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</si>
  <si>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</si>
  <si>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</si>
  <si>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</si>
  <si>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</si>
  <si>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</si>
  <si>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</si>
  <si>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</si>
  <si>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</si>
  <si>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</si>
  <si>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</si>
  <si>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</si>
  <si>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</si>
  <si>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</si>
  <si>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</si>
  <si>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</si>
  <si>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</si>
  <si>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</si>
  <si>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</si>
  <si>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</si>
  <si>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</si>
  <si>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</si>
  <si>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</si>
  <si>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</si>
  <si>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</si>
  <si>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</si>
  <si>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</si>
  <si>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</si>
  <si>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</si>
  <si>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</si>
  <si>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</si>
  <si>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</si>
  <si>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</si>
  <si>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</si>
  <si>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</si>
  <si>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</si>
  <si>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</si>
  <si>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</si>
  <si>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</si>
  <si>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</si>
  <si>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</si>
  <si>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</si>
  <si>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</si>
  <si>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</si>
  <si>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</si>
  <si>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</si>
  <si>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</si>
  <si>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</si>
  <si>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</si>
  <si>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</si>
  <si>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</si>
  <si>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</si>
  <si>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</si>
  <si>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</si>
  <si>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</si>
  <si>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</si>
  <si>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</si>
  <si>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</si>
  <si>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</si>
  <si>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</si>
  <si>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</si>
  <si>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</si>
  <si>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</si>
  <si>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</si>
  <si>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</si>
  <si>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</si>
  <si>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</si>
  <si>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</si>
  <si>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</si>
  <si>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</si>
  <si>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</si>
  <si>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</si>
  <si>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</si>
  <si>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</si>
  <si>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</si>
  <si>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</si>
  <si>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</si>
  <si>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</si>
  <si>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</si>
  <si>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</si>
  <si>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</si>
  <si>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</si>
  <si>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</si>
  <si>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</si>
  <si>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</si>
  <si>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</si>
  <si>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</si>
  <si>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</si>
  <si>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</si>
  <si>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</si>
  <si>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</si>
  <si>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</si>
  <si>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</si>
  <si>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</si>
  <si>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</si>
  <si>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</si>
  <si>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</si>
  <si>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</si>
  <si>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</si>
  <si>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</si>
  <si>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</si>
  <si>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</si>
  <si>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</si>
  <si>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</si>
  <si>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</si>
  <si>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</si>
  <si>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</si>
  <si>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</si>
  <si>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</si>
  <si>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</si>
  <si>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</si>
  <si>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</si>
  <si>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</si>
  <si>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</si>
  <si>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</si>
  <si>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</si>
  <si>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</si>
  <si>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</si>
  <si>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</si>
  <si>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</si>
  <si>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</si>
  <si>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</si>
  <si>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</si>
  <si>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</si>
  <si>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</si>
  <si>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</si>
  <si>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</si>
  <si>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</si>
  <si>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</si>
  <si>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</si>
  <si>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</si>
  <si>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</si>
  <si>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</si>
  <si>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</si>
  <si>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</si>
  <si>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</si>
  <si>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是</t>
  </si>
  <si>
    <r>
      <t>3</t>
    </r>
    <r>
      <rPr>
        <sz val="10"/>
        <color indexed="8"/>
        <rFont val="宋体"/>
        <family val="3"/>
        <charset val="134"/>
      </rPr>
      <t>层</t>
    </r>
    <phoneticPr fontId="20" type="noConversion"/>
  </si>
  <si>
    <t>成本法 (元)</t>
  </si>
  <si>
    <t>收益法 (元)</t>
  </si>
  <si>
    <t>否</t>
  </si>
  <si>
    <t>万元</t>
  </si>
  <si>
    <t>楼面单价</t>
  </si>
  <si>
    <t>商业</t>
  </si>
  <si>
    <t>无租约</t>
  </si>
  <si>
    <t>利息：取LPR加浮动点数</t>
  </si>
  <si>
    <t>未包含在土地购买价格中</t>
  </si>
  <si>
    <t>已包含在土地取得成本中</t>
  </si>
  <si>
    <t>钢混</t>
  </si>
  <si>
    <t>非生产用房</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</si>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</sst>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55" fillId="0" borderId="1" xfId="0" applyFont="1" applyFill="1" applyBorder="1" applyAlignment="1" applyProtection="1">
      <alignment horizontal="left" vertical="center"/>
      <protection locked="0"/>
    </xf>
    <xf numFmtId="0" fontId="55" fillId="5" borderId="1" xfId="0" applyFont="1" applyFill="1" applyBorder="1" applyAlignment="1" applyProtection="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4">
          <cell r="T4">
            <v>16691</v>
          </cell>
          <cell r="U4">
            <v>2380.7600000000002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XX预评估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受您的委托，我公司对XX房地产进行了预评估。</v>
      </c>
    </row>
    <row r="7" spans="1:2">
      <c r="A7" s="1138" t="s">
        <v>862</v>
      </c>
      <c r="B7" s="1125" t="str">
        <f>'预评函-1'!A6</f>
        <v>估价对象为XX房地产，为XX所有。根据《》[]，估价对象建筑面积为2380.76平方米。根据《》[]，估价对象（分摊）出让国有建设用地使用权面积为平方米。估价对象用途为。</v>
      </c>
    </row>
    <row r="8" spans="1:2">
      <c r="A8" s="1138" t="s">
        <v>863</v>
      </c>
      <c r="B8" s="1125" t="str">
        <f>'预评函-1'!A8</f>
        <v>为估价委托人了解估价对象房地产市场价值提供参考依据。</v>
      </c>
    </row>
    <row r="9" spans="1:2">
      <c r="A9" s="1138" t="s">
        <v>864</v>
      </c>
      <c r="B9" s="1125" t="str">
        <f>'预评函-1'!A10</f>
        <v>2022年8月10日（评估专业人员实地查勘之日）</v>
      </c>
    </row>
    <row r="10" spans="1:2">
      <c r="A10" s="1138" t="s">
        <v>865</v>
      </c>
      <c r="B10" s="1125" t="str">
        <f>'预评函-1'!A13</f>
        <v>本次估价的“房地产价值”是指在正常市场情况下，在价值时点2022年8月10日，估价对象规划用途为，假定未设立法定优先受偿款下的房地产市场价值。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XX房地产</v>
      </c>
    </row>
    <row r="18" spans="1:2">
      <c r="A18" s="1138" t="s">
        <v>873</v>
      </c>
      <c r="B18" s="1125">
        <f>'预评函-2（1）'!C6</f>
        <v>2380.7600000000002</v>
      </c>
    </row>
    <row r="19" spans="1:2">
      <c r="A19" s="1138" t="s">
        <v>874</v>
      </c>
      <c r="B19" s="1125">
        <f ca="1">'预评函-2（1）'!D7</f>
        <v>8045</v>
      </c>
    </row>
    <row r="20" spans="1:2">
      <c r="A20" s="1138" t="s">
        <v>912</v>
      </c>
      <c r="B20" s="1125" t="str">
        <f>'预评函-2（1）'!C7</f>
        <v>总价（万元）</v>
      </c>
    </row>
    <row r="21" spans="1:2">
      <c r="A21" s="1138" t="s">
        <v>875</v>
      </c>
      <c r="B21" s="1125">
        <f ca="1">'预评函-2（1）'!D9</f>
        <v>33793</v>
      </c>
    </row>
    <row r="22" spans="1:2">
      <c r="A22" s="1138" t="s">
        <v>876</v>
      </c>
      <c r="B22" s="1125" t="str">
        <f ca="1">'预评函-2（1）'!D8</f>
        <v>捌仟零肆拾伍万元整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8045</v>
      </c>
    </row>
    <row r="30" spans="1:2">
      <c r="A30" s="1138" t="s">
        <v>882</v>
      </c>
      <c r="B30" s="1125" t="str">
        <f ca="1">'预评函-2（1）'!D16</f>
        <v>捌仟零肆拾伍万元整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6855</v>
      </c>
    </row>
    <row r="38" spans="1:2">
      <c r="A38" s="1138" t="s">
        <v>890</v>
      </c>
      <c r="B38" s="1125">
        <f ca="1">'预评函-2（2）'!E4</f>
        <v>28792</v>
      </c>
    </row>
    <row r="39" spans="1:2">
      <c r="A39" s="1138" t="s">
        <v>891</v>
      </c>
      <c r="B39" s="1125" t="str">
        <f ca="1">'预评函-2（2）'!D5</f>
        <v>陆仟捌佰伍拾伍万元整</v>
      </c>
    </row>
    <row r="40" spans="1:2">
      <c r="A40" s="1138" t="s">
        <v>892</v>
      </c>
      <c r="B40" s="1125">
        <f ca="1">'预评函-2（2）'!F4</f>
        <v>1191</v>
      </c>
    </row>
    <row r="41" spans="1:2">
      <c r="A41" s="1138" t="s">
        <v>893</v>
      </c>
      <c r="B41" s="1125">
        <f ca="1">'预评函-2（2）'!G4</f>
        <v>5001</v>
      </c>
    </row>
    <row r="42" spans="1:2" s="1135" customFormat="1" ht="15.75" thickBot="1">
      <c r="A42" s="1139" t="s">
        <v>894</v>
      </c>
      <c r="B42" s="1127" t="str">
        <f ca="1">'预评函-2（2）'!F5</f>
        <v>壹仟壹佰玖拾壹万元整</v>
      </c>
    </row>
    <row r="43" spans="1:2" ht="15.75" thickTop="1">
      <c r="A43" s="1136" t="s">
        <v>895</v>
      </c>
      <c r="B43" s="1128" t="str">
        <f>'预评函-3'!A13</f>
        <v>2.本次评估设定估价对象房地产权属无争议，未被查封或者以其他形式限制其房地产权利，未设定抵押权等他项权利，不涉及第三方权利义务。</v>
      </c>
    </row>
    <row r="44" spans="1:2">
      <c r="A44" s="1138" t="s">
        <v>896</v>
      </c>
      <c r="B44" s="1125" t="str">
        <f>'预评函-3'!A14</f>
        <v>——</v>
      </c>
    </row>
    <row r="45" spans="1:2">
      <c r="A45" s="1138" t="s">
        <v>897</v>
      </c>
      <c r="B45" s="1125" t="str">
        <f>'预评函-3'!A15</f>
        <v>——</v>
      </c>
    </row>
    <row r="46" spans="1:2">
      <c r="A46" s="1138" t="s">
        <v>898</v>
      </c>
      <c r="B46" s="1125" t="str">
        <f>'预评函-3'!A16</f>
        <v>——</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v>
      </c>
    </row>
    <row r="49" spans="1:2">
      <c r="A49" s="1138" t="s">
        <v>900</v>
      </c>
      <c r="B49" s="112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33793</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2" sqref="C12"/>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4"/>
  </cols>
  <sheetData>
    <row r="1" spans="1:17" ht="13.5" thickBot="1">
      <c r="A1" s="2507" t="s">
        <v>1288</v>
      </c>
      <c r="B1" s="2508" t="str">
        <f>IF(B6="北京市","北京市",C6)&amp;IF(E12="房屋所有权证",B29,E29)&amp;D5&amp;"预评估"</f>
        <v>XX预评估</v>
      </c>
      <c r="C1" s="780"/>
      <c r="D1" s="780"/>
      <c r="E1" s="780"/>
      <c r="F1" s="1353" t="s">
        <v>1289</v>
      </c>
      <c r="G1" s="1119"/>
      <c r="I1" s="2836" t="str">
        <f>IF(B6="北京市","北京市",C6)&amp;IF(E12="房屋所有权证",B29,E29)&amp;"房地产"</f>
        <v>XX房地产</v>
      </c>
      <c r="J1" s="757"/>
      <c r="K1" s="2838"/>
      <c r="L1" s="2838"/>
      <c r="M1" s="2838"/>
      <c r="N1" s="757"/>
      <c r="O1" s="757"/>
      <c r="P1" s="757"/>
      <c r="Q1" s="757"/>
    </row>
    <row r="2" spans="1:17" ht="13.5" thickTop="1">
      <c r="A2" s="1354" t="s">
        <v>1290</v>
      </c>
      <c r="B2" s="2509">
        <v>44783</v>
      </c>
      <c r="C2" s="2808" t="s">
        <v>1291</v>
      </c>
      <c r="D2" s="2509">
        <f>B2</f>
        <v>44783</v>
      </c>
      <c r="E2" s="781"/>
      <c r="F2" s="781"/>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2"/>
      <c r="G3" s="1121"/>
      <c r="H3" s="2820"/>
    </row>
    <row r="4" spans="1:17" ht="13.5" customHeight="1" thickTop="1">
      <c r="A4" s="1354" t="s">
        <v>1293</v>
      </c>
      <c r="B4" s="1355" t="s">
        <v>2478</v>
      </c>
      <c r="C4" s="2809" t="s">
        <v>1294</v>
      </c>
      <c r="D4" s="1356"/>
      <c r="E4" s="781"/>
      <c r="F4" s="781"/>
      <c r="G4" s="1120"/>
    </row>
    <row r="5" spans="1:17">
      <c r="A5" s="1357" t="s">
        <v>1295</v>
      </c>
      <c r="B5" s="1358" t="s">
        <v>2479</v>
      </c>
      <c r="C5" s="2810" t="s">
        <v>1296</v>
      </c>
      <c r="D5" s="1360"/>
      <c r="E5" s="2811" t="s">
        <v>1297</v>
      </c>
      <c r="F5" s="1360"/>
      <c r="G5" s="1361"/>
      <c r="I5" s="2836" t="str">
        <f>IF(C16="否","截至估价时点，估价对象抵押权未见登记。","截至价值时点，估价对象已设定抵押。")</f>
        <v>截至价值时点，估价对象已设定抵押。</v>
      </c>
      <c r="J5" s="757"/>
      <c r="K5" s="2838"/>
      <c r="L5" s="2838"/>
      <c r="M5" s="2838"/>
      <c r="N5" s="757"/>
      <c r="O5" s="757"/>
      <c r="P5" s="757"/>
      <c r="Q5" s="757"/>
    </row>
    <row r="6" spans="1:17">
      <c r="A6" s="2812" t="s">
        <v>1298</v>
      </c>
      <c r="B6" s="2514"/>
      <c r="C6" s="2515" t="s">
        <v>2480</v>
      </c>
      <c r="D6" s="2516" t="s">
        <v>1299</v>
      </c>
      <c r="E6" s="768"/>
      <c r="F6" s="768"/>
      <c r="G6" s="787"/>
      <c r="I6" s="757" t="str">
        <f>IF(COUNTIF(B5,"*上海银行*"),"上海银行","")</f>
        <v/>
      </c>
      <c r="J6" s="757"/>
      <c r="K6" s="2838"/>
      <c r="L6" s="2838"/>
      <c r="M6" s="2838"/>
      <c r="N6" s="757"/>
      <c r="O6" s="757"/>
      <c r="P6" s="757"/>
      <c r="Q6" s="757"/>
    </row>
    <row r="7" spans="1:17" ht="13.5" thickBot="1">
      <c r="A7" s="2813" t="s">
        <v>1300</v>
      </c>
      <c r="B7" s="2517"/>
      <c r="C7" s="1452" t="str">
        <f>IF(B7="自然人","姓名","名称")</f>
        <v>名称</v>
      </c>
      <c r="D7" s="1365" t="s">
        <v>2479</v>
      </c>
      <c r="E7" s="782"/>
      <c r="F7" s="782"/>
      <c r="G7" s="1121"/>
    </row>
    <row r="8" spans="1:17" ht="13.5" thickTop="1">
      <c r="A8" s="3375" t="s">
        <v>1301</v>
      </c>
      <c r="B8" s="1366" t="s">
        <v>1302</v>
      </c>
      <c r="C8" s="3388"/>
      <c r="D8" s="3389"/>
      <c r="E8" s="2518" t="s">
        <v>1303</v>
      </c>
      <c r="F8" s="2519" t="s">
        <v>1304</v>
      </c>
      <c r="G8" s="2520" t="str">
        <f>C6</f>
        <v>XX</v>
      </c>
    </row>
    <row r="9" spans="1:17">
      <c r="A9" s="3375"/>
      <c r="B9" s="259" t="s">
        <v>1305</v>
      </c>
      <c r="C9" s="1358"/>
      <c r="D9" s="1367"/>
      <c r="E9" s="2814" t="s">
        <v>1306</v>
      </c>
      <c r="F9" s="2521"/>
      <c r="G9" s="2522"/>
    </row>
    <row r="10" spans="1:17" ht="13.5" thickBot="1">
      <c r="A10" s="3375"/>
      <c r="B10" s="259" t="s">
        <v>1307</v>
      </c>
      <c r="C10" s="3390"/>
      <c r="D10" s="3391"/>
      <c r="E10" s="2815" t="s">
        <v>1308</v>
      </c>
      <c r="F10" s="2523"/>
      <c r="G10" s="2524"/>
    </row>
    <row r="11" spans="1:17" ht="13.5" thickBot="1">
      <c r="A11" s="3375"/>
      <c r="B11" s="1369" t="s">
        <v>1309</v>
      </c>
      <c r="C11" s="3392"/>
      <c r="D11" s="3393"/>
      <c r="E11" s="768"/>
      <c r="F11" s="768"/>
      <c r="G11" s="787"/>
    </row>
    <row r="12" spans="1:17" ht="13.5" thickBot="1">
      <c r="A12" s="3379" t="s">
        <v>2586</v>
      </c>
      <c r="B12" s="2816" t="s">
        <v>1310</v>
      </c>
      <c r="C12" s="765">
        <v>2380.7600000000002</v>
      </c>
      <c r="D12" s="1370" t="s">
        <v>1311</v>
      </c>
      <c r="E12" s="1371"/>
      <c r="F12" s="1372"/>
      <c r="G12" s="787"/>
    </row>
    <row r="13" spans="1:17" ht="21" customHeight="1" thickBot="1">
      <c r="A13" s="3380"/>
      <c r="B13" s="2817" t="s">
        <v>1312</v>
      </c>
      <c r="C13" s="766"/>
      <c r="D13" s="1373" t="s">
        <v>1313</v>
      </c>
      <c r="E13" s="1374"/>
      <c r="F13" s="768"/>
      <c r="G13" s="787"/>
      <c r="I13" s="3398"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7"/>
      <c r="O13" s="757"/>
      <c r="P13" s="757"/>
      <c r="Q13" s="757"/>
    </row>
    <row r="14" spans="1:17" ht="13.5" thickBot="1">
      <c r="A14" s="2525"/>
      <c r="B14" s="2831" t="s">
        <v>2587</v>
      </c>
      <c r="C14" s="2526"/>
      <c r="D14" s="768"/>
      <c r="E14" s="768"/>
      <c r="F14" s="768"/>
      <c r="G14" s="787"/>
      <c r="I14" s="3398"/>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7"/>
      <c r="O14" s="757"/>
      <c r="P14" s="757"/>
      <c r="Q14" s="757"/>
    </row>
    <row r="15" spans="1:17" ht="13.5" thickBot="1">
      <c r="A15" s="2527"/>
      <c r="B15" s="2818" t="s">
        <v>1315</v>
      </c>
      <c r="C15" s="783"/>
      <c r="D15" s="782"/>
      <c r="E15" s="782"/>
      <c r="F15" s="782"/>
      <c r="G15" s="1121"/>
      <c r="I15" s="3398"/>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7"/>
      <c r="O15" s="757"/>
      <c r="P15" s="757"/>
      <c r="Q15" s="757"/>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394" t="s">
        <v>1320</v>
      </c>
      <c r="C17" s="3395"/>
      <c r="D17" s="3396" t="s">
        <v>1321</v>
      </c>
      <c r="E17" s="3397"/>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8"/>
      <c r="F19" s="768"/>
      <c r="G19" s="1244"/>
    </row>
    <row r="20" spans="1:66">
      <c r="A20" s="1378" t="s">
        <v>1324</v>
      </c>
      <c r="B20" s="2532" t="s">
        <v>1325</v>
      </c>
      <c r="C20" s="2533"/>
      <c r="D20" s="2534" t="s">
        <v>1325</v>
      </c>
      <c r="E20" s="2533"/>
      <c r="F20" s="768"/>
      <c r="G20" s="1244"/>
    </row>
    <row r="21" spans="1:66">
      <c r="A21" s="1244"/>
      <c r="B21" s="2535" t="s">
        <v>1326</v>
      </c>
      <c r="C21" s="2803"/>
      <c r="D21" s="1382" t="s">
        <v>1326</v>
      </c>
      <c r="E21" s="2536"/>
      <c r="F21" s="768"/>
      <c r="G21" s="1244"/>
    </row>
    <row r="22" spans="1:66">
      <c r="A22" s="1244"/>
      <c r="B22" s="768" t="s">
        <v>1327</v>
      </c>
      <c r="C22" s="2537"/>
      <c r="D22" s="768" t="s">
        <v>1327</v>
      </c>
      <c r="E22" s="2536"/>
      <c r="F22" s="768"/>
      <c r="G22" s="1244"/>
    </row>
    <row r="23" spans="1:66" s="2802" customFormat="1" ht="16.5" thickBot="1">
      <c r="A23" s="1245"/>
      <c r="B23" s="786" t="s">
        <v>1328</v>
      </c>
      <c r="C23" s="766"/>
      <c r="D23" s="786" t="s">
        <v>1329</v>
      </c>
      <c r="E23" s="2538"/>
      <c r="F23" s="786"/>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07" t="s">
        <v>2585</v>
      </c>
      <c r="B24" s="3407"/>
      <c r="C24" s="3407"/>
      <c r="D24" s="3407"/>
      <c r="E24" s="3407"/>
      <c r="F24" s="3407"/>
      <c r="G24" s="3407"/>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5" t="s">
        <v>1330</v>
      </c>
      <c r="B25" s="768"/>
      <c r="C25" s="768"/>
      <c r="D25" s="768"/>
      <c r="E25" s="768"/>
      <c r="F25" s="768"/>
      <c r="G25" s="1245"/>
      <c r="K25" s="2821"/>
    </row>
    <row r="26" spans="1:66" s="793" customFormat="1" ht="13.5" thickBot="1">
      <c r="A26" s="2539"/>
      <c r="B26" s="764" t="s">
        <v>1331</v>
      </c>
      <c r="C26" s="2539"/>
      <c r="D26" s="764"/>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3" customFormat="1" ht="13.5" thickBot="1">
      <c r="A27" s="2539"/>
      <c r="B27" s="2542"/>
      <c r="C27" s="2539"/>
      <c r="D27" s="764"/>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0" t="s">
        <v>1334</v>
      </c>
      <c r="B28" s="758"/>
      <c r="C28" s="3382" t="s">
        <v>1334</v>
      </c>
      <c r="D28" s="3383"/>
      <c r="E28" s="758"/>
      <c r="F28" s="760" t="s">
        <v>1334</v>
      </c>
      <c r="G28" s="758"/>
      <c r="K28" s="2821"/>
    </row>
    <row r="29" spans="1:66">
      <c r="A29" s="761" t="s">
        <v>1335</v>
      </c>
      <c r="B29" s="755"/>
      <c r="C29" s="3384" t="s">
        <v>1336</v>
      </c>
      <c r="D29" s="3385"/>
      <c r="E29" s="755"/>
      <c r="F29" s="761" t="s">
        <v>1336</v>
      </c>
      <c r="G29" s="755"/>
      <c r="K29" s="2821"/>
    </row>
    <row r="30" spans="1:66">
      <c r="A30" s="761" t="s">
        <v>1337</v>
      </c>
      <c r="B30" s="755"/>
      <c r="C30" s="3384" t="s">
        <v>1337</v>
      </c>
      <c r="D30" s="3385"/>
      <c r="E30" s="755"/>
      <c r="F30" s="761" t="s">
        <v>1338</v>
      </c>
      <c r="G30" s="755"/>
      <c r="K30" s="2821"/>
    </row>
    <row r="31" spans="1:66">
      <c r="A31" s="761" t="s">
        <v>1339</v>
      </c>
      <c r="B31" s="755"/>
      <c r="C31" s="3404" t="s">
        <v>1340</v>
      </c>
      <c r="D31" s="768"/>
      <c r="E31" s="2544" t="str">
        <f>E32&amp;" "&amp;E33&amp;" "&amp;E34&amp;" "&amp;E35</f>
        <v xml:space="preserve">   </v>
      </c>
      <c r="F31" s="761" t="s">
        <v>1341</v>
      </c>
      <c r="G31" s="755"/>
    </row>
    <row r="32" spans="1:66">
      <c r="A32" s="761" t="s">
        <v>1342</v>
      </c>
      <c r="B32" s="755"/>
      <c r="C32" s="3405"/>
      <c r="D32" s="259" t="s">
        <v>1343</v>
      </c>
      <c r="E32" s="755"/>
      <c r="F32" s="761" t="s">
        <v>1344</v>
      </c>
      <c r="G32" s="755"/>
    </row>
    <row r="33" spans="1:7" ht="24.75" thickBot="1">
      <c r="A33" s="762" t="s">
        <v>1345</v>
      </c>
      <c r="B33" s="759"/>
      <c r="C33" s="3405"/>
      <c r="D33" s="259" t="s">
        <v>1346</v>
      </c>
      <c r="E33" s="755"/>
      <c r="F33" s="761" t="s">
        <v>1347</v>
      </c>
      <c r="G33" s="755"/>
    </row>
    <row r="34" spans="1:7">
      <c r="A34" s="760" t="s">
        <v>1348</v>
      </c>
      <c r="B34" s="758"/>
      <c r="C34" s="3405"/>
      <c r="D34" s="259" t="s">
        <v>1349</v>
      </c>
      <c r="E34" s="755"/>
      <c r="F34" s="761" t="s">
        <v>1350</v>
      </c>
      <c r="G34" s="755"/>
    </row>
    <row r="35" spans="1:7" ht="13.5" thickBot="1">
      <c r="A35" s="761" t="s">
        <v>1351</v>
      </c>
      <c r="B35" s="755"/>
      <c r="C35" s="3406"/>
      <c r="D35" s="259" t="s">
        <v>1352</v>
      </c>
      <c r="E35" s="755"/>
      <c r="F35" s="762" t="s">
        <v>1353</v>
      </c>
      <c r="G35" s="2545"/>
    </row>
    <row r="36" spans="1:7">
      <c r="A36" s="761" t="s">
        <v>1310</v>
      </c>
      <c r="B36" s="755"/>
      <c r="C36" s="3384" t="s">
        <v>1354</v>
      </c>
      <c r="D36" s="3385"/>
      <c r="E36" s="755"/>
      <c r="F36" s="2546" t="s">
        <v>1355</v>
      </c>
      <c r="G36" s="758"/>
    </row>
    <row r="37" spans="1:7" ht="13.5" thickBot="1">
      <c r="A37" s="761" t="s">
        <v>1356</v>
      </c>
      <c r="B37" s="755"/>
      <c r="C37" s="3386" t="s">
        <v>1357</v>
      </c>
      <c r="D37" s="3387"/>
      <c r="E37" s="759"/>
      <c r="F37" s="1390" t="s">
        <v>1358</v>
      </c>
      <c r="G37" s="755"/>
    </row>
    <row r="38" spans="1:7" ht="13.5" thickBot="1">
      <c r="A38" s="761" t="s">
        <v>1359</v>
      </c>
      <c r="B38" s="755"/>
      <c r="C38" s="3376" t="s">
        <v>1360</v>
      </c>
      <c r="D38" s="1370" t="s">
        <v>1344</v>
      </c>
      <c r="E38" s="758"/>
      <c r="F38" s="762" t="s">
        <v>1361</v>
      </c>
      <c r="G38" s="759"/>
    </row>
    <row r="39" spans="1:7">
      <c r="A39" s="761" t="s">
        <v>1362</v>
      </c>
      <c r="B39" s="755"/>
      <c r="C39" s="3377"/>
      <c r="D39" s="259" t="s">
        <v>1351</v>
      </c>
      <c r="E39" s="755"/>
      <c r="F39" s="760" t="s">
        <v>1363</v>
      </c>
      <c r="G39" s="758"/>
    </row>
    <row r="40" spans="1:7">
      <c r="A40" s="761" t="s">
        <v>1364</v>
      </c>
      <c r="B40" s="755"/>
      <c r="C40" s="3377" t="s">
        <v>1365</v>
      </c>
      <c r="D40" s="259" t="s">
        <v>1310</v>
      </c>
      <c r="E40" s="755"/>
      <c r="F40" s="761" t="s">
        <v>1366</v>
      </c>
      <c r="G40" s="755"/>
    </row>
    <row r="41" spans="1:7" ht="24.75" customHeight="1" thickBot="1">
      <c r="A41" s="762" t="s">
        <v>1367</v>
      </c>
      <c r="B41" s="759"/>
      <c r="C41" s="3378"/>
      <c r="D41" s="1373" t="s">
        <v>1312</v>
      </c>
      <c r="E41" s="759"/>
      <c r="F41" s="762" t="s">
        <v>1368</v>
      </c>
      <c r="G41" s="759"/>
    </row>
    <row r="42" spans="1:7">
      <c r="A42" s="763" t="s">
        <v>1369</v>
      </c>
      <c r="B42" s="2547"/>
      <c r="C42" s="3399" t="s">
        <v>1369</v>
      </c>
      <c r="D42" s="3400"/>
      <c r="E42" s="2547"/>
      <c r="F42" s="760" t="s">
        <v>1370</v>
      </c>
      <c r="G42" s="2547"/>
    </row>
    <row r="43" spans="1:7">
      <c r="A43" s="778" t="s">
        <v>1371</v>
      </c>
      <c r="B43" s="2548"/>
      <c r="C43" s="1382"/>
      <c r="D43" s="2535"/>
      <c r="E43" s="2548"/>
      <c r="F43" s="778"/>
      <c r="G43" s="2548"/>
    </row>
    <row r="44" spans="1:7">
      <c r="A44" s="778" t="s">
        <v>1325</v>
      </c>
      <c r="B44" s="779"/>
      <c r="C44" s="1382"/>
      <c r="D44" s="1448" t="s">
        <v>1325</v>
      </c>
      <c r="E44" s="779"/>
      <c r="F44" s="778" t="s">
        <v>1325</v>
      </c>
      <c r="G44" s="779"/>
    </row>
    <row r="45" spans="1:7">
      <c r="A45" s="778" t="s">
        <v>1326</v>
      </c>
      <c r="B45" s="779"/>
      <c r="C45" s="1382"/>
      <c r="D45" s="2535" t="s">
        <v>1326</v>
      </c>
      <c r="E45" s="779"/>
      <c r="F45" s="778" t="s">
        <v>1326</v>
      </c>
      <c r="G45" s="779"/>
    </row>
    <row r="46" spans="1:7">
      <c r="A46" s="778" t="s">
        <v>1327</v>
      </c>
      <c r="B46" s="779"/>
      <c r="C46" s="1382"/>
      <c r="D46" s="2535" t="s">
        <v>1327</v>
      </c>
      <c r="E46" s="779"/>
      <c r="F46" s="778" t="s">
        <v>1327</v>
      </c>
      <c r="G46" s="779"/>
    </row>
    <row r="47" spans="1:7">
      <c r="A47" s="778" t="s">
        <v>1328</v>
      </c>
      <c r="B47" s="779"/>
      <c r="C47" s="1382"/>
      <c r="D47" s="2535" t="s">
        <v>1328</v>
      </c>
      <c r="E47" s="779"/>
      <c r="F47" s="778" t="s">
        <v>1328</v>
      </c>
      <c r="G47" s="779"/>
    </row>
    <row r="48" spans="1:7">
      <c r="A48" s="778"/>
      <c r="B48" s="779"/>
      <c r="C48" s="1382"/>
      <c r="D48" s="2535"/>
      <c r="E48" s="779"/>
      <c r="F48" s="778"/>
      <c r="G48" s="779"/>
    </row>
    <row r="49" spans="1:66" ht="13.5" thickBot="1">
      <c r="A49" s="762" t="s">
        <v>1372</v>
      </c>
      <c r="B49" s="759"/>
      <c r="C49" s="3401" t="s">
        <v>1372</v>
      </c>
      <c r="D49" s="3402"/>
      <c r="E49" s="777"/>
      <c r="F49" s="762" t="s">
        <v>1373</v>
      </c>
      <c r="G49" s="759"/>
    </row>
    <row r="50" spans="1:66">
      <c r="A50" s="761" t="s">
        <v>1374</v>
      </c>
      <c r="B50" s="776"/>
      <c r="C50" s="3376" t="s">
        <v>1375</v>
      </c>
      <c r="D50" s="3403"/>
      <c r="E50" s="2549"/>
      <c r="F50" s="794"/>
      <c r="G50" s="795"/>
    </row>
    <row r="51" spans="1:66" ht="13.5" thickBot="1">
      <c r="A51" s="761" t="s">
        <v>1376</v>
      </c>
      <c r="B51" s="776"/>
      <c r="C51" s="3378" t="s">
        <v>1377</v>
      </c>
      <c r="D51" s="3381"/>
      <c r="E51" s="759"/>
      <c r="F51" s="768"/>
      <c r="G51" s="787"/>
    </row>
    <row r="52" spans="1:66">
      <c r="A52" s="761" t="s">
        <v>1355</v>
      </c>
      <c r="B52" s="755"/>
      <c r="C52" s="768"/>
      <c r="D52" s="768"/>
      <c r="E52" s="768"/>
      <c r="F52" s="768"/>
      <c r="G52" s="787"/>
    </row>
    <row r="53" spans="1:66" ht="24.75" thickBot="1">
      <c r="A53" s="762" t="s">
        <v>1378</v>
      </c>
      <c r="B53" s="2545"/>
      <c r="C53" s="786"/>
      <c r="D53" s="786"/>
      <c r="E53" s="786"/>
      <c r="F53" s="786"/>
      <c r="G53" s="788"/>
    </row>
    <row r="57" spans="1:66" s="767"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7"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7"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7"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7"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7"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7"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47" sqref="C4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4"/>
      <c r="D1" s="2550"/>
      <c r="E1" s="2550"/>
    </row>
    <row r="2" spans="1:41" s="2554" customFormat="1" ht="15.75" thickBot="1">
      <c r="A2" s="2840" t="s">
        <v>1380</v>
      </c>
      <c r="B2" s="2841">
        <f>项目基本情况!D2</f>
        <v>44783</v>
      </c>
      <c r="C2" s="1612"/>
      <c r="D2" s="3410"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3035</v>
      </c>
      <c r="C3" s="1612"/>
      <c r="D3" s="3411"/>
      <c r="E3" s="2556" t="s">
        <v>3034</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3036</v>
      </c>
      <c r="C4" s="1612"/>
      <c r="D4" s="3411"/>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2380.7600000000002</v>
      </c>
      <c r="C5" s="1612"/>
      <c r="D5" s="2842" t="s">
        <v>1385</v>
      </c>
      <c r="E5" s="2559">
        <v>362.15</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3037</v>
      </c>
      <c r="C10" s="1612"/>
      <c r="D10" s="2840" t="s">
        <v>1389</v>
      </c>
      <c r="E10" s="2844" t="s">
        <v>1390</v>
      </c>
      <c r="F10" s="3008"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40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33</v>
      </c>
      <c r="C13" s="2884"/>
      <c r="D13" s="2850" t="s">
        <v>1397</v>
      </c>
      <c r="E13" s="2570">
        <f>成本法!C10</f>
        <v>476152</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0.93899999999999995</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5.5E-2</v>
      </c>
      <c r="C15" s="2480" t="s">
        <v>2596</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0.06</v>
      </c>
      <c r="C16" s="2480" t="s">
        <v>2597</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2594</v>
      </c>
      <c r="B17" s="3006">
        <v>7.0000000000000007E-2</v>
      </c>
      <c r="C17" s="2480" t="s">
        <v>2598</v>
      </c>
      <c r="D17" s="2843" t="s">
        <v>1406</v>
      </c>
      <c r="E17" s="2574">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v>7.4999999999999997E-2</v>
      </c>
      <c r="C18" s="1612"/>
      <c r="D18" s="2856" t="str">
        <f>IF(B26=0,"建安总额","在建建安")</f>
        <v>建安总额</v>
      </c>
      <c r="E18" s="2857">
        <f>ROUND(B5*E17*IF(B26=0,1,E20),0)</f>
        <v>9523040</v>
      </c>
      <c r="F18" s="2575">
        <f>ROUND(E5*E17*IF(B26=0,1,E20),0)</f>
        <v>1448600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0.92</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2604</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2603</v>
      </c>
      <c r="I25" s="2885"/>
    </row>
    <row r="26" spans="1:41" ht="15" thickBot="1">
      <c r="A26" s="2863" t="s">
        <v>1417</v>
      </c>
      <c r="B26" s="2867">
        <f>B22-B23</f>
        <v>0</v>
      </c>
      <c r="D26" s="2847" t="s">
        <v>1420</v>
      </c>
      <c r="E26" s="2582">
        <v>0.02</v>
      </c>
      <c r="F26" s="2590" t="s">
        <v>2603</v>
      </c>
      <c r="G26" s="2886"/>
      <c r="H26" s="2886"/>
      <c r="I26" s="1612"/>
      <c r="J26" s="1612"/>
      <c r="K26" s="1612"/>
      <c r="L26" s="1612"/>
      <c r="M26" s="1612"/>
      <c r="N26" s="1612"/>
    </row>
    <row r="27" spans="1:41" ht="15.75" thickBot="1">
      <c r="A27" s="2868" t="s">
        <v>1419</v>
      </c>
      <c r="B27" s="2584">
        <v>2017</v>
      </c>
      <c r="C27" s="1612"/>
      <c r="D27" s="3073" t="s">
        <v>3039</v>
      </c>
      <c r="E27" s="2869">
        <f ca="1">IF(D27="利息：取LPR",存贷款利率!G1,存贷款利率!G1+F27)</f>
        <v>4.2000000000000003E-2</v>
      </c>
      <c r="F27" s="3074">
        <v>5.0000000000000001E-3</v>
      </c>
      <c r="G27" s="2886"/>
      <c r="H27" s="2886"/>
      <c r="K27" s="1612"/>
      <c r="N27" s="1612"/>
    </row>
    <row r="28" spans="1:41" ht="15" thickBot="1">
      <c r="A28" s="904"/>
      <c r="B28" s="904"/>
      <c r="D28" s="2850" t="s">
        <v>1422</v>
      </c>
      <c r="E28" s="2586">
        <v>0.2</v>
      </c>
      <c r="G28" s="2886"/>
      <c r="H28" s="2886"/>
      <c r="K28" s="1612"/>
      <c r="N28" s="1612"/>
    </row>
    <row r="29" spans="1:41" ht="14.25">
      <c r="A29" s="2870" t="s">
        <v>1421</v>
      </c>
      <c r="B29" s="2585" t="s">
        <v>3038</v>
      </c>
      <c r="D29" s="2852" t="s">
        <v>1423</v>
      </c>
      <c r="E29" s="2871">
        <f>E30+E31</f>
        <v>5.6000000000000001E-2</v>
      </c>
      <c r="F29" s="1237"/>
      <c r="G29" s="2886"/>
      <c r="H29" s="2886"/>
      <c r="K29" s="1612"/>
      <c r="N29" s="1612"/>
    </row>
    <row r="30" spans="1:41" ht="14.25">
      <c r="A30" s="2847" t="str">
        <f>IF(B29="租赁期内按合同租金","合同租金","市场租金")</f>
        <v>市场租金</v>
      </c>
      <c r="B30" s="2587">
        <v>7</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6.000000000000001E-3</v>
      </c>
      <c r="F31" s="1237"/>
      <c r="G31" s="2886"/>
      <c r="H31" s="2886"/>
      <c r="K31" s="1612"/>
      <c r="N31" s="1612"/>
    </row>
    <row r="32" spans="1:41" ht="14.25">
      <c r="A32" s="2847" t="s">
        <v>1426</v>
      </c>
      <c r="B32" s="2572">
        <v>0.03</v>
      </c>
      <c r="D32" s="2854" t="s">
        <v>1429</v>
      </c>
      <c r="E32" s="2589">
        <v>7.0000000000000007E-2</v>
      </c>
      <c r="F32" s="2590" t="s">
        <v>2490</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33</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0</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2601</v>
      </c>
      <c r="D45" s="2600" t="s">
        <v>1456</v>
      </c>
      <c r="E45" s="2587"/>
      <c r="F45" s="1238">
        <v>12</v>
      </c>
      <c r="G45" s="2592"/>
      <c r="H45" s="2592"/>
      <c r="M45" s="1612"/>
      <c r="N45" s="1612"/>
    </row>
    <row r="46" spans="1:14" ht="14.25">
      <c r="A46" s="2847" t="s">
        <v>1455</v>
      </c>
      <c r="B46" s="2602">
        <v>1E-3</v>
      </c>
      <c r="C46" s="2480" t="s">
        <v>2599</v>
      </c>
      <c r="D46" s="2600" t="s">
        <v>1218</v>
      </c>
      <c r="E46" s="2587"/>
      <c r="F46" s="1238">
        <v>3</v>
      </c>
      <c r="G46" s="2592"/>
      <c r="H46" s="2592"/>
      <c r="M46" s="1612"/>
      <c r="N46" s="1612"/>
    </row>
    <row r="47" spans="1:14" ht="15" thickBot="1">
      <c r="A47" s="2850" t="s">
        <v>1457</v>
      </c>
      <c r="B47" s="2603">
        <v>0.01</v>
      </c>
      <c r="C47" s="2480" t="s">
        <v>2600</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4"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2" t="s">
        <v>1463</v>
      </c>
      <c r="B1" s="3413"/>
      <c r="C1" s="3413"/>
      <c r="D1" s="3413"/>
      <c r="E1" s="3413"/>
      <c r="F1" s="3413"/>
      <c r="G1" s="341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2380.7600000000002</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44783</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8045</v>
      </c>
      <c r="C5" s="2498">
        <f ca="1">ROUND(B5*10000/$B$1,0)</f>
        <v>33792</v>
      </c>
      <c r="D5" s="2498" t="e">
        <f ca="1">ROUND(B5*10000/$B$2,0)</f>
        <v>#DIV/0!</v>
      </c>
      <c r="E5" s="1561"/>
      <c r="F5" s="2499"/>
      <c r="G5" s="2499"/>
    </row>
    <row r="6" spans="1:9" ht="16.5">
      <c r="A6" s="2498" t="s">
        <v>981</v>
      </c>
      <c r="B6" s="2498">
        <f ca="1">SUM(G14:G23)</f>
        <v>8045</v>
      </c>
      <c r="C6" s="2498">
        <f t="shared" ref="C6:C8" ca="1" si="0">ROUND(B6*10000/$B$1,0)</f>
        <v>33792</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3029</v>
      </c>
      <c r="B14" s="2834">
        <f>项目基本情况!C12</f>
        <v>2380.7600000000002</v>
      </c>
      <c r="C14" s="2834">
        <f>项目基本情况!C13</f>
        <v>0</v>
      </c>
      <c r="D14" s="2834">
        <f ca="1">IF('数据-取费表'!B3="万元",IF(A14="估价对象1（结果表）",结果表!H121,'结果表 (1修多)'!H125),IF(A14="估价对象1（结果表）",结果表!H121,'结果表 (1修多)'!H125)/10000)</f>
        <v>8045</v>
      </c>
      <c r="E14" s="2834">
        <f ca="1">ROUND(D14*10000/B14,0)</f>
        <v>33792</v>
      </c>
      <c r="F14" s="2834" t="e">
        <f ca="1">ROUND(D14*10000/C14,0)</f>
        <v>#DIV/0!</v>
      </c>
      <c r="G14" s="2834">
        <f ca="1">IF('数据-取费表'!B3="万元",IF(A14="估价对象1（结果表）",结果表!D125,'结果表 (1修多)'!D129),IF(A14="估价对象1（结果表）",结果表!D125,'结果表 (1修多)'!D129)/10000)</f>
        <v>8045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38" sqref="H38"/>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85" t="str">
        <f>项目基本情况!B1</f>
        <v>XX预评估</v>
      </c>
      <c r="B2" s="3485"/>
      <c r="C2" s="3485"/>
      <c r="D2" s="3485"/>
      <c r="E2" s="3485"/>
      <c r="F2" s="3485"/>
      <c r="G2" s="3485"/>
      <c r="H2" s="3485"/>
      <c r="I2" s="3485"/>
      <c r="J2" s="2761"/>
    </row>
    <row r="3" spans="1:15" ht="12.75">
      <c r="A3" s="3490" t="s">
        <v>1471</v>
      </c>
      <c r="B3" s="3491"/>
      <c r="C3" s="3491"/>
      <c r="D3" s="3491"/>
      <c r="E3" s="3491"/>
      <c r="F3" s="3491"/>
      <c r="G3" s="3491"/>
      <c r="H3" s="3491"/>
      <c r="I3" s="3491"/>
      <c r="J3" s="2762"/>
    </row>
    <row r="4" spans="1:15" ht="14.25">
      <c r="A4" s="2630" t="s">
        <v>1472</v>
      </c>
      <c r="B4" s="2630" t="s">
        <v>1473</v>
      </c>
      <c r="C4" s="2631" t="s">
        <v>3044</v>
      </c>
      <c r="D4" s="2631" t="s">
        <v>3045</v>
      </c>
      <c r="E4" s="3487" t="s">
        <v>1474</v>
      </c>
      <c r="F4" s="3475"/>
      <c r="G4" s="3475"/>
      <c r="H4" s="3475"/>
      <c r="I4" s="3476"/>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86" t="s">
        <v>1475</v>
      </c>
      <c r="B5" s="3486">
        <v>25</v>
      </c>
      <c r="C5" s="3492"/>
      <c r="D5" s="3489"/>
      <c r="E5" s="12" t="s">
        <v>1476</v>
      </c>
      <c r="F5" s="2016"/>
      <c r="G5" s="2016"/>
      <c r="H5" s="2016"/>
      <c r="I5" s="2011"/>
      <c r="J5" s="2763"/>
    </row>
    <row r="6" spans="1:15" ht="12.75">
      <c r="A6" s="3486"/>
      <c r="B6" s="3486"/>
      <c r="C6" s="3493"/>
      <c r="D6" s="3489"/>
      <c r="E6" s="12" t="s">
        <v>1477</v>
      </c>
      <c r="F6" s="2016"/>
      <c r="G6" s="2016"/>
      <c r="H6" s="2016"/>
      <c r="I6" s="2011"/>
      <c r="J6" s="2763"/>
    </row>
    <row r="7" spans="1:15" ht="12.75">
      <c r="A7" s="3486"/>
      <c r="B7" s="3486"/>
      <c r="C7" s="3494"/>
      <c r="D7" s="3489"/>
      <c r="E7" s="12" t="s">
        <v>1478</v>
      </c>
      <c r="F7" s="2016"/>
      <c r="G7" s="2016"/>
      <c r="H7" s="2016"/>
      <c r="I7" s="2011"/>
      <c r="J7" s="2763"/>
    </row>
    <row r="8" spans="1:15" ht="12.75">
      <c r="A8" s="3486" t="s">
        <v>1479</v>
      </c>
      <c r="B8" s="3486">
        <v>15</v>
      </c>
      <c r="C8" s="3492"/>
      <c r="D8" s="3489"/>
      <c r="E8" s="12" t="s">
        <v>1480</v>
      </c>
      <c r="F8" s="2016"/>
      <c r="G8" s="2016"/>
      <c r="H8" s="2016"/>
      <c r="I8" s="2011"/>
      <c r="J8" s="2763"/>
    </row>
    <row r="9" spans="1:15" ht="12.75">
      <c r="A9" s="3486"/>
      <c r="B9" s="3486"/>
      <c r="C9" s="3494"/>
      <c r="D9" s="3489"/>
      <c r="E9" s="12" t="s">
        <v>1481</v>
      </c>
      <c r="F9" s="2016"/>
      <c r="G9" s="2016"/>
      <c r="H9" s="2016"/>
      <c r="I9" s="2011"/>
      <c r="J9" s="2763"/>
    </row>
    <row r="10" spans="1:15" ht="12.75">
      <c r="A10" s="3486" t="s">
        <v>1482</v>
      </c>
      <c r="B10" s="3486">
        <v>15</v>
      </c>
      <c r="C10" s="3492"/>
      <c r="D10" s="3489"/>
      <c r="E10" s="12" t="s">
        <v>1483</v>
      </c>
      <c r="F10" s="2016"/>
      <c r="G10" s="2016"/>
      <c r="H10" s="2016"/>
      <c r="I10" s="2011"/>
      <c r="J10" s="2763"/>
    </row>
    <row r="11" spans="1:15" ht="12.75">
      <c r="A11" s="3486"/>
      <c r="B11" s="3486"/>
      <c r="C11" s="3494"/>
      <c r="D11" s="3489"/>
      <c r="E11" s="12" t="s">
        <v>1484</v>
      </c>
      <c r="F11" s="2016"/>
      <c r="G11" s="2016"/>
      <c r="H11" s="2016"/>
      <c r="I11" s="2011"/>
      <c r="J11" s="2763"/>
    </row>
    <row r="12" spans="1:15" ht="12.75">
      <c r="A12" s="3486" t="s">
        <v>1485</v>
      </c>
      <c r="B12" s="3486">
        <v>15</v>
      </c>
      <c r="C12" s="3492"/>
      <c r="D12" s="3489"/>
      <c r="E12" s="12" t="s">
        <v>1486</v>
      </c>
      <c r="F12" s="2016"/>
      <c r="G12" s="2016"/>
      <c r="H12" s="2016"/>
      <c r="I12" s="2011"/>
      <c r="J12" s="2763"/>
    </row>
    <row r="13" spans="1:15" ht="12.75">
      <c r="A13" s="3486"/>
      <c r="B13" s="3486"/>
      <c r="C13" s="3494"/>
      <c r="D13" s="3489"/>
      <c r="E13" s="12" t="s">
        <v>1487</v>
      </c>
      <c r="F13" s="2016"/>
      <c r="G13" s="2016"/>
      <c r="H13" s="2016"/>
      <c r="I13" s="2011"/>
      <c r="J13" s="2763"/>
    </row>
    <row r="14" spans="1:15" ht="12.75">
      <c r="A14" s="3486" t="s">
        <v>1488</v>
      </c>
      <c r="B14" s="3486">
        <v>30</v>
      </c>
      <c r="C14" s="3492">
        <v>5</v>
      </c>
      <c r="D14" s="3489">
        <v>5</v>
      </c>
      <c r="E14" s="12" t="s">
        <v>1489</v>
      </c>
      <c r="F14" s="2016"/>
      <c r="G14" s="2016"/>
      <c r="H14" s="2016"/>
      <c r="I14" s="2011"/>
      <c r="J14" s="2763"/>
    </row>
    <row r="15" spans="1:15" ht="12.75">
      <c r="A15" s="3486"/>
      <c r="B15" s="3486"/>
      <c r="C15" s="3493"/>
      <c r="D15" s="3489"/>
      <c r="E15" s="12" t="s">
        <v>1490</v>
      </c>
      <c r="F15" s="2016"/>
      <c r="G15" s="2016"/>
      <c r="H15" s="2016"/>
      <c r="I15" s="2011"/>
      <c r="J15" s="2763"/>
    </row>
    <row r="16" spans="1:15" ht="12.75">
      <c r="A16" s="3486"/>
      <c r="B16" s="3486"/>
      <c r="C16" s="3494"/>
      <c r="D16" s="3489"/>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06" t="s">
        <v>2575</v>
      </c>
      <c r="F18" s="3507"/>
      <c r="G18" s="3507"/>
      <c r="H18" s="3507"/>
      <c r="I18" s="3507"/>
      <c r="J18" s="2764"/>
    </row>
    <row r="19" spans="1:36" ht="15">
      <c r="A19" s="2637" t="s">
        <v>1494</v>
      </c>
      <c r="B19" s="2638" t="s">
        <v>1495</v>
      </c>
      <c r="C19" s="2639">
        <f ca="1">SUMIF(INDIRECT("'"&amp;C4&amp;"'"&amp;"!A:A"),结果表!B19,INDIRECT("'"&amp;C4&amp;"'"&amp;"!B:B"))</f>
        <v>7207</v>
      </c>
      <c r="D19" s="2640">
        <f ca="1">SUMIF(INDIRECT("'"&amp;D4&amp;"'"&amp;"!A:A"),结果表!B19,INDIRECT("'"&amp;D4&amp;"'"&amp;"!B:B"))</f>
        <v>8883</v>
      </c>
      <c r="E19" s="2637" t="s">
        <v>1496</v>
      </c>
      <c r="F19" s="2638" t="s">
        <v>1495</v>
      </c>
      <c r="G19" s="2641">
        <f ca="1">ROUND(C19*$C$18+D19*$D$18,0)</f>
        <v>8045</v>
      </c>
      <c r="H19" s="2642" t="str">
        <f>'数据-取费表'!B3</f>
        <v>万元</v>
      </c>
      <c r="I19" s="2690"/>
      <c r="J19" s="2765"/>
    </row>
    <row r="20" spans="1:36" ht="15">
      <c r="A20" s="2643"/>
      <c r="B20" s="1621" t="s">
        <v>1497</v>
      </c>
      <c r="C20" s="1846">
        <f ca="1">SUMIF(INDIRECT("'"&amp;C4&amp;"'"&amp;"!A:A"),结果表!B20,INDIRECT("'"&amp;C4&amp;"'"&amp;"!B:B"))</f>
        <v>30274</v>
      </c>
      <c r="D20" s="1849">
        <f ca="1">SUMIF(INDIRECT("'"&amp;D4&amp;"'"&amp;"!A:A"),结果表!B20,INDIRECT("'"&amp;D4&amp;"'"&amp;"!B:B"))</f>
        <v>37311</v>
      </c>
      <c r="E20" s="2643"/>
      <c r="F20" s="1621" t="s">
        <v>1497</v>
      </c>
      <c r="G20" s="2020">
        <f ca="1">ROUND(C20*$C$18+D20*$D$18,0)</f>
        <v>33793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0.23255168586096842</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95" t="s">
        <v>1500</v>
      </c>
      <c r="B24" s="2638" t="s">
        <v>1495</v>
      </c>
      <c r="C24" s="2641">
        <f>D30</f>
        <v>0</v>
      </c>
      <c r="D24" s="2593"/>
      <c r="E24" s="904"/>
      <c r="F24" s="904"/>
      <c r="G24" s="904"/>
      <c r="H24" s="904"/>
      <c r="I24" s="904"/>
      <c r="J24" s="2764"/>
    </row>
    <row r="25" spans="1:36" ht="21.75" customHeight="1">
      <c r="A25" s="3496"/>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c r="B27" s="2656">
        <v>0</v>
      </c>
      <c r="C27" s="2656">
        <v>0</v>
      </c>
      <c r="D27" s="2657">
        <f>ROUND(C27*B27/10000,0)</f>
        <v>0</v>
      </c>
      <c r="E27" s="904"/>
      <c r="F27" s="904"/>
      <c r="G27" s="904"/>
      <c r="H27" s="904"/>
      <c r="I27" s="904"/>
      <c r="J27" s="2764"/>
    </row>
    <row r="28" spans="1:36" ht="14.25">
      <c r="A28" s="2655"/>
      <c r="B28" s="2656"/>
      <c r="C28" s="2656"/>
      <c r="D28" s="2657">
        <f t="shared" ref="D28:D29" si="0">ROUND(C28*B28/10000,0)</f>
        <v>0</v>
      </c>
      <c r="E28" s="904"/>
      <c r="F28" s="904"/>
      <c r="G28" s="904"/>
      <c r="H28" s="904"/>
      <c r="I28" s="904"/>
      <c r="J28" s="2764"/>
    </row>
    <row r="29" spans="1:36" ht="14.25">
      <c r="A29" s="2655"/>
      <c r="B29" s="2656"/>
      <c r="C29" s="2656"/>
      <c r="D29" s="2657">
        <f t="shared" si="0"/>
        <v>0</v>
      </c>
      <c r="E29" s="904"/>
      <c r="F29" s="904"/>
      <c r="G29" s="904"/>
      <c r="H29" s="904"/>
      <c r="I29" s="904"/>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33793</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4"/>
      <c r="H33" s="904"/>
      <c r="I33" s="904"/>
      <c r="J33" s="2764"/>
    </row>
    <row r="34" spans="1:17" ht="15">
      <c r="A34" s="1393"/>
      <c r="B34" s="2665" t="s">
        <v>1509</v>
      </c>
      <c r="C34" s="2666">
        <f ca="1">IF(D33="自定义",F34,C32-C35)</f>
        <v>28792</v>
      </c>
      <c r="D34" s="2667">
        <f ca="1">IF(D33="自定义",ROUND(C34/C32,3),1-D35)</f>
        <v>0.85199999999999998</v>
      </c>
      <c r="E34" s="1362" t="s">
        <v>1510</v>
      </c>
      <c r="F34" s="2668">
        <v>2000</v>
      </c>
      <c r="G34" s="904"/>
      <c r="H34" s="904"/>
      <c r="I34" s="904"/>
      <c r="J34" s="2764"/>
    </row>
    <row r="35" spans="1:17" ht="15.75" thickBot="1">
      <c r="A35" s="1394"/>
      <c r="B35" s="2669" t="s">
        <v>1511</v>
      </c>
      <c r="C35" s="2670">
        <f ca="1">IF(D33="自定义",F35,ROUND(C32*D35,0))</f>
        <v>5001</v>
      </c>
      <c r="D35" s="2671">
        <f ca="1">IF(D33="自定义",ROUND(C35/C32,3),IF(D33="成本法成本比率",成本法!C56,IF(D33="收益法收益比率",收益法!J38,收益法!J41)))</f>
        <v>0.14799999999999999</v>
      </c>
      <c r="E35" s="2672" t="s">
        <v>1512</v>
      </c>
      <c r="F35" s="2673">
        <v>4460</v>
      </c>
      <c r="G35" s="904"/>
      <c r="H35" s="904"/>
      <c r="I35" s="904"/>
      <c r="J35" s="2764"/>
    </row>
    <row r="36" spans="1:17" ht="15.75" thickBot="1">
      <c r="A36" s="3495" t="s">
        <v>1513</v>
      </c>
      <c r="B36" s="1395" t="s">
        <v>1514</v>
      </c>
      <c r="C36" s="2674">
        <v>0</v>
      </c>
      <c r="D36" s="2675"/>
      <c r="E36" s="1607"/>
      <c r="F36" s="1607"/>
      <c r="G36" s="904"/>
      <c r="H36" s="904"/>
      <c r="I36" s="904"/>
      <c r="J36" s="2764"/>
    </row>
    <row r="37" spans="1:17" ht="15.75" thickBot="1">
      <c r="A37" s="3500"/>
      <c r="B37" s="2021" t="s">
        <v>1515</v>
      </c>
      <c r="C37" s="2676">
        <v>0</v>
      </c>
      <c r="D37" s="1238"/>
      <c r="E37" s="1238"/>
      <c r="F37" s="1607"/>
      <c r="G37" s="1238"/>
      <c r="H37" s="1238"/>
      <c r="I37" s="1238"/>
      <c r="J37" s="2768"/>
    </row>
    <row r="38" spans="1:17" ht="15.75" thickBot="1">
      <c r="A38" s="3501"/>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2574</v>
      </c>
      <c r="J44" s="2770"/>
      <c r="K44" s="1402" t="s">
        <v>1523</v>
      </c>
      <c r="L44" s="1403"/>
      <c r="M44" s="1403"/>
      <c r="N44" s="1403"/>
      <c r="O44" s="1403"/>
      <c r="P44" s="1403"/>
      <c r="Q44" s="1235"/>
    </row>
    <row r="45" spans="1:17" ht="14.25" customHeight="1" thickBot="1">
      <c r="A45" s="3420" t="s">
        <v>1524</v>
      </c>
      <c r="B45" s="3421"/>
      <c r="C45" s="3431"/>
      <c r="D45" s="246">
        <f ca="1">ROUND(I102*F45,0)</f>
        <v>8045</v>
      </c>
      <c r="E45" s="1469" t="s">
        <v>1525</v>
      </c>
      <c r="F45" s="2478">
        <v>1</v>
      </c>
      <c r="G45" s="2479" t="s">
        <v>1526</v>
      </c>
      <c r="H45" s="904"/>
      <c r="I45" s="904"/>
      <c r="J45" s="2764"/>
      <c r="K45" s="3426" t="s">
        <v>2504</v>
      </c>
      <c r="L45" s="3426"/>
      <c r="M45" s="3426"/>
      <c r="N45" s="3426"/>
      <c r="O45" s="3426"/>
      <c r="P45" s="3426"/>
      <c r="Q45" s="1235"/>
    </row>
    <row r="46" spans="1:17" ht="14.25" customHeight="1">
      <c r="A46" s="3497" t="s">
        <v>1528</v>
      </c>
      <c r="B46" s="3498"/>
      <c r="C46" s="3498"/>
      <c r="D46" s="3498"/>
      <c r="E46" s="3498"/>
      <c r="F46" s="3498"/>
      <c r="G46" s="3499"/>
      <c r="H46" s="2896"/>
      <c r="I46" s="904"/>
      <c r="J46" s="2764"/>
      <c r="K46" s="2453">
        <v>1</v>
      </c>
      <c r="L46" s="3427" t="s">
        <v>2505</v>
      </c>
      <c r="M46" s="3427"/>
      <c r="N46" s="3428" t="str">
        <f>项目基本情况!B1</f>
        <v>XX预评估</v>
      </c>
      <c r="O46" s="3428"/>
      <c r="P46" s="3428"/>
      <c r="Q46" s="1235"/>
    </row>
    <row r="47" spans="1:17" ht="12" customHeight="1">
      <c r="A47" s="38" t="s">
        <v>1530</v>
      </c>
      <c r="B47" s="39"/>
      <c r="C47" s="40"/>
      <c r="D47" s="1027" t="s">
        <v>1531</v>
      </c>
      <c r="E47" s="235" t="s">
        <v>1532</v>
      </c>
      <c r="F47" s="41" t="s">
        <v>1533</v>
      </c>
      <c r="G47" s="2481" t="s">
        <v>1534</v>
      </c>
      <c r="H47" s="2896"/>
      <c r="I47" s="904"/>
      <c r="J47" s="2764"/>
      <c r="K47" s="2453">
        <v>2</v>
      </c>
      <c r="L47" s="3427" t="s">
        <v>2506</v>
      </c>
      <c r="M47" s="3427"/>
      <c r="N47" s="3429">
        <f>'数据-取费表'!B2</f>
        <v>44783</v>
      </c>
      <c r="O47" s="3429"/>
      <c r="P47" s="3429"/>
      <c r="Q47" s="1235"/>
    </row>
    <row r="48" spans="1:17" ht="25.5">
      <c r="A48" s="3502" t="s">
        <v>1536</v>
      </c>
      <c r="B48" s="3436"/>
      <c r="C48" s="3436"/>
      <c r="D48" s="12">
        <f ca="1">IF(H48="情况1",0,IF(H48="情况2",D52,IF(H48="情况3",D53,IF(H48="情况4",D54))))</f>
        <v>429</v>
      </c>
      <c r="E48" s="2019" t="str">
        <f>IF(H48="情况4","(销售额-原购置价)×税（费）率","销售额×税（费）率")</f>
        <v>销售额×税（费）率</v>
      </c>
      <c r="F48" s="2482">
        <f>IF(H48="情况1","免征",'数据-取费表'!E29)</f>
        <v>5.6000000000000001E-2</v>
      </c>
      <c r="G48" s="2483" t="s">
        <v>1537</v>
      </c>
      <c r="H48" s="2484" t="s">
        <v>1538</v>
      </c>
      <c r="I48" s="2896"/>
      <c r="J48" s="2771"/>
      <c r="K48" s="2453">
        <v>3</v>
      </c>
      <c r="L48" s="3427" t="s">
        <v>2507</v>
      </c>
      <c r="M48" s="3427"/>
      <c r="N48" s="3428">
        <f ca="1">I102</f>
        <v>8045</v>
      </c>
      <c r="O48" s="3428"/>
      <c r="P48" s="3428"/>
      <c r="Q48" s="1235"/>
    </row>
    <row r="49" spans="1:17" ht="25.5" customHeight="1">
      <c r="A49" s="2018" t="s">
        <v>1540</v>
      </c>
      <c r="B49" s="3475" t="s">
        <v>1541</v>
      </c>
      <c r="C49" s="3475"/>
      <c r="D49" s="2485">
        <v>0</v>
      </c>
      <c r="E49" s="261" t="s">
        <v>1542</v>
      </c>
      <c r="F49" s="2486" t="s">
        <v>48</v>
      </c>
      <c r="G49" s="3417"/>
      <c r="H49" s="2487" t="s">
        <v>2581</v>
      </c>
      <c r="I49" s="2488"/>
      <c r="J49" s="2772"/>
      <c r="K49" s="2453">
        <v>4</v>
      </c>
      <c r="L49" s="3427" t="str">
        <f>IF(项目基本情况!F5="房地产抵押价值","房地产抵押价值","抵押担保权已注销时的房地产抵押价值")</f>
        <v>抵押担保权已注销时的房地产抵押价值</v>
      </c>
      <c r="M49" s="3427"/>
      <c r="N49" s="3428" t="str">
        <f>IF(项目基本情况!F5="房地产抵押价值",I110,I112)</f>
        <v>——</v>
      </c>
      <c r="O49" s="3428"/>
      <c r="P49" s="3428"/>
      <c r="Q49" s="1235"/>
    </row>
    <row r="50" spans="1:17" ht="25.5" customHeight="1">
      <c r="A50" s="2008"/>
      <c r="B50" s="3475" t="s">
        <v>1543</v>
      </c>
      <c r="C50" s="3475"/>
      <c r="D50" s="2489"/>
      <c r="E50" s="269"/>
      <c r="F50" s="2486"/>
      <c r="G50" s="3418"/>
      <c r="H50" s="2490" t="s">
        <v>2500</v>
      </c>
      <c r="I50" s="2488"/>
      <c r="J50" s="2772"/>
      <c r="K50" s="3427" t="s">
        <v>2508</v>
      </c>
      <c r="L50" s="3427"/>
      <c r="M50" s="3427"/>
      <c r="N50" s="3427"/>
      <c r="O50" s="3427"/>
      <c r="P50" s="3427"/>
      <c r="Q50" s="1235"/>
    </row>
    <row r="51" spans="1:17" ht="20.45" customHeight="1">
      <c r="A51" s="2491"/>
      <c r="B51" s="3475" t="s">
        <v>1545</v>
      </c>
      <c r="C51" s="3475"/>
      <c r="D51" s="1027"/>
      <c r="E51" s="264"/>
      <c r="F51" s="2486"/>
      <c r="G51" s="3419"/>
      <c r="H51" s="2490" t="s">
        <v>2501</v>
      </c>
      <c r="I51" s="2488"/>
      <c r="J51" s="2772"/>
      <c r="K51" s="2454" t="s">
        <v>2509</v>
      </c>
      <c r="L51" s="3427" t="s">
        <v>2510</v>
      </c>
      <c r="M51" s="3427"/>
      <c r="N51" s="2454" t="s">
        <v>2511</v>
      </c>
      <c r="O51" s="2454" t="s">
        <v>2512</v>
      </c>
      <c r="P51" s="2454" t="s">
        <v>2513</v>
      </c>
      <c r="Q51" s="1235"/>
    </row>
    <row r="52" spans="1:17" ht="24" customHeight="1">
      <c r="A52" s="2009" t="s">
        <v>1551</v>
      </c>
      <c r="B52" s="3475" t="s">
        <v>1552</v>
      </c>
      <c r="C52" s="3475"/>
      <c r="D52" s="1027">
        <f ca="1">ROUND(D45*'数据-取费表'!E29/(1+'数据-取费表'!F30),0)</f>
        <v>429</v>
      </c>
      <c r="E52" s="2019" t="s">
        <v>1553</v>
      </c>
      <c r="F52" s="2492">
        <f>'数据-取费表'!E29</f>
        <v>5.6000000000000001E-2</v>
      </c>
      <c r="G52" s="2493"/>
      <c r="H52" s="904"/>
      <c r="I52" s="2897"/>
      <c r="J52" s="2772"/>
      <c r="K52" s="2453">
        <v>1</v>
      </c>
      <c r="L52" s="3416" t="s">
        <v>2514</v>
      </c>
      <c r="M52" s="3416"/>
      <c r="N52" s="2455">
        <f ca="1">D48</f>
        <v>429</v>
      </c>
      <c r="O52" s="2453" t="str">
        <f>E48</f>
        <v>销售额×税（费）率</v>
      </c>
      <c r="P52" s="2456">
        <f>F48</f>
        <v>5.6000000000000001E-2</v>
      </c>
      <c r="Q52" s="1235"/>
    </row>
    <row r="53" spans="1:17" ht="12" customHeight="1">
      <c r="A53" s="2009" t="s">
        <v>1555</v>
      </c>
      <c r="B53" s="3487" t="s">
        <v>2592</v>
      </c>
      <c r="C53" s="3476"/>
      <c r="D53" s="1027">
        <f ca="1">ROUND(D45*'数据-取费表'!E29/(1+'数据-取费表'!F30),0)</f>
        <v>429</v>
      </c>
      <c r="E53" s="2019" t="s">
        <v>1553</v>
      </c>
      <c r="F53" s="2492">
        <f>'数据-取费表'!E29</f>
        <v>5.6000000000000001E-2</v>
      </c>
      <c r="G53" s="2493"/>
      <c r="H53" s="904"/>
      <c r="I53" s="2897"/>
      <c r="J53" s="2772"/>
      <c r="K53" s="2453">
        <v>2</v>
      </c>
      <c r="L53" s="3416" t="s">
        <v>2515</v>
      </c>
      <c r="M53" s="3416"/>
      <c r="N53" s="2455">
        <f t="shared" ref="N53:P54" si="1">D55</f>
        <v>0</v>
      </c>
      <c r="O53" s="2453" t="str">
        <f t="shared" si="1"/>
        <v>销售额×税（费）率</v>
      </c>
      <c r="P53" s="2456" t="str">
        <f t="shared" si="1"/>
        <v>免征</v>
      </c>
      <c r="Q53" s="1235"/>
    </row>
    <row r="54" spans="1:17" ht="12" customHeight="1">
      <c r="A54" s="2009" t="s">
        <v>1557</v>
      </c>
      <c r="B54" s="3487" t="s">
        <v>2593</v>
      </c>
      <c r="C54" s="3476"/>
      <c r="D54" s="1027">
        <f ca="1">C68</f>
        <v>429</v>
      </c>
      <c r="E54" s="264" t="s">
        <v>1558</v>
      </c>
      <c r="F54" s="2492">
        <f>'数据-取费表'!E29</f>
        <v>5.6000000000000001E-2</v>
      </c>
      <c r="G54" s="2493"/>
      <c r="H54" s="2898"/>
      <c r="I54" s="2897"/>
      <c r="J54" s="2772"/>
      <c r="K54" s="2453">
        <v>3</v>
      </c>
      <c r="L54" s="3416" t="s">
        <v>2516</v>
      </c>
      <c r="M54" s="3416"/>
      <c r="N54" s="2455">
        <f t="shared" si="1"/>
        <v>0</v>
      </c>
      <c r="O54" s="2453" t="str">
        <f t="shared" si="1"/>
        <v>增值额×税（费）率</v>
      </c>
      <c r="P54" s="2457" t="str">
        <f t="shared" si="1"/>
        <v>免征</v>
      </c>
      <c r="Q54" s="1235"/>
    </row>
    <row r="55" spans="1:17" ht="24" customHeight="1">
      <c r="A55" s="3440" t="s">
        <v>1560</v>
      </c>
      <c r="B55" s="3436"/>
      <c r="C55" s="3436"/>
      <c r="D55" s="12">
        <f>IF(H55="个人住宅",0,ROUND(D45*I55,0))</f>
        <v>0</v>
      </c>
      <c r="E55" s="2019" t="s">
        <v>1561</v>
      </c>
      <c r="F55" s="2492" t="str">
        <f>IF(H55="正常",I55,"免征")</f>
        <v>免征</v>
      </c>
      <c r="G55" s="2493"/>
      <c r="H55" s="2484" t="s">
        <v>2497</v>
      </c>
      <c r="I55" s="74">
        <f>'数据-取费表'!E37</f>
        <v>5.0000000000000001E-4</v>
      </c>
      <c r="J55" s="2772"/>
      <c r="K55" s="2453" t="str">
        <f>IF(H59="非个人房产","",4)</f>
        <v/>
      </c>
      <c r="L55" s="3416" t="str">
        <f>IF(H59="非个人房产","——","个人所得税")</f>
        <v>——</v>
      </c>
      <c r="M55" s="3416"/>
      <c r="N55" s="2458" t="str">
        <f>D59</f>
        <v>——</v>
      </c>
      <c r="O55" s="2459" t="str">
        <f>E59</f>
        <v>——</v>
      </c>
      <c r="P55" s="2460" t="str">
        <f>F59</f>
        <v>——</v>
      </c>
      <c r="Q55" s="1235"/>
    </row>
    <row r="56" spans="1:17" ht="24.75">
      <c r="A56" s="3440" t="s">
        <v>1563</v>
      </c>
      <c r="B56" s="3436"/>
      <c r="C56" s="3436"/>
      <c r="D56" s="12">
        <f>IF(H56="个人住宅",D57,D58)</f>
        <v>0</v>
      </c>
      <c r="E56" s="2019" t="s">
        <v>1564</v>
      </c>
      <c r="F56" s="2492" t="str">
        <f>IF(H56="正常",F58,"免征")</f>
        <v>免征</v>
      </c>
      <c r="G56" s="2494" t="s">
        <v>1565</v>
      </c>
      <c r="H56" s="2495" t="s">
        <v>2497</v>
      </c>
      <c r="I56" s="2899"/>
      <c r="J56" s="2772"/>
      <c r="K56" s="2453" t="str">
        <f>IF(项目基本情况!I6="上海银行",IF(K55="",4,K55+1),"")</f>
        <v/>
      </c>
      <c r="L56" s="3414" t="str">
        <f>IF(项目基本情况!I6="上海银行","其他处置费用","")</f>
        <v/>
      </c>
      <c r="M56" s="3434"/>
      <c r="N56" s="2455" t="str">
        <f>IF(项目基本情况!I6="上海银行",N69,"")</f>
        <v/>
      </c>
      <c r="O56" s="3414" t="str">
        <f>IF(项目基本情况!I6="上海银行","包含处置中涉及的律师、诉讼、拍卖、评估等费用","")</f>
        <v/>
      </c>
      <c r="P56" s="3415"/>
      <c r="Q56" s="1235"/>
    </row>
    <row r="57" spans="1:17" ht="12.75">
      <c r="A57" s="2009" t="s">
        <v>1540</v>
      </c>
      <c r="B57" s="3487" t="s">
        <v>1566</v>
      </c>
      <c r="C57" s="3476"/>
      <c r="D57" s="2485">
        <v>0</v>
      </c>
      <c r="E57" s="261" t="s">
        <v>1542</v>
      </c>
      <c r="F57" s="235"/>
      <c r="G57" s="2493"/>
      <c r="H57" s="2899"/>
      <c r="I57" s="2899"/>
      <c r="J57" s="2772"/>
      <c r="K57" s="3416">
        <f>IF(AND(K55="",K56=""),4,IF(项目基本情况!I6="上海银行",K56+1,K55+1))</f>
        <v>4</v>
      </c>
      <c r="L57" s="3416" t="s">
        <v>2517</v>
      </c>
      <c r="M57" s="2461" t="s">
        <v>2518</v>
      </c>
      <c r="N57" s="2462"/>
      <c r="O57" s="2463">
        <f ca="1">SUMIF(N52:N56,"&lt;9e307")</f>
        <v>429</v>
      </c>
      <c r="P57" s="2464"/>
      <c r="Q57" s="1233" t="e">
        <f ca="1">O57/N49</f>
        <v>#VALUE!</v>
      </c>
    </row>
    <row r="58" spans="1:17" ht="24.75">
      <c r="A58" s="2009" t="s">
        <v>1551</v>
      </c>
      <c r="B58" s="3487" t="s">
        <v>1569</v>
      </c>
      <c r="C58" s="3475"/>
      <c r="D58" s="12">
        <f ca="1">IF(H58="转让取得",C81,C97)</f>
        <v>4554</v>
      </c>
      <c r="E58" s="2019" t="s">
        <v>1564</v>
      </c>
      <c r="F58" s="235" t="s">
        <v>48</v>
      </c>
      <c r="G58" s="2493"/>
      <c r="H58" s="2495" t="s">
        <v>1570</v>
      </c>
      <c r="I58" s="2899"/>
      <c r="J58" s="2772"/>
      <c r="K58" s="3416"/>
      <c r="L58" s="3416"/>
      <c r="M58" s="2461" t="s">
        <v>2519</v>
      </c>
      <c r="N58" s="2465"/>
      <c r="O58" s="2466" t="str">
        <f ca="1">IF(H19="元",NUMBERSTRING(INT(O57),2)&amp;"元整",NUMBERSTRING(INT(O57*10000),2)&amp;"元整")</f>
        <v>肆佰贰拾玖万元整</v>
      </c>
      <c r="P58" s="2467"/>
      <c r="Q58" s="1235"/>
    </row>
    <row r="59" spans="1:17" ht="24.75" thickBot="1">
      <c r="A59" s="3503" t="s">
        <v>1572</v>
      </c>
      <c r="B59" s="3504"/>
      <c r="C59" s="3504"/>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3" t="s">
        <v>2582</v>
      </c>
      <c r="I59" s="2801" t="s">
        <v>2583</v>
      </c>
      <c r="J59" s="2772"/>
      <c r="K59" s="3469">
        <f>K57+1</f>
        <v>5</v>
      </c>
      <c r="L59" s="3416" t="s">
        <v>2520</v>
      </c>
      <c r="M59" s="2453" t="s">
        <v>2518</v>
      </c>
      <c r="N59" s="2468"/>
      <c r="O59" s="2469" t="e">
        <f ca="1">N49-O57</f>
        <v>#VALUE!</v>
      </c>
      <c r="P59" s="2470"/>
      <c r="Q59" s="1235"/>
    </row>
    <row r="60" spans="1:17" ht="12" customHeight="1">
      <c r="A60" s="1384"/>
      <c r="B60" s="1388"/>
      <c r="C60" s="1388"/>
      <c r="D60" s="1388"/>
      <c r="E60" s="769"/>
      <c r="F60" s="2900"/>
      <c r="G60" s="2900"/>
      <c r="H60" s="2901"/>
      <c r="I60" s="31"/>
      <c r="K60" s="3470"/>
      <c r="L60" s="3416"/>
      <c r="M60" s="2461" t="s">
        <v>2519</v>
      </c>
      <c r="N60" s="2465"/>
      <c r="O60" s="2466" t="e">
        <f ca="1">IF(H19="元",NUMBERSTRING(INT(O59),2)&amp;"元整",NUMBERSTRING(INT(O59*10000),2)&amp;"元整")</f>
        <v>#VALUE!</v>
      </c>
      <c r="P60" s="2467"/>
      <c r="Q60" s="1235"/>
    </row>
    <row r="61" spans="1:17" ht="13.5" thickBot="1">
      <c r="A61" s="3505" t="s">
        <v>1574</v>
      </c>
      <c r="B61" s="3505"/>
      <c r="C61" s="3505"/>
      <c r="D61" s="3505"/>
      <c r="E61" s="3505"/>
      <c r="F61" s="2900"/>
      <c r="G61" s="2900"/>
      <c r="H61" s="2902"/>
      <c r="I61" s="31"/>
      <c r="K61" s="2453">
        <f>K59+1</f>
        <v>6</v>
      </c>
      <c r="L61" s="3416" t="s">
        <v>2521</v>
      </c>
      <c r="M61" s="3416"/>
      <c r="N61" s="2471"/>
      <c r="O61" s="2472" t="e">
        <f ca="1">IF(H19="元",ROUND(O59/项目基本情况!C12,0),ROUND(O59*10000/项目基本情况!C12,0))</f>
        <v>#VALUE!</v>
      </c>
      <c r="P61" s="2473"/>
      <c r="Q61" s="1235"/>
    </row>
    <row r="62" spans="1:17" ht="12.75">
      <c r="A62" s="3454" t="s">
        <v>1576</v>
      </c>
      <c r="B62" s="3455"/>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7662</v>
      </c>
      <c r="D63" s="47"/>
      <c r="E63" s="48"/>
      <c r="F63" s="2900"/>
      <c r="G63" s="2900"/>
      <c r="H63" s="2902"/>
      <c r="I63" s="31"/>
      <c r="K63" s="3435" t="s">
        <v>2522</v>
      </c>
      <c r="L63" s="2475" t="s">
        <v>2523</v>
      </c>
      <c r="M63" s="2475" t="e">
        <f>IF(N49&gt;10000,N49*0.5%,IF(AND(N49&gt;1000,N49&lt;=10000),N49*1%,IF(AND(N49&gt;100,N49&lt;=1000),N49*3%,IF(AND(N49&gt;10,N49&lt;=100),N49*5%,N49*8%))))</f>
        <v>#VALUE!</v>
      </c>
      <c r="N63" s="2476" t="e">
        <f>ROUND(M63,1)</f>
        <v>#VALUE!</v>
      </c>
      <c r="O63" s="2474"/>
      <c r="P63" s="2474"/>
      <c r="Q63" s="1235"/>
    </row>
    <row r="64" spans="1:17" ht="12.75">
      <c r="A64" s="49" t="s">
        <v>71</v>
      </c>
      <c r="B64" s="50" t="s">
        <v>1582</v>
      </c>
      <c r="C64" s="2704">
        <f ca="1">D45</f>
        <v>8045</v>
      </c>
      <c r="D64" s="50" t="s">
        <v>41</v>
      </c>
      <c r="E64" s="52"/>
      <c r="F64" s="2900"/>
      <c r="G64" s="2900"/>
      <c r="H64" s="2902"/>
      <c r="I64" s="31"/>
      <c r="K64" s="3435"/>
      <c r="L64" s="2475" t="s">
        <v>2524</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2525</v>
      </c>
      <c r="P64" s="2474"/>
      <c r="Q64" s="1235"/>
    </row>
    <row r="65" spans="1:36" ht="12.75">
      <c r="A65" s="49" t="s">
        <v>72</v>
      </c>
      <c r="B65" s="50" t="s">
        <v>1585</v>
      </c>
      <c r="C65" s="2705"/>
      <c r="D65" s="50"/>
      <c r="E65" s="52"/>
      <c r="F65" s="2900"/>
      <c r="G65" s="2900"/>
      <c r="H65" s="2902"/>
      <c r="I65" s="31"/>
      <c r="K65" s="3435"/>
      <c r="L65" s="2475" t="s">
        <v>2526</v>
      </c>
      <c r="M65" s="2475" t="e">
        <f>IF(N49&gt;1000,N49*0.1%,IF(AND(N49&gt;500,N49&lt;=1000),N49*0.5%,IF(AND(N49&gt;50,N49&lt;=500),N49*1%,IF(AND(N49&gt;1,N49&lt;=50),N49*1.5%))))</f>
        <v>#VALUE!</v>
      </c>
      <c r="N65" s="2476" t="e">
        <f t="shared" si="2"/>
        <v>#VALUE!</v>
      </c>
      <c r="O65" s="2474" t="s">
        <v>2525</v>
      </c>
      <c r="P65" s="2474"/>
      <c r="Q65" s="1235"/>
    </row>
    <row r="66" spans="1:36" ht="12.75">
      <c r="A66" s="53" t="s">
        <v>47</v>
      </c>
      <c r="B66" s="54" t="s">
        <v>1587</v>
      </c>
      <c r="C66" s="2706"/>
      <c r="D66" s="54" t="s">
        <v>41</v>
      </c>
      <c r="E66" s="1243" t="s">
        <v>1588</v>
      </c>
      <c r="F66" s="2900"/>
      <c r="G66" s="2900"/>
      <c r="H66" s="2902"/>
      <c r="I66" s="31"/>
      <c r="K66" s="3435"/>
      <c r="L66" s="2475" t="s">
        <v>2527</v>
      </c>
      <c r="M66" s="2475" t="e">
        <f>N49*0.5%</f>
        <v>#VALUE!</v>
      </c>
      <c r="N66" s="2476" t="e">
        <f>IF(M66&gt;0.5,0.5,ROUND(M66,0))</f>
        <v>#VALUE!</v>
      </c>
      <c r="O66" s="2474" t="s">
        <v>2528</v>
      </c>
      <c r="P66" s="2474"/>
      <c r="Q66" s="1235"/>
    </row>
    <row r="67" spans="1:36" ht="12.75">
      <c r="A67" s="53" t="s">
        <v>42</v>
      </c>
      <c r="B67" s="54" t="s">
        <v>1591</v>
      </c>
      <c r="C67" s="2707">
        <f ca="1">C63-C66</f>
        <v>7662</v>
      </c>
      <c r="D67" s="50" t="s">
        <v>41</v>
      </c>
      <c r="E67" s="52"/>
      <c r="F67" s="2900"/>
      <c r="G67" s="2900"/>
      <c r="H67" s="2902"/>
      <c r="I67" s="31"/>
      <c r="K67" s="3435"/>
      <c r="L67" s="2475" t="s">
        <v>2529</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5"/>
    </row>
    <row r="68" spans="1:36" ht="13.5" thickBot="1">
      <c r="A68" s="55" t="s">
        <v>46</v>
      </c>
      <c r="B68" s="56" t="s">
        <v>1593</v>
      </c>
      <c r="C68" s="2708">
        <f ca="1">IF(C67&lt;=0,0,ROUND(C67*D68,0))</f>
        <v>429</v>
      </c>
      <c r="D68" s="2169">
        <f>'数据-取费表'!E29</f>
        <v>5.6000000000000001E-2</v>
      </c>
      <c r="E68" s="57"/>
      <c r="F68" s="2900"/>
      <c r="G68" s="2900"/>
      <c r="H68" s="2902"/>
      <c r="I68" s="31"/>
      <c r="K68" s="3435"/>
      <c r="L68" s="2475" t="s">
        <v>2530</v>
      </c>
      <c r="M68" s="2475" t="e">
        <f>IF(N49&gt;10000,N49*0.5%,IF(AND(N49&gt;5000,N49&lt;=10000),N49*1%,IF(AND(N49&gt;1000,N49&lt;=5000),N49*2%,IF(AND(N49&gt;200,N49&lt;=1000),N49*3%,N49*5%))))</f>
        <v>#VALUE!</v>
      </c>
      <c r="N68" s="2476" t="e">
        <f>ROUND(M68,1)</f>
        <v>#VALUE!</v>
      </c>
      <c r="O68" s="2474"/>
      <c r="P68" s="2474"/>
      <c r="Q68" s="1235"/>
    </row>
    <row r="69" spans="1:36" s="1392" customFormat="1" ht="7.5" customHeight="1">
      <c r="A69" s="1404"/>
      <c r="B69" s="1405"/>
      <c r="C69" s="1406"/>
      <c r="D69" s="1407"/>
      <c r="E69" s="1408"/>
      <c r="F69" s="769"/>
      <c r="G69" s="769"/>
      <c r="H69" s="1397"/>
      <c r="I69" s="1388"/>
      <c r="J69" s="2760"/>
      <c r="K69" s="3435"/>
      <c r="L69" s="2475" t="s">
        <v>54</v>
      </c>
      <c r="M69" s="2475"/>
      <c r="N69" s="2476" t="e">
        <f>ROUND(SUM(N63:N68),0)</f>
        <v>#VALUE!</v>
      </c>
      <c r="O69" s="2477" t="e">
        <f>N69/N49</f>
        <v>#VALUE!</v>
      </c>
      <c r="P69" s="2474"/>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456" t="s">
        <v>1596</v>
      </c>
      <c r="B70" s="3457"/>
      <c r="C70" s="3457"/>
      <c r="D70" s="3457"/>
      <c r="E70" s="3457"/>
      <c r="F70" s="3457"/>
      <c r="G70" s="3457"/>
      <c r="H70" s="3457"/>
      <c r="I70" s="1409"/>
      <c r="J70" s="2773"/>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454" t="s">
        <v>1576</v>
      </c>
      <c r="B71" s="3455"/>
      <c r="C71" s="1534"/>
      <c r="D71" s="1534" t="s">
        <v>1577</v>
      </c>
      <c r="E71" s="58" t="s">
        <v>1578</v>
      </c>
      <c r="F71" s="59"/>
      <c r="G71" s="59"/>
      <c r="H71" s="60"/>
      <c r="I71" s="1412"/>
      <c r="J71" s="2774"/>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1597</v>
      </c>
      <c r="C72" s="2707">
        <f ca="1">ROUND(D45/(1+'数据-取费表'!F30),0)</f>
        <v>7662</v>
      </c>
      <c r="D72" s="50" t="s">
        <v>41</v>
      </c>
      <c r="E72" s="12" t="s">
        <v>1598</v>
      </c>
      <c r="F72" s="2016"/>
      <c r="G72" s="2016"/>
      <c r="H72" s="62"/>
      <c r="I72" s="1412"/>
      <c r="J72" s="2774"/>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1599</v>
      </c>
      <c r="C73" s="2707">
        <f ca="1">C74+C78</f>
        <v>46</v>
      </c>
      <c r="D73" s="50" t="s">
        <v>41</v>
      </c>
      <c r="E73" s="2015"/>
      <c r="F73" s="2016"/>
      <c r="G73" s="2016"/>
      <c r="H73" s="62"/>
      <c r="I73" s="1412"/>
      <c r="J73" s="2774"/>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87" t="s">
        <v>1606</v>
      </c>
      <c r="F76" s="3475"/>
      <c r="G76" s="3475"/>
      <c r="H76" s="3488"/>
      <c r="I76" s="1412"/>
      <c r="J76" s="2774"/>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46</v>
      </c>
      <c r="D78" s="2716">
        <f>'数据-取费表'!E31</f>
        <v>6.000000000000001E-3</v>
      </c>
      <c r="E78" s="3423" t="s">
        <v>1611</v>
      </c>
      <c r="F78" s="3424"/>
      <c r="G78" s="3424"/>
      <c r="H78" s="3444"/>
      <c r="I78" s="1414"/>
      <c r="J78" s="2776"/>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1612</v>
      </c>
      <c r="C79" s="2707">
        <f ca="1">C72-C73</f>
        <v>7616</v>
      </c>
      <c r="D79" s="50" t="s">
        <v>41</v>
      </c>
      <c r="E79" s="2015"/>
      <c r="F79" s="2016"/>
      <c r="G79" s="2016"/>
      <c r="H79" s="62"/>
      <c r="I79" s="1412"/>
      <c r="J79" s="2774"/>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1613</v>
      </c>
      <c r="C80" s="2717">
        <f ca="1">IF(C79&lt;=0,0,C79/C73)</f>
        <v>165.56521739130434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4554</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6"/>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456" t="s">
        <v>1615</v>
      </c>
      <c r="B83" s="3457"/>
      <c r="C83" s="3457"/>
      <c r="D83" s="3457"/>
      <c r="E83" s="3457"/>
      <c r="F83" s="3457"/>
      <c r="G83" s="3457"/>
      <c r="H83" s="3457"/>
      <c r="I83" s="9"/>
      <c r="J83" s="277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454" t="s">
        <v>1576</v>
      </c>
      <c r="B84" s="3455"/>
      <c r="C84" s="1534"/>
      <c r="D84" s="1534" t="s">
        <v>1577</v>
      </c>
      <c r="E84" s="58" t="s">
        <v>1578</v>
      </c>
      <c r="F84" s="59"/>
      <c r="G84" s="59"/>
      <c r="H84" s="72"/>
      <c r="I84" s="9"/>
      <c r="J84" s="2775"/>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1597</v>
      </c>
      <c r="C85" s="2707">
        <f ca="1">ROUND(D45/(1+'数据-取费表'!F30),0)</f>
        <v>7662</v>
      </c>
      <c r="D85" s="50" t="s">
        <v>41</v>
      </c>
      <c r="E85" s="2015" t="s">
        <v>1598</v>
      </c>
      <c r="F85" s="2016"/>
      <c r="G85" s="2016"/>
      <c r="H85" s="73"/>
      <c r="I85" s="9"/>
      <c r="J85" s="2775"/>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46</v>
      </c>
      <c r="D86" s="2719"/>
      <c r="E86" s="2015"/>
      <c r="F86" s="2016"/>
      <c r="G86" s="2016"/>
      <c r="H86" s="73"/>
      <c r="I86" s="9"/>
      <c r="J86" s="2775"/>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2576</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63" t="s">
        <v>2492</v>
      </c>
      <c r="H90" s="3463"/>
      <c r="I90" s="9"/>
      <c r="J90" s="2775"/>
      <c r="K90" s="2891" t="s">
        <v>2577</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23" t="s">
        <v>1623</v>
      </c>
      <c r="F91" s="3424"/>
      <c r="G91" s="3424"/>
      <c r="H91" s="1416" t="s">
        <v>1624</v>
      </c>
      <c r="I91" s="1417"/>
      <c r="J91" s="2777"/>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23" t="s">
        <v>1626</v>
      </c>
      <c r="F92" s="3424"/>
      <c r="G92" s="3424"/>
      <c r="H92" s="3444"/>
      <c r="I92" s="9"/>
      <c r="J92" s="2775"/>
      <c r="K92" s="2892" t="s">
        <v>2578</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46</v>
      </c>
      <c r="D93" s="2716">
        <f>'数据-取费表'!E31</f>
        <v>6.000000000000001E-3</v>
      </c>
      <c r="E93" s="3423" t="s">
        <v>1611</v>
      </c>
      <c r="F93" s="3424"/>
      <c r="G93" s="3424"/>
      <c r="H93" s="3444"/>
      <c r="I93" s="9"/>
      <c r="J93" s="277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23" t="s">
        <v>1628</v>
      </c>
      <c r="F94" s="3424"/>
      <c r="G94" s="3424"/>
      <c r="H94" s="3444"/>
      <c r="I94" s="9"/>
      <c r="J94" s="2775"/>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1612</v>
      </c>
      <c r="C95" s="2707">
        <f ca="1">ROUND(C85-C86,0)</f>
        <v>7616</v>
      </c>
      <c r="D95" s="50" t="s">
        <v>41</v>
      </c>
      <c r="E95" s="2015"/>
      <c r="F95" s="2016"/>
      <c r="G95" s="2016"/>
      <c r="H95" s="73"/>
      <c r="I95" s="9"/>
      <c r="J95" s="2775"/>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1613</v>
      </c>
      <c r="C96" s="2717">
        <f ca="1">IF(C95&lt;=0,0,C95/C86)</f>
        <v>165.56521739130434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4554</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1629</v>
      </c>
      <c r="B98" s="1388"/>
      <c r="C98" s="1388"/>
      <c r="D98" s="1388"/>
      <c r="E98" s="769"/>
      <c r="F98" s="769"/>
      <c r="G98" s="769"/>
      <c r="H98" s="1397"/>
      <c r="I98" s="1388"/>
    </row>
    <row r="99" spans="1:36" ht="15.75">
      <c r="A99" s="3441" t="s">
        <v>1630</v>
      </c>
      <c r="B99" s="3442"/>
      <c r="C99" s="3442"/>
      <c r="D99" s="3443"/>
      <c r="E99" s="1388"/>
      <c r="F99" s="3451" t="s">
        <v>1631</v>
      </c>
      <c r="G99" s="3452"/>
      <c r="H99" s="3452"/>
      <c r="I99" s="3453"/>
      <c r="J99" s="2778"/>
    </row>
    <row r="100" spans="1:36" ht="15">
      <c r="A100" s="3458" t="s">
        <v>1632</v>
      </c>
      <c r="B100" s="3459"/>
      <c r="C100" s="1234" t="str">
        <f>C4</f>
        <v>成本法</v>
      </c>
      <c r="D100" s="2726" t="str">
        <f>D4</f>
        <v>收益法</v>
      </c>
      <c r="E100" s="1388"/>
      <c r="F100" s="3460" t="s">
        <v>2536</v>
      </c>
      <c r="G100" s="3462"/>
      <c r="H100" s="3460" t="s">
        <v>2537</v>
      </c>
      <c r="I100" s="3461"/>
      <c r="J100" s="2779"/>
    </row>
    <row r="101" spans="1:36" ht="12.75">
      <c r="A101" s="3477" t="s">
        <v>2569</v>
      </c>
      <c r="B101" s="2234" t="str">
        <f>IF(H19="元","总价（元）","总价（万元）")</f>
        <v>总价（万元）</v>
      </c>
      <c r="C101" s="1234">
        <f ca="1">C19</f>
        <v>7207</v>
      </c>
      <c r="D101" s="2726">
        <f ca="1">D19</f>
        <v>8883</v>
      </c>
      <c r="E101" s="1388"/>
      <c r="F101" s="3460" t="str">
        <f>项目基本情况!I1</f>
        <v>XX房地产</v>
      </c>
      <c r="G101" s="3462"/>
      <c r="H101" s="3464">
        <f>项目基本情况!C12</f>
        <v>2380.7600000000002</v>
      </c>
      <c r="I101" s="3461"/>
      <c r="J101" s="2779"/>
    </row>
    <row r="102" spans="1:36" ht="12.75">
      <c r="A102" s="3477"/>
      <c r="B102" s="2234" t="s">
        <v>2570</v>
      </c>
      <c r="C102" s="2727">
        <f ca="1">C20</f>
        <v>30274</v>
      </c>
      <c r="D102" s="2728">
        <f ca="1">D20</f>
        <v>37311</v>
      </c>
      <c r="E102" s="1388"/>
      <c r="F102" s="3447" t="s">
        <v>2566</v>
      </c>
      <c r="G102" s="3448"/>
      <c r="H102" s="2736" t="str">
        <f>C106</f>
        <v>总价（万元）</v>
      </c>
      <c r="I102" s="2737">
        <f ca="1">H121</f>
        <v>8045</v>
      </c>
      <c r="J102" s="2779"/>
    </row>
    <row r="103" spans="1:36" ht="12.75">
      <c r="A103" s="3477" t="s">
        <v>2571</v>
      </c>
      <c r="B103" s="2172" t="str">
        <f>B101</f>
        <v>总价（万元）</v>
      </c>
      <c r="C103" s="2731">
        <f ca="1">H121</f>
        <v>8045</v>
      </c>
      <c r="D103" s="2729"/>
      <c r="E103" s="1388"/>
      <c r="F103" s="3447"/>
      <c r="G103" s="3448"/>
      <c r="H103" s="2736" t="s">
        <v>2539</v>
      </c>
      <c r="I103" s="52">
        <f ca="1">I121</f>
        <v>33793</v>
      </c>
      <c r="J103" s="2763"/>
    </row>
    <row r="104" spans="1:36" ht="13.5" thickBot="1">
      <c r="A104" s="3478"/>
      <c r="B104" s="2733" t="s">
        <v>2570</v>
      </c>
      <c r="C104" s="2734">
        <f ca="1">I121</f>
        <v>33793</v>
      </c>
      <c r="D104" s="2735"/>
      <c r="E104" s="1388"/>
      <c r="F104" s="3447"/>
      <c r="G104" s="3448"/>
      <c r="H104" s="3479"/>
      <c r="I104" s="3480"/>
      <c r="J104" s="2780"/>
    </row>
    <row r="105" spans="1:36" ht="15">
      <c r="A105" s="3441" t="s">
        <v>1633</v>
      </c>
      <c r="B105" s="3442"/>
      <c r="C105" s="3442"/>
      <c r="D105" s="3443"/>
      <c r="E105" s="1388"/>
      <c r="F105" s="3483" t="s">
        <v>2540</v>
      </c>
      <c r="G105" s="3484"/>
      <c r="H105" s="2738" t="str">
        <f>C108</f>
        <v>总额（万元）</v>
      </c>
      <c r="I105" s="2737">
        <f>SUMIF(I106:I108,"&lt;9E307")</f>
        <v>0</v>
      </c>
      <c r="J105" s="2779"/>
    </row>
    <row r="106" spans="1:36" ht="14.25">
      <c r="A106" s="3447" t="s">
        <v>2563</v>
      </c>
      <c r="B106" s="3448"/>
      <c r="C106" s="2736" t="str">
        <f>B101</f>
        <v>总价（万元）</v>
      </c>
      <c r="D106" s="2737">
        <f ca="1">H121</f>
        <v>8045</v>
      </c>
      <c r="E106" s="1388"/>
      <c r="F106" s="3449" t="s">
        <v>2541</v>
      </c>
      <c r="G106" s="3450"/>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47"/>
      <c r="B107" s="3448"/>
      <c r="C107" s="2736" t="s">
        <v>2564</v>
      </c>
      <c r="D107" s="52">
        <f ca="1">I121</f>
        <v>33793</v>
      </c>
      <c r="E107" s="1388"/>
      <c r="F107" s="3449" t="s">
        <v>2542</v>
      </c>
      <c r="G107" s="3450"/>
      <c r="H107" s="2738" t="str">
        <f>C110</f>
        <v>总额（万元）</v>
      </c>
      <c r="I107" s="52">
        <f>C37</f>
        <v>0</v>
      </c>
      <c r="J107" s="2763"/>
    </row>
    <row r="108" spans="1:36" ht="12.75">
      <c r="A108" s="3518" t="s">
        <v>2540</v>
      </c>
      <c r="B108" s="3519"/>
      <c r="C108" s="2738" t="str">
        <f>IF(H19="元","总额（元）","总额（万元）")</f>
        <v>总额（万元）</v>
      </c>
      <c r="D108" s="2737">
        <f>IF(D36="正常操作",I106+I107+I108,I107+I108)</f>
        <v>0</v>
      </c>
      <c r="E108" s="1388"/>
      <c r="F108" s="3449" t="s">
        <v>2567</v>
      </c>
      <c r="G108" s="3450"/>
      <c r="H108" s="2738" t="str">
        <f>C111</f>
        <v>总额（万元）</v>
      </c>
      <c r="I108" s="52">
        <f>C38</f>
        <v>0</v>
      </c>
      <c r="J108" s="2763"/>
    </row>
    <row r="109" spans="1:36" ht="12.75">
      <c r="A109" s="3449" t="s">
        <v>2541</v>
      </c>
      <c r="B109" s="3450"/>
      <c r="C109" s="2738" t="str">
        <f>C108</f>
        <v>总额（万元）</v>
      </c>
      <c r="D109" s="52">
        <f>IF(D36="同一抵押权人同一抵押物续贷",C36&amp;"（未扣减，详见特别提示）",C36)</f>
        <v>0</v>
      </c>
      <c r="E109" s="1388"/>
      <c r="F109" s="3447"/>
      <c r="G109" s="3448"/>
      <c r="H109" s="3481"/>
      <c r="I109" s="3482"/>
      <c r="J109" s="2781"/>
    </row>
    <row r="110" spans="1:36" ht="28.5" customHeight="1">
      <c r="A110" s="3449" t="s">
        <v>2565</v>
      </c>
      <c r="B110" s="3450"/>
      <c r="C110" s="2738" t="str">
        <f>C108</f>
        <v>总额（万元）</v>
      </c>
      <c r="D110" s="52">
        <f>C37</f>
        <v>0</v>
      </c>
      <c r="E110" s="1388"/>
      <c r="F110" s="3430" t="str">
        <f>IF(项目基本情况!F5="已注销","——","3.房地产抵押价值")</f>
        <v>3.房地产抵押价值</v>
      </c>
      <c r="G110" s="3431"/>
      <c r="H110" s="2724" t="str">
        <f>C112</f>
        <v>总价（万元）</v>
      </c>
      <c r="I110" s="2737">
        <f ca="1">IF(F110="——","——",I102-I105)</f>
        <v>8045</v>
      </c>
      <c r="J110" s="2779"/>
    </row>
    <row r="111" spans="1:36" ht="12.75">
      <c r="A111" s="3449" t="s">
        <v>2544</v>
      </c>
      <c r="B111" s="3450"/>
      <c r="C111" s="2738" t="str">
        <f>C108</f>
        <v>总额（万元）</v>
      </c>
      <c r="D111" s="52">
        <f>C38</f>
        <v>0</v>
      </c>
      <c r="E111" s="1388"/>
      <c r="F111" s="3432"/>
      <c r="G111" s="3433"/>
      <c r="H111" s="2736" t="s">
        <v>2539</v>
      </c>
      <c r="I111" s="2740">
        <f ca="1">D113</f>
        <v>33793</v>
      </c>
      <c r="J111" s="2782"/>
    </row>
    <row r="112" spans="1:36" ht="26.25" customHeight="1">
      <c r="A112" s="3447" t="str">
        <f>IF(项目基本情况!F5="已注销","——","3.房地产抵押价值")</f>
        <v>3.房地产抵押价值</v>
      </c>
      <c r="B112" s="3448"/>
      <c r="C112" s="2736" t="str">
        <f>B101</f>
        <v>总价（万元）</v>
      </c>
      <c r="D112" s="2737">
        <f ca="1">IF(A112="——","——",D106-D108)</f>
        <v>8045</v>
      </c>
      <c r="E112" s="1388"/>
      <c r="F112" s="3430" t="str">
        <f>IF(项目基本情况!F5="已注销及未注销","4.抵押担保权已注销时的房地产抵押价值",IF(项目基本情况!F5="已注销","3.抵押担保权已注销时的房地产抵押价值","——"))</f>
        <v>——</v>
      </c>
      <c r="G112" s="3431"/>
      <c r="H112" s="2724" t="str">
        <f>C114</f>
        <v>总价（万元）</v>
      </c>
      <c r="I112" s="2737" t="str">
        <f>IF(F112="——","——",I102-I107-I108)</f>
        <v>——</v>
      </c>
      <c r="J112" s="2779"/>
    </row>
    <row r="113" spans="1:16" ht="12.75">
      <c r="A113" s="3447"/>
      <c r="B113" s="3448"/>
      <c r="C113" s="2736" t="s">
        <v>2532</v>
      </c>
      <c r="D113" s="52">
        <f ca="1">ROUND(IF(D112=D106,D107,IF(H19="元",D112/项目基本情况!C12,D112*10000/项目基本情况!C12)),0)</f>
        <v>33793</v>
      </c>
      <c r="E113" s="1388"/>
      <c r="F113" s="3432"/>
      <c r="G113" s="3433"/>
      <c r="H113" s="2736" t="s">
        <v>2568</v>
      </c>
      <c r="I113" s="52" t="str">
        <f>D115</f>
        <v>——</v>
      </c>
      <c r="J113" s="2763"/>
    </row>
    <row r="114" spans="1:16" ht="12.75">
      <c r="A114" s="3447" t="str">
        <f>IF(项目基本情况!F5="已注销及未注销","4.抵押担保权已注销时的房地产抵押价值",IF(项目基本情况!F5="已注销","3.抵押担保权已注销时的房地产抵押价值","——"))</f>
        <v>——</v>
      </c>
      <c r="B114" s="3448"/>
      <c r="C114" s="2736" t="str">
        <f>B101</f>
        <v>总价（万元）</v>
      </c>
      <c r="D114" s="2737" t="str">
        <f>IF(A114="——","——",D106-D110-D111)</f>
        <v>——</v>
      </c>
      <c r="E114" s="1388"/>
      <c r="F114" s="3430" t="str">
        <f>IF(项目基本情况!G5="抵押净值",IF(OR(项目基本情况!F5="已注销",项目基本情况!F5="房地产抵押价值"),"4.抵押净值","5.抵押净值"),"——")</f>
        <v>——</v>
      </c>
      <c r="G114" s="3431"/>
      <c r="H114" s="2736" t="str">
        <f>C116</f>
        <v>总价（万元）</v>
      </c>
      <c r="I114" s="2737" t="str">
        <f>IF(F114="——","——",O59)</f>
        <v>——</v>
      </c>
      <c r="J114" s="2779"/>
    </row>
    <row r="115" spans="1:16" ht="13.5" thickBot="1">
      <c r="A115" s="3447"/>
      <c r="B115" s="3448"/>
      <c r="C115" s="2736" t="s">
        <v>2532</v>
      </c>
      <c r="D115" s="52" t="str">
        <f>IF(A114="——","——",ROUND(IF(D114=D106,D107,IF(H19="元",D114/项目基本情况!C12,D114*10000/项目基本情况!C12)),0))</f>
        <v>——</v>
      </c>
      <c r="E115" s="1388"/>
      <c r="F115" s="3510"/>
      <c r="G115" s="3511"/>
      <c r="H115" s="2741" t="s">
        <v>2532</v>
      </c>
      <c r="I115" s="2725" t="str">
        <f ca="1">D117</f>
        <v>——</v>
      </c>
      <c r="J115" s="2763"/>
    </row>
    <row r="116" spans="1:16" ht="15.75">
      <c r="A116" s="3447" t="str">
        <f>IF(项目基本情况!G5="抵押净值",IF(OR(项目基本情况!F5="已注销",项目基本情况!F5="房地产抵押价值"),"4.抵押净值","5.抵押净值"),"——")</f>
        <v>——</v>
      </c>
      <c r="B116" s="3448"/>
      <c r="C116" s="2736" t="str">
        <f>B101</f>
        <v>总价（万元）</v>
      </c>
      <c r="D116" s="2737" t="str">
        <f>IF(A116="——","——",O59)</f>
        <v>——</v>
      </c>
      <c r="E116" s="1388"/>
      <c r="F116" s="3425"/>
      <c r="G116" s="3425"/>
      <c r="H116" s="3466"/>
      <c r="I116" s="3466"/>
      <c r="J116" s="2783"/>
      <c r="O116" s="32"/>
      <c r="P116" s="32"/>
    </row>
    <row r="117" spans="1:16" ht="13.5" thickBot="1">
      <c r="A117" s="3516"/>
      <c r="B117" s="3517"/>
      <c r="C117" s="2741" t="s">
        <v>2532</v>
      </c>
      <c r="D117" s="2725" t="str">
        <f ca="1">IF(D116=D112,D113,IF(A116="——","——",O61))</f>
        <v>——</v>
      </c>
      <c r="E117" s="1388"/>
      <c r="F117" s="3509" t="str">
        <f>IF(B32="总价","（以上估价结果中单价为总价除以建筑面积得出）","（以上估价结果中总价为楼面单价乘以建筑面积得出）")</f>
        <v>（以上估价结果中总价为楼面单价乘以建筑面积得出）</v>
      </c>
      <c r="G117" s="3509"/>
      <c r="H117" s="3509"/>
      <c r="I117" s="3509"/>
      <c r="J117" s="2784"/>
      <c r="O117" s="32"/>
      <c r="P117" s="32"/>
    </row>
    <row r="118" spans="1:16" ht="15">
      <c r="A118" s="3467" t="s">
        <v>1634</v>
      </c>
      <c r="B118" s="3468"/>
      <c r="C118" s="3468"/>
      <c r="D118" s="3468"/>
      <c r="E118" s="3468"/>
      <c r="F118" s="3468"/>
      <c r="G118" s="3468"/>
      <c r="H118" s="3468"/>
      <c r="I118" s="3468"/>
      <c r="J118" s="2785"/>
    </row>
    <row r="119" spans="1:16" ht="12.75">
      <c r="A119" s="3440" t="s">
        <v>2550</v>
      </c>
      <c r="B119" s="3438" t="s">
        <v>2560</v>
      </c>
      <c r="C119" s="3438" t="s">
        <v>2561</v>
      </c>
      <c r="D119" s="3445" t="s">
        <v>2552</v>
      </c>
      <c r="E119" s="3446"/>
      <c r="F119" s="3436" t="s">
        <v>2562</v>
      </c>
      <c r="G119" s="3436"/>
      <c r="H119" s="3436" t="s">
        <v>2553</v>
      </c>
      <c r="I119" s="3437"/>
      <c r="J119" s="2763"/>
    </row>
    <row r="120" spans="1:16" ht="12.75">
      <c r="A120" s="3440"/>
      <c r="B120" s="3439"/>
      <c r="C120" s="3439"/>
      <c r="D120" s="2019" t="s">
        <v>2554</v>
      </c>
      <c r="E120" s="2019" t="s">
        <v>2559</v>
      </c>
      <c r="F120" s="2019" t="s">
        <v>2554</v>
      </c>
      <c r="G120" s="2019" t="s">
        <v>2555</v>
      </c>
      <c r="H120" s="2019" t="s">
        <v>2554</v>
      </c>
      <c r="I120" s="52" t="s">
        <v>2555</v>
      </c>
      <c r="J120" s="2763"/>
    </row>
    <row r="121" spans="1:16" ht="12.75">
      <c r="A121" s="2009" t="str">
        <f>项目基本情况!I1</f>
        <v>XX房地产</v>
      </c>
      <c r="B121" s="2019">
        <f>项目基本情况!C12</f>
        <v>2380.7600000000002</v>
      </c>
      <c r="C121" s="2019">
        <f>项目基本情况!C13</f>
        <v>0</v>
      </c>
      <c r="D121" s="2019">
        <f ca="1">ROUND(IF(B32="总价",C34,IF('数据-取费表'!B3="万元",E121*B121/10000,E121*B121)),0)</f>
        <v>6855</v>
      </c>
      <c r="E121" s="2019">
        <f ca="1">ROUND(IF(B32="楼面单价",C34,IF(H19="元",D121/B121,D121*10000/B121)),0)</f>
        <v>28792</v>
      </c>
      <c r="F121" s="2019">
        <f ca="1">ROUND(IF(B32="总价",C35,IF('数据-取费表'!B3="万元",G121*B121/10000,G121*B121)),0)</f>
        <v>1191</v>
      </c>
      <c r="G121" s="2019">
        <f ca="1">ROUND(IF(B32="楼面单价",C35,IF(H19="元",F121/B121,F121*10000/B121)),0)</f>
        <v>5001</v>
      </c>
      <c r="H121" s="2019">
        <f ca="1">ROUND(IF(B32="总价",C32,IF('数据-取费表'!B3="万元",I121*B121/10000,I121*B121)),0)</f>
        <v>8045</v>
      </c>
      <c r="I121" s="52">
        <f ca="1">ROUND(IF(B32="楼面单价",C32,IF(H19="元",H121/B121,H121*10000/B121)),0)</f>
        <v>33793</v>
      </c>
      <c r="J121" s="2763"/>
    </row>
    <row r="122" spans="1:16" ht="12.75">
      <c r="A122" s="3440" t="s">
        <v>2556</v>
      </c>
      <c r="B122" s="3436"/>
      <c r="C122" s="3436"/>
      <c r="D122" s="3471" t="str">
        <f ca="1">IF(H19="元",NUMBERSTRING(INT(D121),2)&amp;"元整",NUMBERSTRING(INT(D121*10000),2)&amp;"元整")</f>
        <v>陆仟捌佰伍拾伍万元整</v>
      </c>
      <c r="E122" s="3472"/>
      <c r="F122" s="3471" t="str">
        <f ca="1">IF(H19="元",NUMBERSTRING(INT(F121),2)&amp;"元整",NUMBERSTRING(INT(F121*10000),2)&amp;"元整")</f>
        <v>壹仟壹佰玖拾壹万元整</v>
      </c>
      <c r="G122" s="3472"/>
      <c r="H122" s="3471" t="str">
        <f ca="1">IF(H19="元",NUMBERSTRING(INT(H121),2)&amp;"元整",NUMBERSTRING(INT(H121*10000),2)&amp;"元整")</f>
        <v>捌仟零肆拾伍万元整</v>
      </c>
      <c r="I122" s="3520"/>
      <c r="J122" s="2786"/>
    </row>
    <row r="123" spans="1:16" ht="12.75">
      <c r="A123" s="3460" t="str">
        <f>IF(项目基本情况!D5="房地产市场价值","——",MID(A108,3,LEN(A108)-2))</f>
        <v>估价师所知悉的法定优先受偿款</v>
      </c>
      <c r="B123" s="3473"/>
      <c r="C123" s="3462"/>
      <c r="D123" s="3464">
        <f>I105</f>
        <v>0</v>
      </c>
      <c r="E123" s="3473"/>
      <c r="F123" s="3473"/>
      <c r="G123" s="3473"/>
      <c r="H123" s="3473"/>
      <c r="I123" s="3461"/>
      <c r="J123" s="2779"/>
    </row>
    <row r="124" spans="1:16" ht="12.75">
      <c r="A124" s="3474" t="s">
        <v>2556</v>
      </c>
      <c r="B124" s="3475"/>
      <c r="C124" s="3476"/>
      <c r="D124" s="3512">
        <f>H109</f>
        <v>0</v>
      </c>
      <c r="E124" s="3513"/>
      <c r="F124" s="3513"/>
      <c r="G124" s="3513"/>
      <c r="H124" s="3513"/>
      <c r="I124" s="3514"/>
      <c r="J124" s="2787"/>
    </row>
    <row r="125" spans="1:16" ht="12.75">
      <c r="A125" s="3447" t="str">
        <f>IF(项目基本情况!D5="房地产市场价值","——",MID(A112,3,LEN(A112)-2))</f>
        <v>房地产抵押价值</v>
      </c>
      <c r="B125" s="3448"/>
      <c r="C125" s="3448"/>
      <c r="D125" s="3464">
        <f ca="1">I110</f>
        <v>8045</v>
      </c>
      <c r="E125" s="3473"/>
      <c r="F125" s="3473"/>
      <c r="G125" s="3473"/>
      <c r="H125" s="3473"/>
      <c r="I125" s="3461"/>
      <c r="J125" s="2779"/>
    </row>
    <row r="126" spans="1:16" ht="12.75">
      <c r="A126" s="3440" t="s">
        <v>2556</v>
      </c>
      <c r="B126" s="3436"/>
      <c r="C126" s="3436"/>
      <c r="D126" s="3512">
        <f ca="1">I111</f>
        <v>33793</v>
      </c>
      <c r="E126" s="3513"/>
      <c r="F126" s="3513"/>
      <c r="G126" s="3513"/>
      <c r="H126" s="3513"/>
      <c r="I126" s="3514"/>
      <c r="J126" s="2787"/>
    </row>
    <row r="127" spans="1:16" ht="13.5" thickBot="1">
      <c r="A127" s="3447" t="str">
        <f>IF(项目基本情况!D5="房地产市场价值","——",MID(A114,3,LEN(A114)-2))</f>
        <v/>
      </c>
      <c r="B127" s="3448"/>
      <c r="C127" s="3448"/>
      <c r="D127" s="3420" t="str">
        <f>I112</f>
        <v>——</v>
      </c>
      <c r="E127" s="3421"/>
      <c r="F127" s="3421"/>
      <c r="G127" s="3421"/>
      <c r="H127" s="3421"/>
      <c r="I127" s="3422"/>
      <c r="J127" s="2779"/>
    </row>
    <row r="128" spans="1:16" ht="14.25" thickTop="1" thickBot="1">
      <c r="A128" s="3440" t="s">
        <v>2556</v>
      </c>
      <c r="B128" s="3436"/>
      <c r="C128" s="3487"/>
      <c r="D128" s="3465" t="str">
        <f>I113</f>
        <v>——</v>
      </c>
      <c r="E128" s="3465"/>
      <c r="F128" s="3465"/>
      <c r="G128" s="3465"/>
      <c r="H128" s="3465"/>
      <c r="I128" s="3465"/>
      <c r="J128" s="2787"/>
    </row>
    <row r="129" spans="1:10" ht="14.25" thickTop="1" thickBot="1">
      <c r="A129" s="3447" t="str">
        <f>IF(项目基本情况!D5="房地产市场价值","——",MID(F114,3,LEN(F114)-2))</f>
        <v/>
      </c>
      <c r="B129" s="3448"/>
      <c r="C129" s="3464"/>
      <c r="D129" s="3515" t="str">
        <f>I114</f>
        <v>——</v>
      </c>
      <c r="E129" s="3515"/>
      <c r="F129" s="3515"/>
      <c r="G129" s="3515"/>
      <c r="H129" s="3515"/>
      <c r="I129" s="3515"/>
      <c r="J129" s="2779"/>
    </row>
    <row r="130" spans="1:10" ht="14.25" thickTop="1" thickBot="1">
      <c r="A130" s="3503" t="s">
        <v>2556</v>
      </c>
      <c r="B130" s="3504"/>
      <c r="C130" s="3504"/>
      <c r="D130" s="3521">
        <f>H116</f>
        <v>0</v>
      </c>
      <c r="E130" s="3522"/>
      <c r="F130" s="3522"/>
      <c r="G130" s="3522"/>
      <c r="H130" s="3522"/>
      <c r="I130" s="3523"/>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08" t="str">
        <f>IF(B32="总价","（以上估价结果中楼面单价为总价除以建筑面积得出）","（以上估价结果中总价为楼面单价乘以建筑面积得出）")</f>
        <v>（以上估价结果中总价为楼面单价乘以建筑面积得出）</v>
      </c>
      <c r="B132" s="3508"/>
      <c r="C132" s="3508"/>
      <c r="D132" s="3508"/>
      <c r="E132" s="3508"/>
      <c r="F132" s="3508"/>
      <c r="G132" s="3508"/>
      <c r="H132" s="3508"/>
      <c r="I132" s="3508"/>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8"/>
      <c r="J138" s="2790"/>
    </row>
    <row r="139" spans="1:10" ht="21.75" customHeight="1">
      <c r="A139" s="658"/>
      <c r="B139" s="658"/>
      <c r="C139" s="658"/>
      <c r="D139" s="658"/>
      <c r="E139" s="658"/>
      <c r="F139" s="1431" t="s">
        <v>1637</v>
      </c>
      <c r="G139" s="1432"/>
      <c r="H139" s="1432"/>
      <c r="I139" s="1433" t="s">
        <v>1638</v>
      </c>
      <c r="J139" s="2791"/>
    </row>
    <row r="140" spans="1:10" ht="21.75" customHeight="1">
      <c r="A140" s="658"/>
      <c r="B140" s="1434" t="s">
        <v>1639</v>
      </c>
      <c r="C140" s="658"/>
      <c r="D140" s="658"/>
      <c r="E140" s="658"/>
      <c r="F140" s="658"/>
      <c r="G140" s="658"/>
      <c r="H140" s="658"/>
      <c r="I140" s="658"/>
      <c r="J140" s="2790"/>
    </row>
    <row r="141" spans="1:10" ht="21.75" customHeight="1">
      <c r="A141" s="658"/>
      <c r="B141" s="658"/>
      <c r="C141" s="658"/>
      <c r="D141" s="658"/>
      <c r="E141" s="658"/>
      <c r="F141" s="658"/>
      <c r="G141" s="658"/>
      <c r="H141" s="658"/>
      <c r="I141" s="658"/>
      <c r="J141" s="2790"/>
    </row>
    <row r="142" spans="1:10" ht="21.75" customHeight="1">
      <c r="A142" s="658"/>
      <c r="B142" s="1432"/>
      <c r="C142" s="1432"/>
      <c r="D142" s="1432"/>
      <c r="E142" s="1432"/>
      <c r="F142" s="1432"/>
      <c r="G142" s="1432"/>
      <c r="H142" s="1432"/>
      <c r="I142" s="1433" t="s">
        <v>1640</v>
      </c>
      <c r="J142" s="2791"/>
    </row>
    <row r="143" spans="1:10" ht="21.75" customHeight="1">
      <c r="A143" s="658"/>
      <c r="B143" s="1434" t="s">
        <v>1641</v>
      </c>
      <c r="C143" s="658"/>
      <c r="D143" s="658"/>
      <c r="E143" s="658"/>
      <c r="F143" s="658"/>
      <c r="G143" s="658"/>
      <c r="H143" s="658"/>
      <c r="I143" s="658"/>
      <c r="J143" s="2790"/>
    </row>
    <row r="144" spans="1:10" ht="21.75" customHeight="1">
      <c r="A144" s="658"/>
      <c r="B144" s="1434"/>
      <c r="C144" s="658"/>
      <c r="D144" s="658"/>
      <c r="E144" s="658"/>
      <c r="F144" s="658"/>
      <c r="G144" s="658"/>
      <c r="H144" s="658"/>
      <c r="I144" s="658"/>
      <c r="J144" s="2790"/>
    </row>
    <row r="145" spans="1:36" ht="21.75" customHeight="1">
      <c r="A145" s="658"/>
      <c r="B145" s="1432"/>
      <c r="C145" s="1432"/>
      <c r="D145" s="1432"/>
      <c r="E145" s="1432"/>
      <c r="F145" s="1432"/>
      <c r="G145" s="1432"/>
      <c r="H145" s="1432"/>
      <c r="I145" s="1433" t="s">
        <v>1640</v>
      </c>
      <c r="J145" s="2791"/>
    </row>
    <row r="146" spans="1:36" ht="21.75" customHeight="1">
      <c r="A146" s="658"/>
      <c r="B146" s="1434"/>
      <c r="C146" s="1435"/>
      <c r="D146" s="1436"/>
      <c r="E146" s="1436"/>
      <c r="F146" s="1437"/>
      <c r="G146" s="658"/>
      <c r="H146" s="658"/>
      <c r="I146" s="658"/>
      <c r="J146" s="2790"/>
    </row>
    <row r="147" spans="1:36" s="32" customFormat="1" ht="21.75" customHeight="1">
      <c r="A147" s="658"/>
      <c r="B147" s="1434"/>
      <c r="C147" s="1435"/>
      <c r="D147" s="1436"/>
      <c r="E147" s="1436"/>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9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90"/>
    </row>
    <row r="151" spans="1:36" s="658" customFormat="1" ht="21.75" customHeight="1">
      <c r="J151" s="2790"/>
    </row>
    <row r="152" spans="1:36" s="658" customFormat="1" ht="21.75" customHeight="1">
      <c r="J152" s="2790"/>
    </row>
    <row r="153" spans="1:36" s="658" customFormat="1" ht="21.75" customHeight="1">
      <c r="J153" s="2790"/>
    </row>
    <row r="154" spans="1:36" s="658" customFormat="1" ht="21.75" customHeight="1">
      <c r="J154" s="2790"/>
    </row>
    <row r="155" spans="1:36" s="658" customFormat="1" ht="21.75" customHeight="1">
      <c r="J155" s="2790"/>
    </row>
    <row r="156" spans="1:36" s="658" customFormat="1" ht="21.75" customHeight="1">
      <c r="J156" s="2790"/>
    </row>
    <row r="157" spans="1:36" s="658" customFormat="1" ht="21.75" customHeight="1">
      <c r="J157" s="2790"/>
    </row>
    <row r="158" spans="1:36" s="658" customFormat="1" ht="21.75" customHeight="1">
      <c r="J158" s="2790"/>
    </row>
    <row r="159" spans="1:36" s="658" customFormat="1" ht="21.75" customHeight="1">
      <c r="J159" s="2790"/>
    </row>
    <row r="160" spans="1:36"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10" s="658" customFormat="1" ht="21.75" customHeight="1">
      <c r="J369" s="2790"/>
    </row>
    <row r="370" spans="10:10" s="658" customFormat="1" ht="21.75" customHeight="1">
      <c r="J370" s="2790"/>
    </row>
    <row r="371" spans="10:10" s="658" customFormat="1" ht="21.75" customHeight="1">
      <c r="J371" s="2790"/>
    </row>
    <row r="372" spans="10:10" s="658" customFormat="1" ht="21.75" customHeight="1">
      <c r="J372" s="2790"/>
    </row>
    <row r="373" spans="10:10" s="658" customFormat="1" ht="21.75" customHeight="1">
      <c r="J373" s="2790"/>
    </row>
    <row r="374" spans="10:10" s="658" customFormat="1" ht="21.75" customHeight="1">
      <c r="J374" s="2790"/>
    </row>
    <row r="375" spans="10:10" s="658" customFormat="1" ht="21.75" customHeight="1">
      <c r="J375" s="2790"/>
    </row>
    <row r="376" spans="10:10" s="658" customFormat="1" ht="21.75" customHeight="1">
      <c r="J376" s="2790"/>
    </row>
    <row r="377" spans="10:10" s="658" customFormat="1" ht="21.75" customHeight="1">
      <c r="J377" s="2790"/>
    </row>
    <row r="378" spans="10:10" s="658" customFormat="1" ht="21.75" customHeight="1">
      <c r="J378" s="2790"/>
    </row>
    <row r="379" spans="10:10" s="658" customFormat="1" ht="21.75" customHeight="1">
      <c r="J379" s="2790"/>
    </row>
    <row r="380" spans="10:10" s="658" customFormat="1" ht="21.75" customHeight="1">
      <c r="J380" s="2790"/>
    </row>
    <row r="381" spans="10:10" s="658" customFormat="1" ht="21.75" customHeight="1">
      <c r="J381" s="2790"/>
    </row>
    <row r="382" spans="10:10" s="658" customFormat="1" ht="21.75" customHeight="1">
      <c r="J382" s="2790"/>
    </row>
    <row r="383" spans="10:10" s="658" customFormat="1" ht="21.75" customHeight="1">
      <c r="J383" s="2790"/>
    </row>
    <row r="384" spans="10:10" s="658" customFormat="1" ht="21.75" customHeight="1">
      <c r="J384" s="2790"/>
    </row>
    <row r="385" spans="10:10" s="658" customFormat="1" ht="21.75" customHeight="1">
      <c r="J385" s="2790"/>
    </row>
    <row r="386" spans="10:10" s="658" customFormat="1" ht="21.75" customHeight="1">
      <c r="J386" s="2790"/>
    </row>
    <row r="387" spans="10:10" s="658" customFormat="1" ht="21.75" customHeight="1">
      <c r="J387" s="2790"/>
    </row>
    <row r="388" spans="10:10" s="658" customFormat="1" ht="21.75" customHeight="1">
      <c r="J388" s="2790"/>
    </row>
    <row r="389" spans="10:10" s="658" customFormat="1" ht="21.75" customHeight="1">
      <c r="J389" s="2790"/>
    </row>
    <row r="390" spans="10:10" s="658" customFormat="1" ht="21.75" customHeight="1">
      <c r="J390" s="2790"/>
    </row>
    <row r="391" spans="10:10" s="658" customFormat="1" ht="21.75" customHeight="1">
      <c r="J391" s="2790"/>
    </row>
    <row r="392" spans="10:10" s="658" customFormat="1" ht="21.75" customHeight="1">
      <c r="J392" s="2790"/>
    </row>
    <row r="393" spans="10:10" s="658" customFormat="1" ht="21.75" customHeight="1">
      <c r="J393" s="2790"/>
    </row>
    <row r="394" spans="10:10" s="658" customFormat="1" ht="21.75" customHeight="1">
      <c r="J394" s="2790"/>
    </row>
    <row r="395" spans="10:10" s="658" customFormat="1" ht="21.75" customHeight="1">
      <c r="J395" s="2790"/>
    </row>
    <row r="396" spans="10:10" s="658" customFormat="1" ht="21.75" customHeight="1">
      <c r="J396" s="2790"/>
    </row>
    <row r="397" spans="10:10" s="658" customFormat="1" ht="21.75" customHeight="1">
      <c r="J397" s="2790"/>
    </row>
    <row r="398" spans="10:10" s="658" customFormat="1" ht="21.75" customHeight="1">
      <c r="J398" s="2790"/>
    </row>
    <row r="399" spans="10:10" s="658" customFormat="1" ht="21.75" customHeight="1">
      <c r="J399" s="2790"/>
    </row>
    <row r="400" spans="10:10" s="658" customFormat="1" ht="21.75" customHeight="1">
      <c r="J400" s="2790"/>
    </row>
    <row r="401" spans="10:27" s="658" customFormat="1" ht="21.75" customHeight="1">
      <c r="J401" s="2790"/>
    </row>
    <row r="402" spans="10:27" s="658" customFormat="1" ht="21.75" customHeight="1">
      <c r="J402" s="2790"/>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6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D4" sqref="D4"/>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0" t="s">
        <v>1643</v>
      </c>
      <c r="B2" s="3530"/>
      <c r="C2" s="3530"/>
      <c r="D2" s="3530"/>
      <c r="E2" s="3530"/>
      <c r="F2" s="3530"/>
      <c r="G2" s="3530"/>
      <c r="H2" s="3530"/>
      <c r="I2" s="3530"/>
      <c r="J2" s="2792"/>
    </row>
    <row r="3" spans="1:15" ht="12.75">
      <c r="A3" s="3490" t="s">
        <v>1471</v>
      </c>
      <c r="B3" s="3491"/>
      <c r="C3" s="3491"/>
      <c r="D3" s="3491"/>
      <c r="E3" s="3491"/>
      <c r="F3" s="3491"/>
      <c r="G3" s="3491"/>
      <c r="H3" s="3491"/>
      <c r="I3" s="3491"/>
      <c r="J3" s="2762"/>
    </row>
    <row r="4" spans="1:15" ht="14.25">
      <c r="A4" s="2630" t="s">
        <v>1472</v>
      </c>
      <c r="B4" s="2630" t="s">
        <v>1473</v>
      </c>
      <c r="C4" s="2631" t="s">
        <v>3032</v>
      </c>
      <c r="D4" s="2631" t="s">
        <v>3033</v>
      </c>
      <c r="E4" s="3487" t="s">
        <v>1644</v>
      </c>
      <c r="F4" s="3475"/>
      <c r="G4" s="3475"/>
      <c r="H4" s="3475"/>
      <c r="I4" s="3476"/>
      <c r="J4" s="2763"/>
      <c r="L4" s="1388" t="str">
        <f>IF(ISNUMBER(FIND("比较法",'结果表 (1修多)'!C4)),"比较法",IF(ISNUMBER(FIND("成本法",'结果表 (1修多)'!C4)),"成本法",IF(ISNUMBER(FIND("假设开发法",'结果表 (1修多)'!C4)),"假设开发法",IF(ISNUMBER(FIND("收益法",'结果表 (1修多)'!C4)),"收益法","基准地价系数修正法"))))</f>
        <v>成本法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86" t="s">
        <v>1475</v>
      </c>
      <c r="B5" s="3486">
        <v>25</v>
      </c>
      <c r="C5" s="3492"/>
      <c r="D5" s="3489"/>
      <c r="E5" s="12" t="s">
        <v>1476</v>
      </c>
      <c r="F5" s="2016"/>
      <c r="G5" s="2016"/>
      <c r="H5" s="2016"/>
      <c r="I5" s="2011"/>
      <c r="J5" s="2763"/>
    </row>
    <row r="6" spans="1:15" ht="12.75">
      <c r="A6" s="3486"/>
      <c r="B6" s="3486"/>
      <c r="C6" s="3493"/>
      <c r="D6" s="3489"/>
      <c r="E6" s="12" t="s">
        <v>1477</v>
      </c>
      <c r="F6" s="2016"/>
      <c r="G6" s="2016"/>
      <c r="H6" s="2016"/>
      <c r="I6" s="2011"/>
      <c r="J6" s="2763"/>
    </row>
    <row r="7" spans="1:15" ht="12.75">
      <c r="A7" s="3486"/>
      <c r="B7" s="3486"/>
      <c r="C7" s="3494"/>
      <c r="D7" s="3489"/>
      <c r="E7" s="12" t="s">
        <v>1478</v>
      </c>
      <c r="F7" s="2016"/>
      <c r="G7" s="2016"/>
      <c r="H7" s="2016"/>
      <c r="I7" s="2011"/>
      <c r="J7" s="2763"/>
    </row>
    <row r="8" spans="1:15" ht="12.75">
      <c r="A8" s="3486" t="s">
        <v>1479</v>
      </c>
      <c r="B8" s="3486">
        <v>15</v>
      </c>
      <c r="C8" s="3492"/>
      <c r="D8" s="3489"/>
      <c r="E8" s="12" t="s">
        <v>1480</v>
      </c>
      <c r="F8" s="2016"/>
      <c r="G8" s="2016"/>
      <c r="H8" s="2016"/>
      <c r="I8" s="2011"/>
      <c r="J8" s="2763"/>
    </row>
    <row r="9" spans="1:15" ht="12.75">
      <c r="A9" s="3486"/>
      <c r="B9" s="3486"/>
      <c r="C9" s="3494"/>
      <c r="D9" s="3489"/>
      <c r="E9" s="12" t="s">
        <v>1481</v>
      </c>
      <c r="F9" s="2016"/>
      <c r="G9" s="2016"/>
      <c r="H9" s="2016"/>
      <c r="I9" s="2011"/>
      <c r="J9" s="2763"/>
    </row>
    <row r="10" spans="1:15" ht="12.75">
      <c r="A10" s="3486" t="s">
        <v>1482</v>
      </c>
      <c r="B10" s="3486">
        <v>15</v>
      </c>
      <c r="C10" s="3492"/>
      <c r="D10" s="3489"/>
      <c r="E10" s="12" t="s">
        <v>1483</v>
      </c>
      <c r="F10" s="2016"/>
      <c r="G10" s="2016"/>
      <c r="H10" s="2016"/>
      <c r="I10" s="2011"/>
      <c r="J10" s="2763"/>
    </row>
    <row r="11" spans="1:15" ht="12.75">
      <c r="A11" s="3486"/>
      <c r="B11" s="3486"/>
      <c r="C11" s="3494"/>
      <c r="D11" s="3489"/>
      <c r="E11" s="12" t="s">
        <v>1484</v>
      </c>
      <c r="F11" s="2016"/>
      <c r="G11" s="2016"/>
      <c r="H11" s="2016"/>
      <c r="I11" s="2011"/>
      <c r="J11" s="2763"/>
    </row>
    <row r="12" spans="1:15" ht="12.75">
      <c r="A12" s="3486" t="s">
        <v>1485</v>
      </c>
      <c r="B12" s="3486">
        <v>15</v>
      </c>
      <c r="C12" s="3492"/>
      <c r="D12" s="3489"/>
      <c r="E12" s="12" t="s">
        <v>1486</v>
      </c>
      <c r="F12" s="2016"/>
      <c r="G12" s="2016"/>
      <c r="H12" s="2016"/>
      <c r="I12" s="2011"/>
      <c r="J12" s="2763"/>
    </row>
    <row r="13" spans="1:15" ht="12.75">
      <c r="A13" s="3486"/>
      <c r="B13" s="3486"/>
      <c r="C13" s="3494"/>
      <c r="D13" s="3489"/>
      <c r="E13" s="12" t="s">
        <v>1487</v>
      </c>
      <c r="F13" s="2016"/>
      <c r="G13" s="2016"/>
      <c r="H13" s="2016"/>
      <c r="I13" s="2011"/>
      <c r="J13" s="2763"/>
    </row>
    <row r="14" spans="1:15" ht="12.75">
      <c r="A14" s="3486" t="s">
        <v>1488</v>
      </c>
      <c r="B14" s="3486">
        <v>30</v>
      </c>
      <c r="C14" s="3492"/>
      <c r="D14" s="3489"/>
      <c r="E14" s="12" t="s">
        <v>1489</v>
      </c>
      <c r="F14" s="2016"/>
      <c r="G14" s="2016"/>
      <c r="H14" s="2016"/>
      <c r="I14" s="2011"/>
      <c r="J14" s="2763"/>
    </row>
    <row r="15" spans="1:15" ht="12.75">
      <c r="A15" s="3486"/>
      <c r="B15" s="3486"/>
      <c r="C15" s="3493"/>
      <c r="D15" s="3489"/>
      <c r="E15" s="12" t="s">
        <v>1490</v>
      </c>
      <c r="F15" s="2016"/>
      <c r="G15" s="2016"/>
      <c r="H15" s="2016"/>
      <c r="I15" s="2011"/>
      <c r="J15" s="2763"/>
    </row>
    <row r="16" spans="1:15" ht="12.75">
      <c r="A16" s="3486"/>
      <c r="B16" s="3486"/>
      <c r="C16" s="3494"/>
      <c r="D16" s="3489"/>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06" t="s">
        <v>2575</v>
      </c>
      <c r="F18" s="3507"/>
      <c r="G18" s="3507"/>
      <c r="H18" s="3507"/>
      <c r="I18" s="3507"/>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95" t="s">
        <v>1500</v>
      </c>
      <c r="B24" s="2638" t="s">
        <v>1495</v>
      </c>
      <c r="C24" s="2641">
        <f>D30</f>
        <v>0</v>
      </c>
      <c r="D24" s="2593"/>
      <c r="E24" s="904"/>
      <c r="F24" s="904"/>
      <c r="G24" s="904"/>
      <c r="H24" s="904"/>
      <c r="I24" s="904"/>
      <c r="J24" s="2764"/>
    </row>
    <row r="25" spans="1:36" ht="21.75" customHeight="1">
      <c r="A25" s="3496"/>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t="s">
        <v>1645</v>
      </c>
      <c r="B27" s="2656">
        <v>0</v>
      </c>
      <c r="C27" s="2656">
        <v>0</v>
      </c>
      <c r="D27" s="2657">
        <f>ROUND(C27*B27/10000,0)</f>
        <v>0</v>
      </c>
      <c r="E27" s="904"/>
      <c r="F27" s="904"/>
      <c r="G27" s="904"/>
      <c r="H27" s="904"/>
      <c r="I27" s="904"/>
      <c r="J27" s="2764"/>
    </row>
    <row r="28" spans="1:36" ht="14.25">
      <c r="A28" s="2655"/>
      <c r="B28" s="2656"/>
      <c r="C28" s="2656"/>
      <c r="D28" s="2657">
        <f>ROUND(C28*B28/10000,0)</f>
        <v>0</v>
      </c>
      <c r="E28" s="904"/>
      <c r="F28" s="904"/>
      <c r="G28" s="904"/>
      <c r="H28" s="904"/>
      <c r="I28" s="904"/>
      <c r="J28" s="2764"/>
    </row>
    <row r="29" spans="1:36" ht="14.25">
      <c r="A29" s="2655"/>
      <c r="B29" s="2656"/>
      <c r="C29" s="2656"/>
      <c r="D29" s="2657">
        <f t="shared" ref="D29" si="0">ROUND(C29*B29/10000,0)</f>
        <v>0</v>
      </c>
      <c r="E29" s="904"/>
      <c r="F29" s="904"/>
      <c r="G29" s="904"/>
      <c r="H29" s="904"/>
      <c r="I29" s="904"/>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52" t="s">
        <v>1647</v>
      </c>
      <c r="B32" s="3552"/>
      <c r="C32" s="3552"/>
      <c r="D32" s="3552"/>
      <c r="E32" s="3552"/>
      <c r="F32" s="3552"/>
      <c r="G32" s="3552"/>
      <c r="H32" s="3552"/>
      <c r="I32" s="3552"/>
      <c r="J32" s="2793"/>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3" t="s">
        <v>1648</v>
      </c>
      <c r="C33" s="2694">
        <f>典型户型修正!R27</f>
        <v>0</v>
      </c>
      <c r="D33" s="2480" t="s">
        <v>1649</v>
      </c>
      <c r="E33" s="904"/>
      <c r="F33" s="904"/>
      <c r="G33" s="904"/>
      <c r="H33" s="904"/>
      <c r="I33" s="904"/>
      <c r="J33" s="2764"/>
    </row>
    <row r="34" spans="1:16" ht="15">
      <c r="A34" s="1439" t="s">
        <v>1650</v>
      </c>
      <c r="B34" s="2695" t="s">
        <v>1651</v>
      </c>
      <c r="C34" s="2696" t="e">
        <f>典型户型修正!B2</f>
        <v>#N/A</v>
      </c>
      <c r="D34" s="2697" t="str">
        <f>IF('数据-取费表'!B3="万元","万元","元")</f>
        <v>万元</v>
      </c>
      <c r="E34" s="904"/>
      <c r="F34" s="904"/>
      <c r="G34" s="904"/>
      <c r="H34" s="904"/>
      <c r="I34" s="904"/>
      <c r="J34" s="2764"/>
    </row>
    <row r="35" spans="1:16" ht="15.75" thickBot="1">
      <c r="A35" s="1440"/>
      <c r="B35" s="2698" t="s">
        <v>1652</v>
      </c>
      <c r="C35" s="2647" t="e">
        <f>典型户型修正!B3</f>
        <v>#N/A</v>
      </c>
      <c r="D35" s="2480" t="s">
        <v>1653</v>
      </c>
      <c r="E35" s="904"/>
      <c r="F35" s="904"/>
      <c r="G35" s="904"/>
      <c r="H35" s="904"/>
      <c r="I35" s="904"/>
      <c r="J35" s="2764"/>
    </row>
    <row r="36" spans="1:16" ht="15">
      <c r="A36" s="1441"/>
      <c r="B36" s="1395" t="s">
        <v>1654</v>
      </c>
      <c r="C36" s="2699">
        <f>IF('数据-取费表'!B3="万元",典型户型修正!V25,典型户型修正!U25)</f>
        <v>0</v>
      </c>
      <c r="D36" s="2480" t="str">
        <f>D34</f>
        <v>万元</v>
      </c>
      <c r="E36" s="904"/>
      <c r="F36" s="904"/>
      <c r="G36" s="904"/>
      <c r="H36" s="904"/>
      <c r="I36" s="904"/>
      <c r="J36" s="2764"/>
    </row>
    <row r="37" spans="1:16" ht="15.75" thickBot="1">
      <c r="A37" s="1394"/>
      <c r="B37" s="1396" t="s">
        <v>1655</v>
      </c>
      <c r="C37" s="2700">
        <f>IF('数据-取费表'!B3="万元",典型户型修正!Y25,典型户型修正!X25)</f>
        <v>0</v>
      </c>
      <c r="D37" s="2480" t="str">
        <f>D34</f>
        <v>万元</v>
      </c>
      <c r="E37" s="904"/>
      <c r="F37" s="904"/>
      <c r="G37" s="904"/>
      <c r="H37" s="904"/>
      <c r="I37" s="904"/>
      <c r="J37" s="2764"/>
    </row>
    <row r="38" spans="1:16" ht="15.75" thickBot="1">
      <c r="A38" s="3495" t="s">
        <v>1656</v>
      </c>
      <c r="B38" s="1395" t="s">
        <v>1657</v>
      </c>
      <c r="C38" s="2674"/>
      <c r="D38" s="2675"/>
      <c r="E38" s="1607"/>
      <c r="F38" s="1607"/>
      <c r="G38" s="904"/>
      <c r="H38" s="904"/>
      <c r="I38" s="904"/>
      <c r="J38" s="2764"/>
    </row>
    <row r="39" spans="1:16" ht="15.75" thickBot="1">
      <c r="A39" s="3500"/>
      <c r="B39" s="2021" t="s">
        <v>1658</v>
      </c>
      <c r="C39" s="2676"/>
      <c r="D39" s="1238"/>
      <c r="E39" s="1238"/>
      <c r="F39" s="1607"/>
      <c r="G39" s="1238"/>
      <c r="H39" s="1238"/>
      <c r="I39" s="1238"/>
      <c r="J39" s="2768"/>
    </row>
    <row r="40" spans="1:16" ht="15.75" thickBot="1">
      <c r="A40" s="3501"/>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2574</v>
      </c>
      <c r="J46" s="2794"/>
      <c r="K46" s="1402" t="s">
        <v>1523</v>
      </c>
      <c r="L46" s="1403"/>
      <c r="M46" s="1403"/>
      <c r="N46" s="1403"/>
      <c r="O46" s="1403"/>
      <c r="P46" s="1403"/>
    </row>
    <row r="47" spans="1:16" ht="14.25" customHeight="1" thickBot="1">
      <c r="A47" s="3420" t="s">
        <v>1669</v>
      </c>
      <c r="B47" s="3421"/>
      <c r="C47" s="3431"/>
      <c r="D47" s="246" t="e">
        <f>ROUND(I104*F47,0)</f>
        <v>#N/A</v>
      </c>
      <c r="E47" s="1469" t="s">
        <v>1670</v>
      </c>
      <c r="F47" s="2478">
        <v>1</v>
      </c>
      <c r="G47" s="2479" t="s">
        <v>1671</v>
      </c>
      <c r="H47" s="904"/>
      <c r="I47" s="904"/>
      <c r="J47" s="2764"/>
      <c r="K47" s="3525" t="s">
        <v>1527</v>
      </c>
      <c r="L47" s="3525"/>
      <c r="M47" s="3525"/>
      <c r="N47" s="3525"/>
      <c r="O47" s="3525"/>
      <c r="P47" s="3525"/>
    </row>
    <row r="48" spans="1:16" ht="14.25" customHeight="1">
      <c r="A48" s="3497" t="s">
        <v>1528</v>
      </c>
      <c r="B48" s="3498"/>
      <c r="C48" s="3498"/>
      <c r="D48" s="3498"/>
      <c r="E48" s="3498"/>
      <c r="F48" s="3498"/>
      <c r="G48" s="3499"/>
      <c r="H48" s="2896"/>
      <c r="I48" s="904"/>
      <c r="J48" s="2764"/>
      <c r="K48" s="2430">
        <v>1</v>
      </c>
      <c r="L48" s="3526" t="s">
        <v>1529</v>
      </c>
      <c r="M48" s="3526"/>
      <c r="N48" s="3527"/>
      <c r="O48" s="3527"/>
      <c r="P48" s="3527"/>
    </row>
    <row r="49" spans="1:17" ht="12" customHeight="1">
      <c r="A49" s="38" t="s">
        <v>1530</v>
      </c>
      <c r="B49" s="39"/>
      <c r="C49" s="40"/>
      <c r="D49" s="1027" t="s">
        <v>1531</v>
      </c>
      <c r="E49" s="235" t="s">
        <v>1532</v>
      </c>
      <c r="F49" s="41" t="s">
        <v>1533</v>
      </c>
      <c r="G49" s="2481" t="s">
        <v>1534</v>
      </c>
      <c r="H49" s="2896"/>
      <c r="I49" s="904"/>
      <c r="J49" s="2764"/>
      <c r="K49" s="2430">
        <v>2</v>
      </c>
      <c r="L49" s="3526" t="s">
        <v>1535</v>
      </c>
      <c r="M49" s="3526"/>
      <c r="N49" s="3529">
        <f>'数据-取费表'!B2</f>
        <v>44783</v>
      </c>
      <c r="O49" s="3529"/>
      <c r="P49" s="3529"/>
    </row>
    <row r="50" spans="1:17" ht="25.5">
      <c r="A50" s="3502" t="s">
        <v>1536</v>
      </c>
      <c r="B50" s="3436"/>
      <c r="C50" s="3436"/>
      <c r="D50" s="12" t="e">
        <f>IF(H50="情况1",0,IF(H50="情况2",D54,IF(H50="情况3",D55,IF(H50="情况4",D56))))</f>
        <v>#N/A</v>
      </c>
      <c r="E50" s="2019" t="str">
        <f>IF(H50="情况4","(销售额-原购置价)×税（费）率","销售额×税（费）率")</f>
        <v>销售额×税（费）率</v>
      </c>
      <c r="F50" s="2482">
        <f>IF(H50="情况1","免征",'数据-取费表'!E29)</f>
        <v>5.6000000000000001E-2</v>
      </c>
      <c r="G50" s="2483" t="s">
        <v>1537</v>
      </c>
      <c r="H50" s="2484" t="s">
        <v>1538</v>
      </c>
      <c r="I50" s="2896"/>
      <c r="J50" s="2771"/>
      <c r="K50" s="2430">
        <v>3</v>
      </c>
      <c r="L50" s="3526" t="s">
        <v>1539</v>
      </c>
      <c r="M50" s="3526"/>
      <c r="N50" s="3531" t="e">
        <f>I104</f>
        <v>#N/A</v>
      </c>
      <c r="O50" s="3531"/>
      <c r="P50" s="3531"/>
    </row>
    <row r="51" spans="1:17" ht="25.5" customHeight="1">
      <c r="A51" s="2018" t="s">
        <v>1540</v>
      </c>
      <c r="B51" s="3475" t="s">
        <v>1541</v>
      </c>
      <c r="C51" s="3475"/>
      <c r="D51" s="2485">
        <v>0</v>
      </c>
      <c r="E51" s="261" t="s">
        <v>1542</v>
      </c>
      <c r="F51" s="2486" t="s">
        <v>48</v>
      </c>
      <c r="G51" s="3417"/>
      <c r="H51" s="2487" t="s">
        <v>2499</v>
      </c>
      <c r="I51" s="2488"/>
      <c r="J51" s="2772"/>
      <c r="K51" s="2430">
        <v>4</v>
      </c>
      <c r="L51" s="3526" t="str">
        <f>IF(项目基本情况!F5="房地产抵押价值","房地产抵押价值","抵押担保权已注销时的房地产抵押价值")</f>
        <v>抵押担保权已注销时的房地产抵押价值</v>
      </c>
      <c r="M51" s="3526"/>
      <c r="N51" s="3531" t="str">
        <f>IF(项目基本情况!F5="房地产抵押价值",I112,I114)</f>
        <v>——</v>
      </c>
      <c r="O51" s="3531"/>
      <c r="P51" s="3531"/>
    </row>
    <row r="52" spans="1:17" ht="25.5" customHeight="1">
      <c r="A52" s="2008"/>
      <c r="B52" s="3475" t="s">
        <v>1543</v>
      </c>
      <c r="C52" s="3475"/>
      <c r="D52" s="2489"/>
      <c r="E52" s="269"/>
      <c r="F52" s="2486"/>
      <c r="G52" s="3418"/>
      <c r="H52" s="2490" t="s">
        <v>2500</v>
      </c>
      <c r="I52" s="2488"/>
      <c r="J52" s="2772"/>
      <c r="K52" s="3526" t="s">
        <v>1544</v>
      </c>
      <c r="L52" s="3526"/>
      <c r="M52" s="3526"/>
      <c r="N52" s="3526"/>
      <c r="O52" s="3526"/>
      <c r="P52" s="3526"/>
    </row>
    <row r="53" spans="1:17" ht="20.45" customHeight="1">
      <c r="A53" s="2491"/>
      <c r="B53" s="3475" t="s">
        <v>1545</v>
      </c>
      <c r="C53" s="3475"/>
      <c r="D53" s="1027"/>
      <c r="E53" s="264"/>
      <c r="F53" s="2486"/>
      <c r="G53" s="3419"/>
      <c r="H53" s="2490" t="s">
        <v>2501</v>
      </c>
      <c r="I53" s="2488"/>
      <c r="J53" s="2772"/>
      <c r="K53" s="2431" t="s">
        <v>1546</v>
      </c>
      <c r="L53" s="3526" t="s">
        <v>1547</v>
      </c>
      <c r="M53" s="3526"/>
      <c r="N53" s="2431" t="s">
        <v>1548</v>
      </c>
      <c r="O53" s="2431" t="s">
        <v>1549</v>
      </c>
      <c r="P53" s="2431" t="s">
        <v>1550</v>
      </c>
    </row>
    <row r="54" spans="1:17" ht="24" customHeight="1">
      <c r="A54" s="2009" t="s">
        <v>1551</v>
      </c>
      <c r="B54" s="3475" t="s">
        <v>1552</v>
      </c>
      <c r="C54" s="3475"/>
      <c r="D54" s="1027" t="e">
        <f>ROUND(D47*'数据-取费表'!E29/(1+'数据-取费表'!F30),0)</f>
        <v>#N/A</v>
      </c>
      <c r="E54" s="2019" t="s">
        <v>1553</v>
      </c>
      <c r="F54" s="2492">
        <f>'数据-取费表'!E29</f>
        <v>5.6000000000000001E-2</v>
      </c>
      <c r="G54" s="2493"/>
      <c r="H54" s="904"/>
      <c r="I54" s="2897"/>
      <c r="J54" s="2772"/>
      <c r="K54" s="2430">
        <v>1</v>
      </c>
      <c r="L54" s="3528" t="s">
        <v>1554</v>
      </c>
      <c r="M54" s="3528"/>
      <c r="N54" s="2432" t="e">
        <f>D50</f>
        <v>#N/A</v>
      </c>
      <c r="O54" s="2430" t="str">
        <f>E50</f>
        <v>销售额×税（费）率</v>
      </c>
      <c r="P54" s="2433">
        <f>F50</f>
        <v>5.6000000000000001E-2</v>
      </c>
    </row>
    <row r="55" spans="1:17" ht="12" customHeight="1">
      <c r="A55" s="2009" t="s">
        <v>1555</v>
      </c>
      <c r="B55" s="3487" t="s">
        <v>2592</v>
      </c>
      <c r="C55" s="3476"/>
      <c r="D55" s="1027" t="e">
        <f>ROUND(D47*'数据-取费表'!E29/(1+'数据-取费表'!F30),0)</f>
        <v>#N/A</v>
      </c>
      <c r="E55" s="2019" t="s">
        <v>1553</v>
      </c>
      <c r="F55" s="2492">
        <f>'数据-取费表'!E29</f>
        <v>5.6000000000000001E-2</v>
      </c>
      <c r="G55" s="2493"/>
      <c r="H55" s="904"/>
      <c r="I55" s="2897"/>
      <c r="J55" s="2772"/>
      <c r="K55" s="2430">
        <v>2</v>
      </c>
      <c r="L55" s="3528" t="s">
        <v>1556</v>
      </c>
      <c r="M55" s="3528"/>
      <c r="N55" s="2432" t="e">
        <f t="shared" ref="N55:P56" si="1">D57</f>
        <v>#N/A</v>
      </c>
      <c r="O55" s="2430" t="str">
        <f t="shared" si="1"/>
        <v>销售额×税（费）率</v>
      </c>
      <c r="P55" s="2433">
        <f t="shared" si="1"/>
        <v>5.0000000000000001E-4</v>
      </c>
    </row>
    <row r="56" spans="1:17" ht="12" customHeight="1">
      <c r="A56" s="2009" t="s">
        <v>1557</v>
      </c>
      <c r="B56" s="3487" t="s">
        <v>2593</v>
      </c>
      <c r="C56" s="3476"/>
      <c r="D56" s="1027" t="e">
        <f>C70</f>
        <v>#N/A</v>
      </c>
      <c r="E56" s="264" t="s">
        <v>1558</v>
      </c>
      <c r="F56" s="2492">
        <f>'数据-取费表'!E29</f>
        <v>5.6000000000000001E-2</v>
      </c>
      <c r="G56" s="2493"/>
      <c r="H56" s="2898"/>
      <c r="I56" s="2897"/>
      <c r="J56" s="2772"/>
      <c r="K56" s="2430">
        <v>3</v>
      </c>
      <c r="L56" s="3528" t="s">
        <v>1559</v>
      </c>
      <c r="M56" s="3528"/>
      <c r="N56" s="2432" t="e">
        <f t="shared" si="1"/>
        <v>#N/A</v>
      </c>
      <c r="O56" s="2430" t="str">
        <f t="shared" si="1"/>
        <v>增值额×税（费）率</v>
      </c>
      <c r="P56" s="2434" t="str">
        <f t="shared" si="1"/>
        <v>——</v>
      </c>
    </row>
    <row r="57" spans="1:17" ht="24" customHeight="1">
      <c r="A57" s="3440" t="s">
        <v>1560</v>
      </c>
      <c r="B57" s="3436"/>
      <c r="C57" s="3436"/>
      <c r="D57" s="12" t="e">
        <f>IF(H57="个人住宅",0,ROUND(D47*I57,0))</f>
        <v>#N/A</v>
      </c>
      <c r="E57" s="2019" t="s">
        <v>1561</v>
      </c>
      <c r="F57" s="2492">
        <f>IF(H57="正常",I57,"免征")</f>
        <v>5.0000000000000001E-4</v>
      </c>
      <c r="G57" s="2493"/>
      <c r="H57" s="2484" t="s">
        <v>1562</v>
      </c>
      <c r="I57" s="74">
        <f>'数据-取费表'!E37</f>
        <v>5.0000000000000001E-4</v>
      </c>
      <c r="J57" s="2772"/>
      <c r="K57" s="2430">
        <f>IF(H61="非个人房产","",4)</f>
        <v>4</v>
      </c>
      <c r="L57" s="3528" t="str">
        <f>IF(H61="非个人房产","——","个人所得税")</f>
        <v>个人所得税</v>
      </c>
      <c r="M57" s="3528"/>
      <c r="N57" s="2435" t="e">
        <f>D61</f>
        <v>#N/A</v>
      </c>
      <c r="O57" s="2436" t="str">
        <f>E61</f>
        <v>销售额×税（费）率</v>
      </c>
      <c r="P57" s="2437">
        <f>F61</f>
        <v>0.01</v>
      </c>
    </row>
    <row r="58" spans="1:17" ht="24.75">
      <c r="A58" s="3440" t="s">
        <v>1563</v>
      </c>
      <c r="B58" s="3436"/>
      <c r="C58" s="3436"/>
      <c r="D58" s="12" t="e">
        <f>IF(H58="个人住宅",D59,D60)</f>
        <v>#N/A</v>
      </c>
      <c r="E58" s="2019" t="s">
        <v>1564</v>
      </c>
      <c r="F58" s="2492" t="str">
        <f>IF(H58="正常",F60,"免征")</f>
        <v>——</v>
      </c>
      <c r="G58" s="2494" t="s">
        <v>1565</v>
      </c>
      <c r="H58" s="2495" t="s">
        <v>1562</v>
      </c>
      <c r="I58" s="2899"/>
      <c r="J58" s="2772"/>
      <c r="K58" s="2430" t="str">
        <f>IF(项目基本情况!I6="上海银行",IF(K57="",4,K57+1),"")</f>
        <v/>
      </c>
      <c r="L58" s="3532" t="str">
        <f>IF(项目基本情况!I6="上海银行","其他处置费用","")</f>
        <v/>
      </c>
      <c r="M58" s="3537"/>
      <c r="N58" s="2432" t="str">
        <f>IF(项目基本情况!I6="上海银行",N71,"")</f>
        <v/>
      </c>
      <c r="O58" s="3532" t="str">
        <f>IF(项目基本情况!I6="上海银行","包含处置中涉及的律师、诉讼、拍卖、评估等费用","")</f>
        <v/>
      </c>
      <c r="P58" s="3533"/>
    </row>
    <row r="59" spans="1:17" ht="12.75">
      <c r="A59" s="2009" t="s">
        <v>1540</v>
      </c>
      <c r="B59" s="3487" t="s">
        <v>1566</v>
      </c>
      <c r="C59" s="3476"/>
      <c r="D59" s="2485">
        <v>0</v>
      </c>
      <c r="E59" s="261" t="s">
        <v>1542</v>
      </c>
      <c r="F59" s="235"/>
      <c r="G59" s="2493"/>
      <c r="H59" s="2899"/>
      <c r="I59" s="2899"/>
      <c r="J59" s="2772"/>
      <c r="K59" s="3528">
        <f>IF(AND(K57="",K58=""),4,IF(项目基本情况!I6="上海银行",K58+1,K57+1))</f>
        <v>5</v>
      </c>
      <c r="L59" s="3528" t="s">
        <v>1567</v>
      </c>
      <c r="M59" s="2438" t="s">
        <v>1568</v>
      </c>
      <c r="N59" s="2439"/>
      <c r="O59" s="2440">
        <f>SUMIF(N54:N58,"&lt;9e307")</f>
        <v>0</v>
      </c>
      <c r="P59" s="2441"/>
      <c r="Q59" s="1233" t="e">
        <f>O59/N51</f>
        <v>#VALUE!</v>
      </c>
    </row>
    <row r="60" spans="1:17" ht="24.75">
      <c r="A60" s="2009" t="s">
        <v>1551</v>
      </c>
      <c r="B60" s="3487" t="s">
        <v>1569</v>
      </c>
      <c r="C60" s="3475"/>
      <c r="D60" s="12" t="e">
        <f>IF(H60="转让取得",C83,C99)</f>
        <v>#N/A</v>
      </c>
      <c r="E60" s="2019" t="s">
        <v>1564</v>
      </c>
      <c r="F60" s="235" t="s">
        <v>48</v>
      </c>
      <c r="G60" s="2493"/>
      <c r="H60" s="2495" t="s">
        <v>1570</v>
      </c>
      <c r="I60" s="2899"/>
      <c r="J60" s="2772"/>
      <c r="K60" s="3528"/>
      <c r="L60" s="3528"/>
      <c r="M60" s="2438" t="s">
        <v>1571</v>
      </c>
      <c r="N60" s="2442"/>
      <c r="O60" s="2443" t="str">
        <f>IF(H19="元",NUMBERSTRING(INT(O59),2)&amp;"元整",NUMBERSTRING(INT(O59*10000),2)&amp;"元整")</f>
        <v>零元整</v>
      </c>
      <c r="P60" s="2444"/>
    </row>
    <row r="61" spans="1:17" ht="26.25" thickBot="1">
      <c r="A61" s="3503" t="s">
        <v>1572</v>
      </c>
      <c r="B61" s="3504"/>
      <c r="C61" s="3504"/>
      <c r="D61" s="69" t="e">
        <f>IF(H61="非个人房产","——",IF(H61="个人住宅（满五唯一有凭证）",0,IF(H61="个人其他（无凭证）",ROUND(D47*F61,0),ROUND(C69*F61,0))))</f>
        <v>#N/A</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3" t="s">
        <v>2498</v>
      </c>
      <c r="I61" s="2800" t="s">
        <v>2584</v>
      </c>
      <c r="J61" s="2772"/>
      <c r="K61" s="3534">
        <f>K59+1</f>
        <v>6</v>
      </c>
      <c r="L61" s="3528" t="s">
        <v>1573</v>
      </c>
      <c r="M61" s="2430" t="s">
        <v>1568</v>
      </c>
      <c r="N61" s="2445"/>
      <c r="O61" s="2446" t="e">
        <f>N51-O59</f>
        <v>#VALUE!</v>
      </c>
      <c r="P61" s="2447"/>
    </row>
    <row r="62" spans="1:17" ht="12" customHeight="1">
      <c r="A62" s="1384"/>
      <c r="B62" s="2480"/>
      <c r="C62" s="2480"/>
      <c r="D62" s="2480"/>
      <c r="E62" s="1384"/>
      <c r="F62" s="2899"/>
      <c r="G62" s="2899"/>
      <c r="H62" s="2894"/>
      <c r="I62" s="904"/>
      <c r="J62" s="2772"/>
      <c r="K62" s="3535"/>
      <c r="L62" s="3528"/>
      <c r="M62" s="2438" t="s">
        <v>1571</v>
      </c>
      <c r="N62" s="2442"/>
      <c r="O62" s="2443" t="e">
        <f>IF(H19="元",NUMBERSTRING(INT(O61),2)&amp;"元整",NUMBERSTRING(INT(O61*10000),2)&amp;"元整")</f>
        <v>#VALUE!</v>
      </c>
      <c r="P62" s="2444"/>
    </row>
    <row r="63" spans="1:17" ht="13.5" thickBot="1">
      <c r="A63" s="3536" t="s">
        <v>1574</v>
      </c>
      <c r="B63" s="3536"/>
      <c r="C63" s="3536"/>
      <c r="D63" s="3536"/>
      <c r="E63" s="3536"/>
      <c r="F63" s="2899"/>
      <c r="G63" s="2899"/>
      <c r="H63" s="2894"/>
      <c r="I63" s="904"/>
      <c r="J63" s="2764"/>
      <c r="K63" s="2430">
        <f>K61+1</f>
        <v>7</v>
      </c>
      <c r="L63" s="3528" t="s">
        <v>1575</v>
      </c>
      <c r="M63" s="3528"/>
      <c r="N63" s="2448"/>
      <c r="O63" s="2449" t="e">
        <f>IF(H19="元",ROUND(O61/项目基本情况!C12,0),ROUND(O61*10000/项目基本情况!C12,0))</f>
        <v>#VALUE!</v>
      </c>
      <c r="P63" s="2450"/>
    </row>
    <row r="64" spans="1:17" ht="12.75">
      <c r="A64" s="3454" t="s">
        <v>1576</v>
      </c>
      <c r="B64" s="3455"/>
      <c r="C64" s="1534"/>
      <c r="D64" s="1534" t="s">
        <v>1577</v>
      </c>
      <c r="E64" s="45" t="s">
        <v>1578</v>
      </c>
      <c r="F64" s="2899"/>
      <c r="G64" s="2899"/>
      <c r="H64" s="2894"/>
      <c r="I64" s="904"/>
      <c r="J64" s="2764"/>
      <c r="K64" s="1235"/>
      <c r="L64" s="1235"/>
      <c r="M64" s="1235"/>
      <c r="N64" s="1235"/>
      <c r="O64" s="1235"/>
    </row>
    <row r="65" spans="1:36" ht="12.75">
      <c r="A65" s="46">
        <v>1</v>
      </c>
      <c r="B65" s="47" t="s">
        <v>1579</v>
      </c>
      <c r="C65" s="2703" t="e">
        <f>ROUND((C66+C67)/(1+'数据-取费表'!F30),0)</f>
        <v>#N/A</v>
      </c>
      <c r="D65" s="47"/>
      <c r="E65" s="48"/>
      <c r="F65" s="2899"/>
      <c r="G65" s="2899"/>
      <c r="H65" s="2894"/>
      <c r="I65" s="904"/>
      <c r="J65" s="2764"/>
      <c r="K65" s="3524" t="s">
        <v>1580</v>
      </c>
      <c r="L65" s="1234" t="s">
        <v>1581</v>
      </c>
      <c r="M65" s="1234" t="e">
        <f>IF(N51&gt;10000,N51*0.5%,IF(AND(N51&gt;1000,N51&lt;=10000),N51*1%,IF(AND(N51&gt;100,N51&lt;=1000),N51*3%,IF(AND(N51&gt;10,N51&lt;=100),N51*5%,N51*8%))))</f>
        <v>#VALUE!</v>
      </c>
      <c r="N65" s="235" t="e">
        <f>ROUND(M65,1)</f>
        <v>#VALUE!</v>
      </c>
      <c r="O65" s="2451"/>
    </row>
    <row r="66" spans="1:36" ht="12.75">
      <c r="A66" s="49" t="s">
        <v>71</v>
      </c>
      <c r="B66" s="50" t="s">
        <v>1582</v>
      </c>
      <c r="C66" s="2704" t="e">
        <f>D47</f>
        <v>#N/A</v>
      </c>
      <c r="D66" s="50" t="s">
        <v>41</v>
      </c>
      <c r="E66" s="52"/>
      <c r="F66" s="2899"/>
      <c r="G66" s="2899"/>
      <c r="H66" s="2894"/>
      <c r="I66" s="904"/>
      <c r="J66" s="2764"/>
      <c r="K66" s="3524"/>
      <c r="L66" s="1234" t="s">
        <v>1583</v>
      </c>
      <c r="M66" s="1234"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4"/>
      <c r="J67" s="2764"/>
      <c r="K67" s="3524"/>
      <c r="L67" s="1234" t="s">
        <v>1586</v>
      </c>
      <c r="M67" s="1234"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3" t="s">
        <v>1588</v>
      </c>
      <c r="F68" s="2899"/>
      <c r="G68" s="2899"/>
      <c r="H68" s="2894"/>
      <c r="I68" s="904"/>
      <c r="J68" s="2764"/>
      <c r="K68" s="3524"/>
      <c r="L68" s="1234" t="s">
        <v>1589</v>
      </c>
      <c r="M68" s="1234" t="e">
        <f>N51*0.5%</f>
        <v>#VALUE!</v>
      </c>
      <c r="N68" s="235" t="e">
        <f>IF(M68&gt;0.5,0.5,ROUND(M68,0))</f>
        <v>#VALUE!</v>
      </c>
      <c r="O68" s="2451" t="s">
        <v>1590</v>
      </c>
    </row>
    <row r="69" spans="1:36" ht="12.75">
      <c r="A69" s="53" t="s">
        <v>42</v>
      </c>
      <c r="B69" s="54" t="s">
        <v>1591</v>
      </c>
      <c r="C69" s="2707" t="e">
        <f>C65-C68</f>
        <v>#N/A</v>
      </c>
      <c r="D69" s="50" t="s">
        <v>41</v>
      </c>
      <c r="E69" s="52"/>
      <c r="F69" s="2899"/>
      <c r="G69" s="2899"/>
      <c r="H69" s="2894"/>
      <c r="I69" s="904"/>
      <c r="J69" s="2764"/>
      <c r="K69" s="3524"/>
      <c r="L69" s="1234" t="s">
        <v>1592</v>
      </c>
      <c r="M69" s="1234"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t="e">
        <f>IF(C69&lt;=0,0,ROUND(C69*D70,0))</f>
        <v>#N/A</v>
      </c>
      <c r="D70" s="2169">
        <f>'数据-取费表'!E29</f>
        <v>5.6000000000000001E-2</v>
      </c>
      <c r="E70" s="57"/>
      <c r="F70" s="2899"/>
      <c r="G70" s="2899"/>
      <c r="H70" s="2894"/>
      <c r="I70" s="904"/>
      <c r="J70" s="2764"/>
      <c r="K70" s="3524"/>
      <c r="L70" s="1234" t="s">
        <v>1594</v>
      </c>
      <c r="M70" s="1234" t="e">
        <f>IF(N51&gt;10000,N51*0.5%,IF(AND(N51&gt;5000,N51&lt;=10000),N51*1%,IF(AND(N51&gt;1000,N51&lt;=5000),N51*2%,IF(AND(N51&gt;200,N51&lt;=1000),N51*3%,N51*5%))))</f>
        <v>#VALUE!</v>
      </c>
      <c r="N70" s="235" t="e">
        <f>ROUND(M70,1)</f>
        <v>#VALUE!</v>
      </c>
      <c r="O70" s="2451"/>
    </row>
    <row r="71" spans="1:36" s="1392" customFormat="1" ht="7.5" customHeight="1">
      <c r="A71" s="1404"/>
      <c r="B71" s="1405"/>
      <c r="C71" s="2709"/>
      <c r="D71" s="2212"/>
      <c r="E71" s="1408"/>
      <c r="F71" s="1384"/>
      <c r="G71" s="1384"/>
      <c r="H71" s="1408"/>
      <c r="I71" s="2480"/>
      <c r="J71" s="2764"/>
      <c r="K71" s="3524"/>
      <c r="L71" s="1234" t="s">
        <v>1595</v>
      </c>
      <c r="M71" s="1234"/>
      <c r="N71" s="235" t="e">
        <f>ROUND(SUM(N65:N70),0)</f>
        <v>#VALUE!</v>
      </c>
      <c r="O71" s="2452" t="e">
        <f>N71/N51</f>
        <v>#VALUE!</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41" t="s">
        <v>1596</v>
      </c>
      <c r="B72" s="3542"/>
      <c r="C72" s="3542"/>
      <c r="D72" s="3542"/>
      <c r="E72" s="3542"/>
      <c r="F72" s="3542"/>
      <c r="G72" s="3542"/>
      <c r="H72" s="3542"/>
      <c r="I72" s="1409"/>
      <c r="J72" s="2773"/>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454" t="s">
        <v>1576</v>
      </c>
      <c r="B73" s="3455"/>
      <c r="C73" s="1534"/>
      <c r="D73" s="1534" t="s">
        <v>1577</v>
      </c>
      <c r="E73" s="58" t="s">
        <v>1578</v>
      </c>
      <c r="F73" s="59"/>
      <c r="G73" s="59"/>
      <c r="H73" s="60"/>
      <c r="I73" s="2710"/>
      <c r="J73" s="2795"/>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1597</v>
      </c>
      <c r="C74" s="2707" t="e">
        <f>ROUND(D47/(1+'数据-取费表'!F30),0)</f>
        <v>#N/A</v>
      </c>
      <c r="D74" s="50" t="s">
        <v>41</v>
      </c>
      <c r="E74" s="2015"/>
      <c r="F74" s="2016"/>
      <c r="G74" s="2016"/>
      <c r="H74" s="62"/>
      <c r="I74" s="2710"/>
      <c r="J74" s="2795"/>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1599</v>
      </c>
      <c r="C75" s="2707" t="e">
        <f>C76+C80</f>
        <v>#N/A</v>
      </c>
      <c r="D75" s="50" t="s">
        <v>41</v>
      </c>
      <c r="E75" s="2015"/>
      <c r="F75" s="2016"/>
      <c r="G75" s="2016"/>
      <c r="H75" s="62"/>
      <c r="I75" s="2710"/>
      <c r="J75" s="2795"/>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7"/>
      <c r="J77" s="2796"/>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87" t="s">
        <v>1606</v>
      </c>
      <c r="F78" s="3475"/>
      <c r="G78" s="3475"/>
      <c r="H78" s="3488"/>
      <c r="I78" s="2710"/>
      <c r="J78" s="2795"/>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1610</v>
      </c>
      <c r="C80" s="2715" t="e">
        <f>ROUND(D47*D80/(1+'数据-取费表'!F30),0)</f>
        <v>#N/A</v>
      </c>
      <c r="D80" s="2716">
        <f>'数据-取费表'!E31</f>
        <v>6.000000000000001E-3</v>
      </c>
      <c r="E80" s="3423" t="s">
        <v>1611</v>
      </c>
      <c r="F80" s="3424"/>
      <c r="G80" s="3424"/>
      <c r="H80" s="3444"/>
      <c r="I80" s="608"/>
      <c r="J80" s="2797"/>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1612</v>
      </c>
      <c r="C81" s="2707" t="e">
        <f>C74-C75</f>
        <v>#N/A</v>
      </c>
      <c r="D81" s="50" t="s">
        <v>41</v>
      </c>
      <c r="E81" s="2015"/>
      <c r="F81" s="2016"/>
      <c r="G81" s="2016"/>
      <c r="H81" s="62"/>
      <c r="I81" s="2710"/>
      <c r="J81" s="2795"/>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1613</v>
      </c>
      <c r="C82" s="2717" t="e">
        <f>IF(C81&lt;=0,0,C81/C75)</f>
        <v>#N/A</v>
      </c>
      <c r="D82" s="50" t="s">
        <v>41</v>
      </c>
      <c r="E82" s="12" t="e">
        <f>IF(C82&gt;=200%,"增值额超过扣除项目金额200%",IF(C82&gt;=100%,"增值额超过扣除项目金额100%，未超过200%",IF(C82&gt;=50%,"增值额超过扣除项目金额50%，未超过100%",IF(C82&lt;50%,"增值额未超过扣除项目金额50%"))))</f>
        <v>#N/A</v>
      </c>
      <c r="F82" s="2016"/>
      <c r="G82" s="2016"/>
      <c r="H82" s="62"/>
      <c r="I82" s="2710"/>
      <c r="J82" s="2795"/>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1614</v>
      </c>
      <c r="C83" s="2718" t="e">
        <f>ROUND(IF(C81&lt;=0,0,IF(C82&gt;=200%,C81*60%-C75*35%,IF(C82&gt;=100%,C81*50%-C75*15%,IF(C82&gt;=50%,C81*40%-C75*5%,IF(C82&lt;50%,C81*30%,0))))),0)</f>
        <v>#N/A</v>
      </c>
      <c r="D83" s="2099" t="s">
        <v>41</v>
      </c>
      <c r="E83" s="69" t="e">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#N/A</v>
      </c>
      <c r="F83" s="70"/>
      <c r="G83" s="70"/>
      <c r="H83" s="71"/>
      <c r="I83" s="2710"/>
      <c r="J83" s="279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7"/>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41" t="s">
        <v>1615</v>
      </c>
      <c r="B85" s="3542"/>
      <c r="C85" s="3542"/>
      <c r="D85" s="3542"/>
      <c r="E85" s="3542"/>
      <c r="F85" s="3542"/>
      <c r="G85" s="3542"/>
      <c r="H85" s="3542"/>
      <c r="I85" s="607"/>
      <c r="J85" s="2796"/>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454" t="s">
        <v>1576</v>
      </c>
      <c r="B86" s="3455"/>
      <c r="C86" s="1534"/>
      <c r="D86" s="1534" t="s">
        <v>1577</v>
      </c>
      <c r="E86" s="58" t="s">
        <v>1578</v>
      </c>
      <c r="F86" s="59"/>
      <c r="G86" s="59"/>
      <c r="H86" s="72"/>
      <c r="I86" s="607"/>
      <c r="J86" s="2796"/>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1597</v>
      </c>
      <c r="C87" s="2707" t="e">
        <f>ROUND(D47/(1+'数据-取费表'!F30),0)</f>
        <v>#N/A</v>
      </c>
      <c r="D87" s="50" t="s">
        <v>41</v>
      </c>
      <c r="E87" s="2015"/>
      <c r="F87" s="2016"/>
      <c r="G87" s="2016"/>
      <c r="H87" s="73"/>
      <c r="I87" s="607"/>
      <c r="J87" s="2796"/>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1599</v>
      </c>
      <c r="C88" s="2707" t="e">
        <f>IF(H90="仅含出让金",C89+C92+C93+C94+C95+C96,C89+C93+C94+C95+C96)</f>
        <v>#N/A</v>
      </c>
      <c r="D88" s="2719"/>
      <c r="E88" s="2015"/>
      <c r="F88" s="2016"/>
      <c r="G88" s="2016"/>
      <c r="H88" s="73"/>
      <c r="I88" s="607"/>
      <c r="J88" s="2796"/>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7"/>
      <c r="J89" s="2796"/>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7"/>
      <c r="J90" s="2796"/>
      <c r="K90" s="2891" t="s">
        <v>2576</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7"/>
      <c r="J91" s="2796"/>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63" t="s">
        <v>2493</v>
      </c>
      <c r="H92" s="3543"/>
      <c r="I92" s="607"/>
      <c r="J92" s="2796"/>
      <c r="K92" s="2891" t="s">
        <v>2577</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23" t="s">
        <v>1623</v>
      </c>
      <c r="F93" s="3424"/>
      <c r="G93" s="3424"/>
      <c r="H93" s="1416" t="s">
        <v>1624</v>
      </c>
      <c r="I93" s="2721"/>
      <c r="J93" s="2798"/>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23" t="s">
        <v>1626</v>
      </c>
      <c r="F94" s="3424"/>
      <c r="G94" s="3424"/>
      <c r="H94" s="3444"/>
      <c r="I94" s="607"/>
      <c r="J94" s="2796"/>
      <c r="K94" s="2892" t="s">
        <v>2578</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1610</v>
      </c>
      <c r="C95" s="2715" t="e">
        <f>ROUND(D47*D95/(1+'数据-取费表'!F30),0)</f>
        <v>#N/A</v>
      </c>
      <c r="D95" s="2716">
        <f>'数据-取费表'!E31</f>
        <v>6.000000000000001E-3</v>
      </c>
      <c r="E95" s="3423" t="s">
        <v>1611</v>
      </c>
      <c r="F95" s="3424"/>
      <c r="G95" s="3424"/>
      <c r="H95" s="3444"/>
      <c r="I95" s="607"/>
      <c r="J95" s="2796"/>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23" t="s">
        <v>1628</v>
      </c>
      <c r="F96" s="3424"/>
      <c r="G96" s="3424"/>
      <c r="H96" s="3444"/>
      <c r="I96" s="607"/>
      <c r="J96" s="2796"/>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1612</v>
      </c>
      <c r="C97" s="2707" t="e">
        <f>ROUND(C87-C88,0)</f>
        <v>#N/A</v>
      </c>
      <c r="D97" s="50" t="s">
        <v>41</v>
      </c>
      <c r="E97" s="2015"/>
      <c r="F97" s="2016"/>
      <c r="G97" s="2016"/>
      <c r="H97" s="73"/>
      <c r="I97" s="607"/>
      <c r="J97" s="2796"/>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1613</v>
      </c>
      <c r="C98" s="2717" t="e">
        <f>IF(C97&lt;=0,0,C97/C88)</f>
        <v>#N/A</v>
      </c>
      <c r="D98" s="50" t="s">
        <v>41</v>
      </c>
      <c r="E98" s="12" t="e">
        <f>IF(C98&gt;=200%,"增值额超过扣除项目金额200%",IF(C98&gt;=100%,"增值额超过扣除项目金额100%，未超过200%",IF(C98&gt;=50%,"增值额超过扣除项目金额50%，未超过100%",IF(C98&lt;50%,"增值额未超过扣除项目金额50%"))))</f>
        <v>#N/A</v>
      </c>
      <c r="F98" s="2016"/>
      <c r="G98" s="2016"/>
      <c r="H98" s="73"/>
      <c r="I98" s="607"/>
      <c r="J98" s="2796"/>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1614</v>
      </c>
      <c r="C99" s="67" t="e">
        <f>ROUND(IF(C97&lt;=0,0,IF(C98&gt;=200%,C97*60%-C88*35%,IF(C98&gt;=100%,C97*50%-C88*15%,IF(C98&gt;=50%,C97*40%-C88*5%,IF(C98&lt;50%,C97*30%,0))))),0)</f>
        <v>#N/A</v>
      </c>
      <c r="D99" s="68" t="s">
        <v>41</v>
      </c>
      <c r="E99" s="69" t="e">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#N/A</v>
      </c>
      <c r="F99" s="70"/>
      <c r="G99" s="70"/>
      <c r="H99" s="76"/>
      <c r="I99" s="9"/>
      <c r="J99" s="2775"/>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1629</v>
      </c>
      <c r="B100" s="1388"/>
      <c r="C100" s="1388"/>
      <c r="D100" s="1388"/>
      <c r="E100" s="769"/>
      <c r="F100" s="769"/>
      <c r="G100" s="769"/>
      <c r="H100" s="1397"/>
      <c r="I100" s="1388"/>
    </row>
    <row r="101" spans="1:36" ht="15">
      <c r="A101" s="3441" t="s">
        <v>1630</v>
      </c>
      <c r="B101" s="3442"/>
      <c r="C101" s="3442"/>
      <c r="D101" s="3443"/>
      <c r="E101" s="1388"/>
      <c r="F101" s="3538" t="s">
        <v>2535</v>
      </c>
      <c r="G101" s="3539"/>
      <c r="H101" s="3539"/>
      <c r="I101" s="3540"/>
      <c r="J101" s="2799"/>
    </row>
    <row r="102" spans="1:36" ht="15">
      <c r="A102" s="3458" t="s">
        <v>1632</v>
      </c>
      <c r="B102" s="3459"/>
      <c r="C102" s="2722" t="str">
        <f>C4</f>
        <v>成本法 (元)</v>
      </c>
      <c r="D102" s="2723" t="str">
        <f>D4</f>
        <v>收益法 (元)</v>
      </c>
      <c r="E102" s="1388"/>
      <c r="F102" s="3460" t="s">
        <v>2536</v>
      </c>
      <c r="G102" s="3462"/>
      <c r="H102" s="3473" t="s">
        <v>2537</v>
      </c>
      <c r="I102" s="3461"/>
      <c r="J102" s="2779"/>
    </row>
    <row r="103" spans="1:36" ht="12.75">
      <c r="A103" s="3544" t="s">
        <v>2531</v>
      </c>
      <c r="B103" s="2234" t="str">
        <f>IF(H19="元","总价（元）","总价（万元）")</f>
        <v>总价（万元）</v>
      </c>
      <c r="C103" s="1234" t="e">
        <f ca="1">C19</f>
        <v>#REF!</v>
      </c>
      <c r="D103" s="2726" t="e">
        <f ca="1">D19</f>
        <v>#REF!</v>
      </c>
      <c r="E103" s="1388"/>
      <c r="F103" s="3545"/>
      <c r="G103" s="3546"/>
      <c r="H103" s="3464">
        <f>典型户型修正!B25</f>
        <v>2380.7600000000002</v>
      </c>
      <c r="I103" s="3461"/>
      <c r="J103" s="2779"/>
    </row>
    <row r="104" spans="1:36" ht="12.75">
      <c r="A104" s="3544"/>
      <c r="B104" s="2234" t="s">
        <v>2532</v>
      </c>
      <c r="C104" s="2727" t="e">
        <f ca="1">C20</f>
        <v>#REF!</v>
      </c>
      <c r="D104" s="2728" t="e">
        <f ca="1">D20</f>
        <v>#REF!</v>
      </c>
      <c r="E104" s="1388"/>
      <c r="F104" s="3447" t="s">
        <v>2538</v>
      </c>
      <c r="G104" s="3448"/>
      <c r="H104" s="2736" t="str">
        <f>C110</f>
        <v>总价（万元）</v>
      </c>
      <c r="I104" s="2737" t="e">
        <f>H125</f>
        <v>#N/A</v>
      </c>
      <c r="J104" s="2779"/>
    </row>
    <row r="105" spans="1:36" ht="12.75">
      <c r="A105" s="3544" t="s">
        <v>2533</v>
      </c>
      <c r="B105" s="2172" t="str">
        <f>B103</f>
        <v>总价（万元）</v>
      </c>
      <c r="C105" s="12" t="e">
        <f ca="1">ROUND(IF('数据-取费表'!B4="总价",G19,IF(H19="元",G20*'数据-取费表'!E5,G20*'数据-取费表'!E5/10000)),0)</f>
        <v>#REF!</v>
      </c>
      <c r="D105" s="2729"/>
      <c r="E105" s="1388"/>
      <c r="F105" s="3447"/>
      <c r="G105" s="3448"/>
      <c r="H105" s="2736" t="s">
        <v>2539</v>
      </c>
      <c r="I105" s="52" t="e">
        <f>I125</f>
        <v>#N/A</v>
      </c>
      <c r="J105" s="2763"/>
    </row>
    <row r="106" spans="1:36" ht="12.75">
      <c r="A106" s="3544"/>
      <c r="B106" s="2234" t="s">
        <v>2532</v>
      </c>
      <c r="C106" s="1408" t="e">
        <f ca="1">ROUND(IF('数据-取费表'!B4="楼面单价",G20,IF(H19="元",G19/'数据-取费表'!E5,G19*10000/'数据-取费表'!E5)),0)</f>
        <v>#REF!</v>
      </c>
      <c r="D106" s="2729"/>
      <c r="E106" s="1388"/>
      <c r="F106" s="3447"/>
      <c r="G106" s="3448"/>
      <c r="H106" s="3479"/>
      <c r="I106" s="3480"/>
      <c r="J106" s="2780"/>
    </row>
    <row r="107" spans="1:36" ht="12.75">
      <c r="A107" s="3551" t="s">
        <v>2534</v>
      </c>
      <c r="B107" s="2730" t="str">
        <f>B103</f>
        <v>总价（万元）</v>
      </c>
      <c r="C107" s="2731" t="e">
        <f>H125</f>
        <v>#N/A</v>
      </c>
      <c r="D107" s="2732"/>
      <c r="E107" s="1388"/>
      <c r="F107" s="3483" t="s">
        <v>2540</v>
      </c>
      <c r="G107" s="3484"/>
      <c r="H107" s="2738" t="str">
        <f>C112</f>
        <v>总额（万元）</v>
      </c>
      <c r="I107" s="2737">
        <f>SUMIF(I108:I110,"&lt;9E307")</f>
        <v>0</v>
      </c>
      <c r="J107" s="2779"/>
    </row>
    <row r="108" spans="1:36" ht="15" thickBot="1">
      <c r="A108" s="3478"/>
      <c r="B108" s="2733" t="s">
        <v>2532</v>
      </c>
      <c r="C108" s="2734" t="e">
        <f>I125</f>
        <v>#N/A</v>
      </c>
      <c r="D108" s="2735"/>
      <c r="E108" s="1388"/>
      <c r="F108" s="3449" t="s">
        <v>2541</v>
      </c>
      <c r="G108" s="3450"/>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本次评估不存在XX房地产。</v>
      </c>
      <c r="M108" s="1388"/>
      <c r="N108" s="1388"/>
      <c r="O108" s="1388"/>
      <c r="P108" s="1388"/>
      <c r="Q108" s="1388"/>
    </row>
    <row r="109" spans="1:36" ht="15">
      <c r="A109" s="3547" t="s">
        <v>1633</v>
      </c>
      <c r="B109" s="3548"/>
      <c r="C109" s="3548"/>
      <c r="D109" s="3549"/>
      <c r="E109" s="1388"/>
      <c r="F109" s="3449" t="s">
        <v>2542</v>
      </c>
      <c r="G109" s="3450"/>
      <c r="H109" s="2738" t="str">
        <f>C114</f>
        <v>总额（万元）</v>
      </c>
      <c r="I109" s="52">
        <f>C39</f>
        <v>0</v>
      </c>
      <c r="J109" s="2763"/>
    </row>
    <row r="110" spans="1:36" ht="12.75">
      <c r="A110" s="3447" t="s">
        <v>2545</v>
      </c>
      <c r="B110" s="3448"/>
      <c r="C110" s="2736" t="str">
        <f>B103</f>
        <v>总价（万元）</v>
      </c>
      <c r="D110" s="2737" t="e">
        <f>H125</f>
        <v>#N/A</v>
      </c>
      <c r="E110" s="1388"/>
      <c r="F110" s="3449" t="s">
        <v>2543</v>
      </c>
      <c r="G110" s="3450"/>
      <c r="H110" s="2738" t="str">
        <f>C115</f>
        <v>总额（万元）</v>
      </c>
      <c r="I110" s="52">
        <f>C40</f>
        <v>0</v>
      </c>
      <c r="J110" s="2763"/>
    </row>
    <row r="111" spans="1:36" ht="12.75">
      <c r="A111" s="3447"/>
      <c r="B111" s="3448"/>
      <c r="C111" s="2736" t="s">
        <v>2546</v>
      </c>
      <c r="D111" s="52" t="e">
        <f>I125</f>
        <v>#N/A</v>
      </c>
      <c r="E111" s="1388"/>
      <c r="F111" s="3447"/>
      <c r="G111" s="3448"/>
      <c r="H111" s="3481"/>
      <c r="I111" s="3482"/>
      <c r="J111" s="2781"/>
    </row>
    <row r="112" spans="1:36" ht="28.5" customHeight="1">
      <c r="A112" s="3518" t="s">
        <v>2540</v>
      </c>
      <c r="B112" s="3519"/>
      <c r="C112" s="2738" t="str">
        <f>IF(H19="元","总额（元）","总额（万元）")</f>
        <v>总额（万元）</v>
      </c>
      <c r="D112" s="2737">
        <f>IF(D38="正常操作",I108+I109+I110,I109+I110)</f>
        <v>0</v>
      </c>
      <c r="E112" s="1388"/>
      <c r="F112" s="3430" t="str">
        <f>IF(项目基本情况!F5="已注销","——","3.房地产抵押价值")</f>
        <v>3.房地产抵押价值</v>
      </c>
      <c r="G112" s="3431"/>
      <c r="H112" s="1408" t="str">
        <f>C116</f>
        <v>总价（万元）</v>
      </c>
      <c r="I112" s="2737" t="e">
        <f>IF(F112="——","——",I104-I107)</f>
        <v>#N/A</v>
      </c>
      <c r="J112" s="2779"/>
    </row>
    <row r="113" spans="1:27" ht="12.75">
      <c r="A113" s="3449" t="s">
        <v>2547</v>
      </c>
      <c r="B113" s="3450"/>
      <c r="C113" s="2738" t="str">
        <f>C112</f>
        <v>总额（万元）</v>
      </c>
      <c r="D113" s="52">
        <f>IF(D38="同一抵押权人同一抵押物续贷",C38&amp;"（未扣减，详见特别提示）",C38)</f>
        <v>0</v>
      </c>
      <c r="E113" s="1388"/>
      <c r="F113" s="3432"/>
      <c r="G113" s="3433"/>
      <c r="H113" s="2736" t="s">
        <v>2539</v>
      </c>
      <c r="I113" s="2740" t="e">
        <f>D117</f>
        <v>#N/A</v>
      </c>
      <c r="J113" s="2782"/>
    </row>
    <row r="114" spans="1:27" ht="12.75">
      <c r="A114" s="3449" t="s">
        <v>2548</v>
      </c>
      <c r="B114" s="3450"/>
      <c r="C114" s="2738" t="str">
        <f>C112</f>
        <v>总额（万元）</v>
      </c>
      <c r="D114" s="52">
        <f>C39</f>
        <v>0</v>
      </c>
      <c r="E114" s="1388"/>
      <c r="F114" s="3430" t="str">
        <f>IF(项目基本情况!F5="已注销及未注销","4.抵押担保权已注销时的房地产抵押价值",IF(项目基本情况!F5="已注销","3.抵押担保权已注销时的房地产抵押价值","——"))</f>
        <v>——</v>
      </c>
      <c r="G114" s="3431"/>
      <c r="H114" s="1408" t="str">
        <f>C118</f>
        <v>总价（万元）</v>
      </c>
      <c r="I114" s="2737" t="str">
        <f>IF(F114="——","——",I104-I109-I110)</f>
        <v>——</v>
      </c>
      <c r="J114" s="2779"/>
    </row>
    <row r="115" spans="1:27" ht="12.75">
      <c r="A115" s="3449" t="s">
        <v>2549</v>
      </c>
      <c r="B115" s="3450"/>
      <c r="C115" s="2738" t="str">
        <f>C112</f>
        <v>总额（万元）</v>
      </c>
      <c r="D115" s="52">
        <f>C40</f>
        <v>0</v>
      </c>
      <c r="E115" s="1388"/>
      <c r="F115" s="3432"/>
      <c r="G115" s="3433"/>
      <c r="H115" s="2736" t="s">
        <v>2539</v>
      </c>
      <c r="I115" s="52" t="str">
        <f>D119</f>
        <v>——</v>
      </c>
      <c r="J115" s="2763"/>
    </row>
    <row r="116" spans="1:27" ht="12.75">
      <c r="A116" s="3447" t="str">
        <f>IF(项目基本情况!F5="已注销","——","3.房地产抵押价值")</f>
        <v>3.房地产抵押价值</v>
      </c>
      <c r="B116" s="3448"/>
      <c r="C116" s="2736" t="str">
        <f>B103</f>
        <v>总价（万元）</v>
      </c>
      <c r="D116" s="2737" t="e">
        <f>IF(A116="——","——",D110-D112)</f>
        <v>#N/A</v>
      </c>
      <c r="E116" s="1388"/>
      <c r="F116" s="3430" t="str">
        <f>IF(项目基本情况!G5="抵押净值",IF(OR(项目基本情况!F5="已注销",项目基本情况!F5="房地产抵押价值"),"4.抵押净值","5.抵押净值"),"——")</f>
        <v>——</v>
      </c>
      <c r="G116" s="3431"/>
      <c r="H116" s="2736" t="str">
        <f>C120</f>
        <v>总价（万元）</v>
      </c>
      <c r="I116" s="2737" t="str">
        <f>IF(F116="——","——",O61)</f>
        <v>——</v>
      </c>
      <c r="J116" s="2779"/>
    </row>
    <row r="117" spans="1:27" ht="13.5" thickBot="1">
      <c r="A117" s="3447"/>
      <c r="B117" s="3448"/>
      <c r="C117" s="2736" t="s">
        <v>2546</v>
      </c>
      <c r="D117" s="52" t="e">
        <f>ROUND(IF(D116=D110,D111,IF(H19="元",D116/B125,D116*10000/B125)),0)</f>
        <v>#N/A</v>
      </c>
      <c r="E117" s="1388"/>
      <c r="F117" s="3510"/>
      <c r="G117" s="3511"/>
      <c r="H117" s="2741" t="s">
        <v>2539</v>
      </c>
      <c r="I117" s="2725" t="e">
        <f>D121</f>
        <v>#N/A</v>
      </c>
      <c r="J117" s="2763"/>
    </row>
    <row r="118" spans="1:27" ht="15.75">
      <c r="A118" s="3447" t="str">
        <f>IF(项目基本情况!F5="已注销及未注销","4.抵押担保权已注销时的房地产抵押价值",IF(项目基本情况!F5="已注销","3.抵押担保权已注销时的房地产抵押价值","——"))</f>
        <v>——</v>
      </c>
      <c r="B118" s="3448"/>
      <c r="C118" s="2736" t="str">
        <f>B103</f>
        <v>总价（万元）</v>
      </c>
      <c r="D118" s="2737" t="str">
        <f>IF(A118="——","——",D110-D114-D115)</f>
        <v>——</v>
      </c>
      <c r="E118" s="1388"/>
      <c r="F118" s="3425"/>
      <c r="G118" s="3425"/>
      <c r="H118" s="3466"/>
      <c r="I118" s="3466"/>
      <c r="J118" s="2783"/>
      <c r="O118" s="32"/>
      <c r="P118" s="32"/>
    </row>
    <row r="119" spans="1:27" s="1235" customFormat="1" ht="12.75">
      <c r="A119" s="3447"/>
      <c r="B119" s="3448"/>
      <c r="C119" s="2736" t="s">
        <v>2546</v>
      </c>
      <c r="D119" s="52" t="str">
        <f>IF(A118="——","——",IF(H19="元",ROUND(D118/B125,0),ROUND(D118*10000/B125,0)))</f>
        <v>——</v>
      </c>
      <c r="E119" s="1388"/>
      <c r="F119" s="3550" t="str">
        <f>IF(B33="总价","（以上估价结果中楼面单价为总价除以建筑面积得出）","（以上估价结果中总价为楼面单价乘以建筑面积得出）")</f>
        <v>（以上估价结果中总价为楼面单价乘以建筑面积得出）</v>
      </c>
      <c r="G119" s="3550"/>
      <c r="H119" s="3550"/>
      <c r="I119" s="3550"/>
      <c r="J119" s="2784"/>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47" t="str">
        <f>IF(项目基本情况!G5="抵押净值",IF(OR(项目基本情况!F5="已注销",项目基本情况!F5="房地产抵押价值"),"4.抵押净值","5.抵押净值"),"——")</f>
        <v>——</v>
      </c>
      <c r="B120" s="3448"/>
      <c r="C120" s="2736" t="str">
        <f>B103</f>
        <v>总价（万元）</v>
      </c>
      <c r="D120" s="2737" t="str">
        <f>IF(A120="——","——",O61)</f>
        <v>——</v>
      </c>
      <c r="E120" s="1388"/>
      <c r="F120" s="1442"/>
      <c r="G120" s="1442"/>
      <c r="H120" s="1442"/>
      <c r="I120" s="1442"/>
      <c r="J120" s="2784"/>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516"/>
      <c r="B121" s="3517"/>
      <c r="C121" s="2741" t="s">
        <v>2546</v>
      </c>
      <c r="D121" s="2725" t="e">
        <f>IF(D120=D110,D111,IF(A120="——","——",O63))</f>
        <v>#N/A</v>
      </c>
      <c r="E121" s="1388"/>
      <c r="F121" s="1442"/>
      <c r="G121" s="1442"/>
      <c r="H121" s="1442"/>
      <c r="I121" s="1442"/>
      <c r="J121" s="2784"/>
      <c r="K121" s="658"/>
      <c r="L121" s="658"/>
      <c r="M121" s="658"/>
      <c r="N121" s="658"/>
      <c r="O121" s="32"/>
      <c r="P121" s="32"/>
      <c r="Q121" s="658"/>
      <c r="R121" s="658"/>
      <c r="S121" s="658"/>
      <c r="T121" s="658"/>
      <c r="U121" s="658"/>
      <c r="V121" s="658"/>
      <c r="W121" s="658"/>
      <c r="X121" s="658"/>
      <c r="Y121" s="658"/>
      <c r="Z121" s="658"/>
      <c r="AA121" s="658"/>
    </row>
    <row r="122" spans="1:27" s="1235" customFormat="1" ht="15">
      <c r="A122" s="3467" t="s">
        <v>1672</v>
      </c>
      <c r="B122" s="3468"/>
      <c r="C122" s="3468"/>
      <c r="D122" s="3468"/>
      <c r="E122" s="3468"/>
      <c r="F122" s="3468"/>
      <c r="G122" s="3468"/>
      <c r="H122" s="3468"/>
      <c r="I122" s="3468"/>
      <c r="J122" s="2785"/>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40" t="s">
        <v>2550</v>
      </c>
      <c r="B123" s="3438" t="s">
        <v>2551</v>
      </c>
      <c r="C123" s="3438" t="s">
        <v>2557</v>
      </c>
      <c r="D123" s="3445" t="s">
        <v>2552</v>
      </c>
      <c r="E123" s="3446"/>
      <c r="F123" s="3436" t="s">
        <v>2558</v>
      </c>
      <c r="G123" s="3436"/>
      <c r="H123" s="3436" t="s">
        <v>2553</v>
      </c>
      <c r="I123" s="3437"/>
      <c r="J123" s="2763"/>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40"/>
      <c r="B124" s="3439"/>
      <c r="C124" s="3439"/>
      <c r="D124" s="2019" t="s">
        <v>2554</v>
      </c>
      <c r="E124" s="2019" t="s">
        <v>2559</v>
      </c>
      <c r="F124" s="2019" t="s">
        <v>2554</v>
      </c>
      <c r="G124" s="2019" t="s">
        <v>2555</v>
      </c>
      <c r="H124" s="2019" t="s">
        <v>2554</v>
      </c>
      <c r="I124" s="52" t="s">
        <v>2555</v>
      </c>
      <c r="J124" s="2763"/>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9" t="str">
        <f>项目基本情况!I1</f>
        <v>XX房地产</v>
      </c>
      <c r="B125" s="2019">
        <f>典型户型修正!B25</f>
        <v>2380.7600000000002</v>
      </c>
      <c r="C125" s="1383"/>
      <c r="D125" s="2019">
        <f>C36</f>
        <v>0</v>
      </c>
      <c r="E125" s="2019">
        <f>ROUND(IF(H19="元",D125/B125,D125*10000/B125),0)</f>
        <v>0</v>
      </c>
      <c r="F125" s="2019">
        <f>C37</f>
        <v>0</v>
      </c>
      <c r="G125" s="2019">
        <f>ROUND(IF(H19="元",F125/B125,F125*10000/B125),0)</f>
        <v>0</v>
      </c>
      <c r="H125" s="2019" t="e">
        <f>C34</f>
        <v>#N/A</v>
      </c>
      <c r="I125" s="52" t="e">
        <f>C35</f>
        <v>#N/A</v>
      </c>
      <c r="J125" s="2763"/>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40" t="s">
        <v>2556</v>
      </c>
      <c r="B126" s="3436"/>
      <c r="C126" s="3436"/>
      <c r="D126" s="3471" t="str">
        <f>IF(H19="元",NUMBERSTRING(INT(D125),2)&amp;"元整",NUMBERSTRING(INT(D125*10000),2)&amp;"元整")</f>
        <v>零元整</v>
      </c>
      <c r="E126" s="3472"/>
      <c r="F126" s="3471" t="str">
        <f>IF(H19="元",NUMBERSTRING(INT(F125),2)&amp;"元整",NUMBERSTRING(INT(F125*10000),2)&amp;"元整")</f>
        <v>零元整</v>
      </c>
      <c r="G126" s="3472"/>
      <c r="H126" s="3471" t="e">
        <f>IF(H19="元",NUMBERSTRING(INT(H125),2)&amp;"元整",NUMBERSTRING(INT(H125*10000),2)&amp;"元整")</f>
        <v>#N/A</v>
      </c>
      <c r="I126" s="3520"/>
      <c r="J126" s="2786"/>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60" t="str">
        <f>IF(项目基本情况!D5="房地产市场价值","——",MID(A112,3,LEN(A112)-2))</f>
        <v>估价师所知悉的法定优先受偿款</v>
      </c>
      <c r="B127" s="3473"/>
      <c r="C127" s="3462"/>
      <c r="D127" s="3464">
        <f>I107</f>
        <v>0</v>
      </c>
      <c r="E127" s="3473"/>
      <c r="F127" s="3473"/>
      <c r="G127" s="3473"/>
      <c r="H127" s="3473"/>
      <c r="I127" s="3461"/>
      <c r="J127" s="2779"/>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474" t="s">
        <v>2556</v>
      </c>
      <c r="B128" s="3475"/>
      <c r="C128" s="3476"/>
      <c r="D128" s="3512">
        <f>H111</f>
        <v>0</v>
      </c>
      <c r="E128" s="3513"/>
      <c r="F128" s="3513"/>
      <c r="G128" s="3513"/>
      <c r="H128" s="3513"/>
      <c r="I128" s="3514"/>
      <c r="J128" s="2787"/>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47" t="str">
        <f>IF(项目基本情况!D5="房地产市场价值","——",MID(A116,3,LEN(A116)-2))</f>
        <v>房地产抵押价值</v>
      </c>
      <c r="B129" s="3448"/>
      <c r="C129" s="3448"/>
      <c r="D129" s="3464" t="e">
        <f>I112</f>
        <v>#N/A</v>
      </c>
      <c r="E129" s="3473"/>
      <c r="F129" s="3473"/>
      <c r="G129" s="3473"/>
      <c r="H129" s="3473"/>
      <c r="I129" s="3461"/>
      <c r="J129" s="2779"/>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40" t="s">
        <v>2556</v>
      </c>
      <c r="B130" s="3436"/>
      <c r="C130" s="3436"/>
      <c r="D130" s="3512" t="e">
        <f>I113</f>
        <v>#N/A</v>
      </c>
      <c r="E130" s="3513"/>
      <c r="F130" s="3513"/>
      <c r="G130" s="3513"/>
      <c r="H130" s="3513"/>
      <c r="I130" s="3514"/>
      <c r="J130" s="2787"/>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47" t="str">
        <f>IF(项目基本情况!D5="房地产市场价值","——",MID(A118,3,LEN(A118)-2))</f>
        <v/>
      </c>
      <c r="B131" s="3448"/>
      <c r="C131" s="3448"/>
      <c r="D131" s="3420" t="str">
        <f>I114</f>
        <v>——</v>
      </c>
      <c r="E131" s="3421"/>
      <c r="F131" s="3421"/>
      <c r="G131" s="3421"/>
      <c r="H131" s="3421"/>
      <c r="I131" s="3422"/>
      <c r="J131" s="2779"/>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40" t="s">
        <v>2556</v>
      </c>
      <c r="B132" s="3436"/>
      <c r="C132" s="3487"/>
      <c r="D132" s="3465" t="str">
        <f>I115</f>
        <v>——</v>
      </c>
      <c r="E132" s="3465"/>
      <c r="F132" s="3465"/>
      <c r="G132" s="3465"/>
      <c r="H132" s="3465"/>
      <c r="I132" s="3465"/>
      <c r="J132" s="2787"/>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47" t="str">
        <f>IF(项目基本情况!D5="房地产市场价值","——",MID(F116,3,LEN(F116)-2))</f>
        <v/>
      </c>
      <c r="B133" s="3448"/>
      <c r="C133" s="3464"/>
      <c r="D133" s="3515" t="str">
        <f>I116</f>
        <v>——</v>
      </c>
      <c r="E133" s="3515"/>
      <c r="F133" s="3515"/>
      <c r="G133" s="3515"/>
      <c r="H133" s="3515"/>
      <c r="I133" s="3515"/>
      <c r="J133" s="2779"/>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503" t="s">
        <v>2556</v>
      </c>
      <c r="B134" s="3504"/>
      <c r="C134" s="3504"/>
      <c r="D134" s="3521">
        <f>H118</f>
        <v>0</v>
      </c>
      <c r="E134" s="3522"/>
      <c r="F134" s="3522"/>
      <c r="G134" s="3522"/>
      <c r="H134" s="3522"/>
      <c r="I134" s="3523"/>
      <c r="J134" s="2787"/>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508" t="str">
        <f>IF(B33="总价","（以上估价结果中楼面单价为总价除以建筑面积得出）","（以上估价结果中总价为楼面单价乘以建筑面积得出）")</f>
        <v>（以上估价结果中总价为楼面单价乘以建筑面积得出）</v>
      </c>
      <c r="B136" s="3508"/>
      <c r="C136" s="3508"/>
      <c r="D136" s="3508"/>
      <c r="E136" s="3508"/>
      <c r="F136" s="3508"/>
      <c r="G136" s="3508"/>
      <c r="H136" s="3508"/>
      <c r="I136" s="3508"/>
      <c r="J136" s="2781"/>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1635</v>
      </c>
      <c r="B137" s="1419"/>
      <c r="C137" s="1420" t="s">
        <v>1636</v>
      </c>
      <c r="D137" s="1421"/>
      <c r="E137" s="1421"/>
      <c r="F137" s="1421"/>
      <c r="G137" s="1421"/>
      <c r="H137" s="1422"/>
      <c r="I137" s="1423"/>
      <c r="J137" s="2789"/>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9"/>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9"/>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90"/>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9"/>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90"/>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1637</v>
      </c>
      <c r="G143" s="1432"/>
      <c r="H143" s="1432"/>
      <c r="I143" s="1433" t="s">
        <v>1638</v>
      </c>
      <c r="J143" s="2791"/>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1639</v>
      </c>
      <c r="C144" s="658"/>
      <c r="D144" s="658"/>
      <c r="E144" s="658"/>
      <c r="F144" s="658"/>
      <c r="G144" s="658"/>
      <c r="H144" s="658"/>
      <c r="I144" s="658"/>
      <c r="J144" s="2790"/>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90"/>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1640</v>
      </c>
      <c r="J146" s="2791"/>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1641</v>
      </c>
      <c r="C147" s="658"/>
      <c r="D147" s="658"/>
      <c r="E147" s="658"/>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1640</v>
      </c>
      <c r="J149" s="2791"/>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9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90"/>
    </row>
    <row r="152" spans="1:27" s="658" customFormat="1" ht="21.75" customHeight="1">
      <c r="J152" s="2790"/>
    </row>
    <row r="153" spans="1:27" s="658" customFormat="1" ht="21.75" customHeight="1">
      <c r="J153" s="2790"/>
    </row>
    <row r="154" spans="1:27" s="658" customFormat="1" ht="21.75" customHeight="1">
      <c r="J154" s="2790"/>
    </row>
    <row r="155" spans="1:27" s="658" customFormat="1" ht="21.75" customHeight="1">
      <c r="J155" s="2790"/>
    </row>
    <row r="156" spans="1:27" s="658" customFormat="1" ht="21.75" customHeight="1">
      <c r="J156" s="2790"/>
    </row>
    <row r="157" spans="1:27" s="658" customFormat="1" ht="21.75" customHeight="1">
      <c r="J157" s="2790"/>
    </row>
    <row r="158" spans="1:27" s="658" customFormat="1" ht="21.75" customHeight="1">
      <c r="J158" s="2790"/>
    </row>
    <row r="159" spans="1:27" s="658" customFormat="1" ht="21.75" customHeight="1">
      <c r="J159" s="2790"/>
    </row>
    <row r="160" spans="1:27"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27" s="658" customFormat="1" ht="21.75" customHeight="1">
      <c r="J369" s="2790"/>
    </row>
    <row r="370" spans="10:27" s="658" customFormat="1" ht="21.75" customHeight="1">
      <c r="J370" s="2790"/>
    </row>
    <row r="371" spans="10:27" s="658" customFormat="1" ht="21.75" customHeight="1">
      <c r="J371" s="2790"/>
    </row>
    <row r="372" spans="10:27" s="658" customFormat="1" ht="21.75" customHeight="1">
      <c r="J372" s="2790"/>
    </row>
    <row r="373" spans="10:27" s="658" customFormat="1" ht="21.75" customHeight="1">
      <c r="J373" s="2790"/>
    </row>
    <row r="374" spans="10:27" s="658" customFormat="1" ht="21.75" customHeight="1">
      <c r="J374" s="2790"/>
    </row>
    <row r="375" spans="10:27" s="658" customFormat="1" ht="21.75" customHeight="1">
      <c r="J375" s="2790"/>
    </row>
    <row r="376" spans="10:27" s="658" customFormat="1" ht="21.75" customHeight="1">
      <c r="J376" s="2790"/>
    </row>
    <row r="377" spans="10:27" s="658" customFormat="1" ht="21.75" customHeight="1">
      <c r="J377" s="2790"/>
    </row>
    <row r="378" spans="10:27" s="658" customFormat="1" ht="21.75" customHeight="1">
      <c r="J378" s="2790"/>
    </row>
    <row r="379" spans="10:27" s="658" customFormat="1" ht="21.75" customHeight="1">
      <c r="J379" s="2790"/>
    </row>
    <row r="380" spans="10:27" s="658" customFormat="1" ht="21.75" customHeight="1">
      <c r="J380" s="2790"/>
    </row>
    <row r="381" spans="10:27" s="658" customFormat="1" ht="21.75" customHeight="1">
      <c r="J381" s="2790"/>
    </row>
    <row r="382" spans="10:27" s="658" customFormat="1" ht="21.75" customHeight="1">
      <c r="J382" s="2790"/>
    </row>
    <row r="383" spans="10:27" s="1235" customFormat="1" ht="21.75" customHeight="1">
      <c r="J383" s="2760"/>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60"/>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60"/>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60"/>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60"/>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60"/>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60"/>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60"/>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60"/>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60"/>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60"/>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60"/>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60"/>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60"/>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60"/>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60"/>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60"/>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60"/>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60"/>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60"/>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60"/>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60"/>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60"/>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60"/>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6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E27" sqref="E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7207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30274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41425404.160000004</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[2]基准地价修正!$T$4*[2]基准地价修正!$U$4</f>
        <v>39737265.160000004</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1211987</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476152</v>
      </c>
      <c r="D8" s="1098"/>
      <c r="E8" s="115"/>
      <c r="F8" s="1097"/>
      <c r="G8" s="1445" t="s">
        <v>3040</v>
      </c>
    </row>
    <row r="9" spans="1:123" s="91" customFormat="1" ht="13.5" customHeight="1">
      <c r="A9" s="950"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1690</v>
      </c>
      <c r="C10" s="1099">
        <f>ROUND(D10*E10,0)</f>
        <v>476152</v>
      </c>
      <c r="D10" s="1100">
        <f>IF('数据-取费表'!B10&lt;&gt;"住宅",IF(B1="仅计算典型户型",'数据-取费表'!E5,'数据-取费表'!B5),0)</f>
        <v>2380.7600000000002</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2380.7600000000002</v>
      </c>
      <c r="E19" s="111">
        <f>'数据-取费表'!E15</f>
        <v>200</v>
      </c>
      <c r="F19" s="112"/>
      <c r="G19" s="1445" t="s">
        <v>3041</v>
      </c>
    </row>
    <row r="20" spans="1:123" s="91" customFormat="1" ht="13.5" customHeight="1">
      <c r="A20" s="120" t="s">
        <v>1702</v>
      </c>
      <c r="B20" s="89" t="s">
        <v>1703</v>
      </c>
      <c r="C20" s="99">
        <f>ROUND((C5+C19)*F20,0)</f>
        <v>828508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3587605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3552808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34797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1720</v>
      </c>
      <c r="B27" s="110" t="s">
        <v>1721</v>
      </c>
      <c r="C27" s="111">
        <f>C28</f>
        <v>8450782</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8450782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58891744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10427729</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9523040</v>
      </c>
      <c r="D34" s="1095"/>
      <c r="E34" s="115"/>
      <c r="F34" s="1106" t="str">
        <f>IF('数据-取费表'!B26=0,"",'数据-取费表'!E20)</f>
        <v/>
      </c>
      <c r="G34" s="95"/>
    </row>
    <row r="35" spans="1:123" ht="13.5" customHeight="1">
      <c r="A35" s="92" t="s">
        <v>1685</v>
      </c>
      <c r="B35" s="93" t="s">
        <v>1734</v>
      </c>
      <c r="C35" s="115">
        <f>ROUND(C34*F35,0)</f>
        <v>285691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476152</v>
      </c>
      <c r="D37" s="1095">
        <f>IF(B1="仅计算典型户型",'数据-取费表'!E5,'数据-取费表'!B5)</f>
        <v>2380.7600000000002</v>
      </c>
      <c r="E37" s="115">
        <f>'数据-取费表'!E23</f>
        <v>200</v>
      </c>
      <c r="F37" s="1107"/>
      <c r="G37" s="124" t="s">
        <v>1739</v>
      </c>
    </row>
    <row r="38" spans="1:123" ht="13.5" customHeight="1">
      <c r="A38" s="92" t="s">
        <v>1740</v>
      </c>
      <c r="B38" s="93" t="s">
        <v>1741</v>
      </c>
      <c r="C38" s="115">
        <f>ROUND(C34*F38,0)</f>
        <v>142846</v>
      </c>
      <c r="D38" s="115"/>
      <c r="E38" s="115"/>
      <c r="F38" s="1107">
        <f>'数据-取费表'!E24</f>
        <v>1.4999999999999999E-2</v>
      </c>
      <c r="G38" s="95" t="s">
        <v>1735</v>
      </c>
    </row>
    <row r="39" spans="1:123" s="91" customFormat="1" ht="13.5" customHeight="1">
      <c r="A39" s="120" t="s">
        <v>1700</v>
      </c>
      <c r="B39" s="89" t="s">
        <v>1703</v>
      </c>
      <c r="C39" s="99">
        <f>ROUND(C33*F20,0)</f>
        <v>208555</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446724</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437965</v>
      </c>
      <c r="D42" s="104"/>
      <c r="E42" s="104"/>
      <c r="F42" s="105"/>
      <c r="G42" s="3553" t="s">
        <v>1745</v>
      </c>
    </row>
    <row r="43" spans="1:123" ht="13.5" customHeight="1">
      <c r="A43" s="92" t="s">
        <v>1685</v>
      </c>
      <c r="B43" s="93" t="s">
        <v>1714</v>
      </c>
      <c r="C43" s="104">
        <f ca="1">ROUND(IF('数据-取费表'!B24&lt;=1,C39*F22*'数据-取费表'!B23/2,C39*(POWER((1+F22),'数据-取费表'!B23/2)-1)),0)</f>
        <v>8759</v>
      </c>
      <c r="D43" s="104"/>
      <c r="E43" s="104"/>
      <c r="F43" s="105"/>
      <c r="G43" s="3554"/>
    </row>
    <row r="44" spans="1:123" ht="13.5" customHeight="1">
      <c r="A44" s="92" t="s">
        <v>1687</v>
      </c>
      <c r="B44" s="93" t="s">
        <v>1716</v>
      </c>
      <c r="C44" s="104">
        <f ca="1">ROUND(IF('数据-取费表'!B24&lt;=1,C40*F22*'数据-取费表'!B23/2,C40*(POWER((1+F22),'数据-取费表'!B23/2)-1)),4)</f>
        <v>8.0000000000000004E-4</v>
      </c>
      <c r="D44" s="104"/>
      <c r="E44" s="104"/>
      <c r="F44" s="105"/>
      <c r="G44" s="3555"/>
    </row>
    <row r="45" spans="1:123" s="91" customFormat="1" ht="13.5" customHeight="1">
      <c r="A45" s="120" t="s">
        <v>1709</v>
      </c>
      <c r="B45" s="110" t="s">
        <v>1721</v>
      </c>
      <c r="C45" s="111">
        <f>C46</f>
        <v>2127257</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2127257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1720</v>
      </c>
      <c r="B48" s="89" t="s">
        <v>1749</v>
      </c>
      <c r="C48" s="1230">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1751</v>
      </c>
      <c r="B49" s="89" t="s">
        <v>1752</v>
      </c>
      <c r="C49" s="99">
        <f ca="1">ROUND((C33+C39+C41+C45)/(1-C40-D41-D45-C48),0)</f>
        <v>14329390</v>
      </c>
      <c r="D49" s="99"/>
      <c r="E49" s="99"/>
      <c r="F49" s="126"/>
      <c r="G49" s="100" t="s">
        <v>1753</v>
      </c>
    </row>
    <row r="50" spans="1:123" s="122" customFormat="1" ht="24">
      <c r="A50" s="951" t="s">
        <v>1754</v>
      </c>
      <c r="B50" s="89" t="s">
        <v>1755</v>
      </c>
      <c r="C50" s="99"/>
      <c r="D50" s="99"/>
      <c r="E50" s="99"/>
      <c r="F50" s="126">
        <f>IF('数据-取费表'!B26=0,'数据-取费表'!E20,1)</f>
        <v>0.92</v>
      </c>
      <c r="G50" s="113" t="s">
        <v>1756</v>
      </c>
    </row>
    <row r="51" spans="1:123" ht="16.5" customHeight="1">
      <c r="A51" s="951" t="s">
        <v>1757</v>
      </c>
      <c r="B51" s="89" t="s">
        <v>1758</v>
      </c>
      <c r="C51" s="99">
        <f ca="1">ROUND(C49*F50,0)</f>
        <v>13183039</v>
      </c>
      <c r="D51" s="99"/>
      <c r="E51" s="99"/>
      <c r="F51" s="126"/>
      <c r="G51" s="100" t="s">
        <v>1759</v>
      </c>
    </row>
    <row r="52" spans="1:123" s="88" customFormat="1" ht="16.5" thickBot="1">
      <c r="A52" s="127" t="s">
        <v>1760</v>
      </c>
      <c r="B52" s="128"/>
      <c r="C52" s="129">
        <f ca="1">C31+C51</f>
        <v>72074783</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0.183</v>
      </c>
    </row>
    <row r="57" spans="1:123">
      <c r="B57" s="135" t="s">
        <v>1763</v>
      </c>
      <c r="C57" s="137">
        <f ca="1">1-C56</f>
        <v>0.81699999999999995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859</v>
      </c>
      <c r="C2" s="1328" t="str">
        <f>'数据-取费表'!B3</f>
        <v>万元</v>
      </c>
      <c r="D2" s="881"/>
      <c r="E2" s="881"/>
      <c r="F2" s="881"/>
      <c r="G2" s="881"/>
      <c r="H2" s="881"/>
      <c r="I2" s="881"/>
      <c r="J2" s="881"/>
      <c r="K2" s="881"/>
    </row>
    <row r="3" spans="1:33" s="139" customFormat="1" ht="18" customHeight="1" thickBot="1">
      <c r="A3" s="83" t="s">
        <v>1049</v>
      </c>
      <c r="B3" s="84">
        <f ca="1">ROUND(C32/IF(C1="仅计算典型户型",'数据-取费表'!E5,'数据-取费表'!B5),0)</f>
        <v>23724</v>
      </c>
      <c r="C3" s="1328" t="s">
        <v>1050</v>
      </c>
      <c r="D3" s="881"/>
      <c r="E3" s="881"/>
      <c r="F3" s="881"/>
      <c r="G3" s="881"/>
      <c r="H3" s="881"/>
      <c r="I3" s="881"/>
      <c r="J3" s="881"/>
      <c r="K3" s="881"/>
    </row>
    <row r="4" spans="1:33" s="143" customFormat="1" ht="16.5" customHeight="1">
      <c r="A4" s="140" t="s">
        <v>1051</v>
      </c>
      <c r="B4" s="141"/>
      <c r="C4" s="1051">
        <f>SUM(C8:K8)</f>
        <v>12675250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362.15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12675250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1448600</v>
      </c>
      <c r="D11" s="164"/>
      <c r="E11" s="34"/>
      <c r="F11" s="165">
        <f>1-'数据-取费表'!E20</f>
        <v>7.999999999999996E-2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43458</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5794</v>
      </c>
      <c r="D14" s="164">
        <f>IF(C1="仅计算典型户型",'数据-取费表'!E5,'数据-取费表'!B5)</f>
        <v>362.15</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21729</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1519581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362.15</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-403722</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72430</v>
      </c>
      <c r="D20" s="164">
        <f>IF('数据-取费表'!B10&lt;&gt;"住宅",IF(C1="仅计算典型户型",'数据-取费表'!E5,'数据-取费表'!B5),0)</f>
        <v>362.15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1115859</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22317</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20280</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231691</v>
      </c>
      <c r="D28" s="183">
        <f>C29</f>
        <v>0.20580000000000001</v>
      </c>
      <c r="E28" s="189" t="s">
        <v>12</v>
      </c>
      <c r="F28" s="200">
        <f>'数据-取费表'!E28</f>
        <v>0.2</v>
      </c>
      <c r="G28" s="185"/>
      <c r="H28" s="186"/>
      <c r="I28" s="186"/>
      <c r="J28" s="186"/>
      <c r="K28" s="187"/>
    </row>
    <row r="29" spans="1:33" s="204" customFormat="1" ht="13.5" customHeight="1">
      <c r="A29" s="953" t="s">
        <v>1102</v>
      </c>
      <c r="B29" s="202" t="s">
        <v>1103</v>
      </c>
      <c r="C29" s="193">
        <f>ROUND((1+C24)*F28,4)</f>
        <v>0.20580000000000001</v>
      </c>
      <c r="D29" s="193"/>
      <c r="E29" s="194"/>
      <c r="F29" s="203"/>
      <c r="G29" s="147" t="s">
        <v>1104</v>
      </c>
      <c r="H29" s="170"/>
      <c r="I29" s="170"/>
      <c r="J29" s="170"/>
      <c r="K29" s="171"/>
    </row>
    <row r="30" spans="1:33" s="204" customFormat="1" ht="13.5" customHeight="1">
      <c r="A30" s="953" t="s">
        <v>1105</v>
      </c>
      <c r="B30" s="202" t="s">
        <v>1106</v>
      </c>
      <c r="C30" s="205">
        <f>ROUND((C21+C22+C23)*F28,0)</f>
        <v>231691</v>
      </c>
      <c r="D30" s="193"/>
      <c r="E30" s="206"/>
      <c r="F30" s="203"/>
      <c r="G30" s="147"/>
      <c r="H30" s="170"/>
      <c r="I30" s="170"/>
      <c r="J30" s="170"/>
      <c r="K30" s="171"/>
    </row>
    <row r="31" spans="1:33" s="182" customFormat="1" ht="13.5" customHeight="1" thickBot="1">
      <c r="A31" s="1330" t="s">
        <v>1107</v>
      </c>
      <c r="B31" s="177" t="s">
        <v>1108</v>
      </c>
      <c r="C31" s="207">
        <f>ROUND(C4*F31/(1+'数据-取费表'!F30),0)</f>
        <v>676013</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8591748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52" t="s">
        <v>2505</v>
      </c>
      <c r="E1" s="1553" t="s">
        <v>1001</v>
      </c>
      <c r="F1" s="1554"/>
      <c r="G1" s="1555" t="e">
        <f>MATCH(C1,'数据-取费表'!A19:A19,0)+5</f>
        <v>#N/A</v>
      </c>
      <c r="H1" s="2904"/>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8883</v>
      </c>
      <c r="C2" s="1446" t="str">
        <f>'数据-取费表'!B3</f>
        <v>万元</v>
      </c>
      <c r="D2" s="884"/>
      <c r="E2" s="885"/>
      <c r="F2" s="885"/>
      <c r="G2" s="910"/>
      <c r="H2" s="886"/>
      <c r="I2" s="886"/>
      <c r="J2" s="886"/>
      <c r="K2" s="887"/>
      <c r="L2" s="886"/>
      <c r="M2" s="886"/>
    </row>
    <row r="3" spans="1:37" ht="18" customHeight="1" thickBot="1">
      <c r="A3" s="226" t="s">
        <v>1675</v>
      </c>
      <c r="B3" s="642">
        <f ca="1">ROUND(IF('数据-取费表'!B29="租赁期内按合同租金",(C40+L47+J29)/F43,(C40+L47)/F43),0)</f>
        <v>37311</v>
      </c>
      <c r="C3" s="1446" t="s">
        <v>1765</v>
      </c>
      <c r="D3" s="884"/>
      <c r="E3" s="885"/>
      <c r="F3" s="885"/>
      <c r="G3" s="910"/>
      <c r="H3" s="227" t="s">
        <v>1766</v>
      </c>
      <c r="I3" s="886"/>
      <c r="J3" s="886"/>
      <c r="K3" s="887"/>
      <c r="L3" s="886"/>
      <c r="M3" s="886"/>
    </row>
    <row r="4" spans="1:37" ht="18" customHeight="1">
      <c r="A4" s="228" t="s">
        <v>1767</v>
      </c>
      <c r="B4" s="229" t="s">
        <v>1768</v>
      </c>
      <c r="C4" s="229" t="s">
        <v>1769</v>
      </c>
      <c r="D4" s="229" t="s">
        <v>1770</v>
      </c>
      <c r="E4" s="230" t="s">
        <v>1771</v>
      </c>
      <c r="F4" s="231"/>
      <c r="G4" s="908"/>
      <c r="H4" s="228" t="s">
        <v>1767</v>
      </c>
      <c r="I4" s="229" t="s">
        <v>1768</v>
      </c>
      <c r="J4" s="229" t="s">
        <v>1769</v>
      </c>
      <c r="K4" s="229" t="s">
        <v>1770</v>
      </c>
      <c r="L4" s="230" t="s">
        <v>1771</v>
      </c>
      <c r="M4" s="231"/>
    </row>
    <row r="5" spans="1:37" ht="18" customHeight="1">
      <c r="A5" s="232">
        <v>1</v>
      </c>
      <c r="B5" s="233" t="s">
        <v>1772</v>
      </c>
      <c r="C5" s="234">
        <f ca="1">C6+C10+C12</f>
        <v>5481401</v>
      </c>
      <c r="D5" s="1560" t="s">
        <v>2484</v>
      </c>
      <c r="E5" s="884"/>
      <c r="F5" s="1013"/>
      <c r="G5" s="908"/>
      <c r="H5" s="232">
        <v>1</v>
      </c>
      <c r="I5" s="233" t="s">
        <v>1772</v>
      </c>
      <c r="J5" s="234">
        <f ca="1">J6+J10+J12</f>
        <v>0</v>
      </c>
      <c r="K5" s="1447" t="s">
        <v>1773</v>
      </c>
      <c r="L5" s="884"/>
      <c r="M5" s="1013"/>
    </row>
    <row r="6" spans="1:37" ht="18" customHeight="1">
      <c r="A6" s="1014" t="s">
        <v>1774</v>
      </c>
      <c r="B6" s="1369" t="s">
        <v>1775</v>
      </c>
      <c r="C6" s="234">
        <f>ROUND(F6*F8*F7*(1-F9),0)</f>
        <v>5474558</v>
      </c>
      <c r="D6" s="36" t="s">
        <v>2460</v>
      </c>
      <c r="E6" s="235" t="s">
        <v>1776</v>
      </c>
      <c r="F6" s="236">
        <f>'数据-取费表'!B30</f>
        <v>7</v>
      </c>
      <c r="G6" s="908"/>
      <c r="H6" s="1014" t="s">
        <v>1774</v>
      </c>
      <c r="I6" s="1369" t="s">
        <v>1775</v>
      </c>
      <c r="J6" s="234">
        <f>ROUND(M6*M8*M7*(1-M9),0)</f>
        <v>0</v>
      </c>
      <c r="K6" s="36" t="s">
        <v>2460</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2380.7600000000002</v>
      </c>
      <c r="G7" s="908"/>
      <c r="H7" s="237"/>
      <c r="I7" s="238"/>
      <c r="J7" s="239"/>
      <c r="K7" s="240"/>
      <c r="L7" s="235" t="s">
        <v>1777</v>
      </c>
      <c r="M7" s="236">
        <f>IF('数据-取费表'!B42="",IF(D1="仅计算典型户型",'数据-取费表'!E5,'数据-取费表'!B5),'数据-取费表'!B42)</f>
        <v>2380.7600000000002</v>
      </c>
    </row>
    <row r="8" spans="1:37" ht="18" customHeight="1">
      <c r="A8" s="1047"/>
      <c r="B8" s="238"/>
      <c r="C8" s="239"/>
      <c r="D8" s="240"/>
      <c r="E8" s="235" t="s">
        <v>1778</v>
      </c>
      <c r="F8" s="236">
        <f>'数据-取费表'!B43</f>
        <v>365</v>
      </c>
      <c r="G8" s="908"/>
      <c r="H8" s="237"/>
      <c r="I8" s="238"/>
      <c r="J8" s="239"/>
      <c r="K8" s="240"/>
      <c r="L8" s="235" t="s">
        <v>1779</v>
      </c>
      <c r="M8" s="236">
        <f>'数据-取费表'!B43</f>
        <v>365</v>
      </c>
    </row>
    <row r="9" spans="1:37" ht="18" customHeight="1">
      <c r="A9" s="1047"/>
      <c r="B9" s="238"/>
      <c r="C9" s="239"/>
      <c r="D9" s="244"/>
      <c r="E9" s="235" t="s">
        <v>1780</v>
      </c>
      <c r="F9" s="245">
        <f>'数据-取费表'!B33</f>
        <v>0.1</v>
      </c>
      <c r="G9" s="908"/>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6843</v>
      </c>
      <c r="D10" s="1449" t="s">
        <v>2465</v>
      </c>
      <c r="E10" s="246" t="s">
        <v>1783</v>
      </c>
      <c r="F10" s="1450" t="s">
        <v>1784</v>
      </c>
      <c r="G10" s="908"/>
      <c r="H10" s="1014" t="s">
        <v>1781</v>
      </c>
      <c r="I10" s="1448" t="s">
        <v>1782</v>
      </c>
      <c r="J10" s="1015">
        <f ca="1">ROUND(IF(M10="押一",J6/12*M11,IF(M10="押二",J6/12*2*M11,IF(M10="押三",J6/12*3*M11,J11*M11))),0)</f>
        <v>0</v>
      </c>
      <c r="K10" s="36" t="s">
        <v>2465</v>
      </c>
      <c r="L10" s="246" t="s">
        <v>1783</v>
      </c>
      <c r="M10" s="1450"/>
    </row>
    <row r="11" spans="1:37" s="257" customFormat="1" ht="18" customHeight="1">
      <c r="A11" s="263"/>
      <c r="B11" s="1451" t="s">
        <v>1785</v>
      </c>
      <c r="C11" s="1019"/>
      <c r="D11" s="240"/>
      <c r="E11" s="246" t="s">
        <v>1786</v>
      </c>
      <c r="F11" s="247">
        <f ca="1">'数据-取费表'!B31</f>
        <v>1.4999999999999999E-2</v>
      </c>
      <c r="G11" s="909"/>
      <c r="H11" s="241"/>
      <c r="I11" s="1451" t="s">
        <v>1787</v>
      </c>
      <c r="J11" s="1019"/>
      <c r="K11" s="240"/>
      <c r="L11" s="246" t="s">
        <v>1786</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1788</v>
      </c>
      <c r="B12" s="1452" t="s">
        <v>1789</v>
      </c>
      <c r="C12" s="1025"/>
      <c r="D12" s="1453"/>
      <c r="E12" s="1031"/>
      <c r="F12" s="1026"/>
      <c r="G12" s="908"/>
      <c r="H12" s="1024" t="s">
        <v>1788</v>
      </c>
      <c r="I12" s="1452" t="s">
        <v>1789</v>
      </c>
      <c r="J12" s="1025"/>
      <c r="K12" s="1041"/>
      <c r="L12" s="1031"/>
      <c r="M12" s="1042"/>
    </row>
    <row r="13" spans="1:37" s="257" customFormat="1" ht="18" customHeight="1" thickTop="1">
      <c r="A13" s="1020">
        <v>2</v>
      </c>
      <c r="B13" s="1021" t="s">
        <v>1790</v>
      </c>
      <c r="C13" s="243">
        <f ca="1">ROUND(C29*F13,0)</f>
        <v>13183039</v>
      </c>
      <c r="D13" s="1022" t="s">
        <v>1791</v>
      </c>
      <c r="E13" s="1022" t="s">
        <v>1792</v>
      </c>
      <c r="F13" s="1023">
        <f>'数据-取费表'!E20</f>
        <v>0.92</v>
      </c>
      <c r="G13" s="909"/>
      <c r="H13" s="1020">
        <v>2</v>
      </c>
      <c r="I13" s="1021" t="s">
        <v>1790</v>
      </c>
      <c r="J13" s="1016">
        <f ca="1">ROUND(J14*J15,0)</f>
        <v>0</v>
      </c>
      <c r="K13" s="1027" t="s">
        <v>1791</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9523040</v>
      </c>
      <c r="D14" s="1255" t="s">
        <v>1795</v>
      </c>
      <c r="E14" s="1256"/>
      <c r="F14" s="756"/>
      <c r="G14" s="909"/>
      <c r="H14" s="253" t="s">
        <v>1774</v>
      </c>
      <c r="I14" s="235" t="s">
        <v>1796</v>
      </c>
      <c r="J14" s="13">
        <f ca="1">C29</f>
        <v>14329390</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285691</v>
      </c>
      <c r="D15" s="255" t="s">
        <v>1799</v>
      </c>
      <c r="E15" s="255" t="s">
        <v>1800</v>
      </c>
      <c r="F15" s="256">
        <f>'数据-取费表'!E21</f>
        <v>0.03</v>
      </c>
      <c r="G15" s="908"/>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09"/>
      <c r="H16" s="1020" t="s">
        <v>14</v>
      </c>
      <c r="I16" s="1021" t="s">
        <v>1805</v>
      </c>
      <c r="J16" s="243">
        <f ca="1">ROUND(J17+J22+J23+J24,0)</f>
        <v>263661</v>
      </c>
      <c r="K16" s="1027" t="s">
        <v>1806</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476152</v>
      </c>
      <c r="D17" s="235" t="s">
        <v>1809</v>
      </c>
      <c r="E17" s="235" t="s">
        <v>1810</v>
      </c>
      <c r="F17" s="15">
        <f>'数据-取费表'!E23</f>
        <v>200</v>
      </c>
      <c r="G17" s="909"/>
      <c r="H17" s="253" t="s">
        <v>1811</v>
      </c>
      <c r="I17" s="235" t="s">
        <v>1812</v>
      </c>
      <c r="J17" s="2744">
        <f ca="1">ROUND(IF(AND(项目基本情况!B7="自然人",项目基本情况!B6="北京市"),J6*M17/(1+'数据-取费表'!F30),J18+J19+J20),0)</f>
        <v>120367</v>
      </c>
      <c r="K17" s="1255" t="s">
        <v>1813</v>
      </c>
      <c r="L17" s="1258" t="s">
        <v>1814</v>
      </c>
      <c r="M17" s="2743">
        <f>IF(项目基本情况!B7="企业","——",IF('数据-取费表'!B10="住宅",IF(M6*M7*M8/12/(1+'数据-取费表'!F30)&gt;100000,4%,2.5%),IF(M6*M7*M8/12/(1+'数据-取费表'!F30)&gt;100000,12%,7%)))</f>
        <v>7.0000000000000007E-2</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142846</v>
      </c>
      <c r="D18" s="235" t="s">
        <v>1799</v>
      </c>
      <c r="E18" s="235" t="s">
        <v>1800</v>
      </c>
      <c r="F18" s="258">
        <f>'数据-取费表'!E24</f>
        <v>1.4999999999999999E-2</v>
      </c>
      <c r="G18" s="908"/>
      <c r="H18" s="253" t="s">
        <v>1817</v>
      </c>
      <c r="I18" s="235" t="s">
        <v>1818</v>
      </c>
      <c r="J18" s="13">
        <f>IF(项目基本情况!B7="自然人","——",ROUND(J6*M18/(1+'数据-取费表'!F30),0))</f>
        <v>0</v>
      </c>
      <c r="K18" s="1258" t="s">
        <v>2486</v>
      </c>
      <c r="L18" s="235" t="s">
        <v>1800</v>
      </c>
      <c r="M18" s="258">
        <f>'数据-取费表'!E29</f>
        <v>5.6000000000000001E-2</v>
      </c>
    </row>
    <row r="19" spans="1:37" s="257" customFormat="1" ht="18" customHeight="1">
      <c r="A19" s="253" t="s">
        <v>1811</v>
      </c>
      <c r="B19" s="235" t="s">
        <v>1819</v>
      </c>
      <c r="C19" s="13">
        <f>SUM(C14:C18)</f>
        <v>10427729</v>
      </c>
      <c r="D19" s="33" t="s">
        <v>1820</v>
      </c>
      <c r="E19" s="1260"/>
      <c r="F19" s="15"/>
      <c r="G19" s="909"/>
      <c r="H19" s="253" t="s">
        <v>1797</v>
      </c>
      <c r="I19" s="235" t="s">
        <v>1821</v>
      </c>
      <c r="J19" s="13">
        <f ca="1">IF(项目基本情况!B7="自然人","——",IF(K19="按租金收入计税",ROUND(J6*M19/(1+'数据-取费表'!F30),0),ROUND(C29*M19*0.7,0)))</f>
        <v>120367</v>
      </c>
      <c r="K19" s="1363"/>
      <c r="L19" s="235" t="s">
        <v>1800</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208555</v>
      </c>
      <c r="D20" s="259" t="s">
        <v>1824</v>
      </c>
      <c r="E20" s="235" t="s">
        <v>1825</v>
      </c>
      <c r="F20" s="258">
        <f>'数据-取费表'!E25</f>
        <v>0.02</v>
      </c>
      <c r="G20" s="909"/>
      <c r="H20" s="253" t="s">
        <v>1803</v>
      </c>
      <c r="I20" s="36" t="s">
        <v>1826</v>
      </c>
      <c r="J20" s="14">
        <f>IF(项目基本情况!B7="自然人","——",ROUND(M20*M21,0))</f>
        <v>0</v>
      </c>
      <c r="K20" s="261" t="s">
        <v>1827</v>
      </c>
      <c r="L20" s="235" t="s">
        <v>1828</v>
      </c>
      <c r="M20" s="262">
        <f>'数据-取费表'!E40</f>
        <v>0</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7">
        <f>F21</f>
        <v>0.02</v>
      </c>
      <c r="D21" s="259" t="s">
        <v>1831</v>
      </c>
      <c r="E21" s="235" t="s">
        <v>1832</v>
      </c>
      <c r="F21" s="258">
        <f>'数据-取费表'!E26</f>
        <v>0.02</v>
      </c>
      <c r="G21" s="908"/>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8"/>
      <c r="H22" s="253" t="s">
        <v>1801</v>
      </c>
      <c r="I22" s="235" t="s">
        <v>1836</v>
      </c>
      <c r="J22" s="13">
        <f ca="1">ROUND(J14*M22,0)</f>
        <v>143294</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446724</v>
      </c>
      <c r="D23" s="1359" t="str">
        <f>IF(F23&lt;=1,"(建造成本+管理费用)×利率×(建设周期÷2)","(建造成本+管理费用)×((1+利率)^(建设周期÷2)-1)")</f>
        <v>(建造成本+管理费用)×((1+利率)^(建设周期÷2)-1)</v>
      </c>
      <c r="E23" s="235" t="s">
        <v>1839</v>
      </c>
      <c r="F23" s="262">
        <f>'数据-取费表'!B22</f>
        <v>2</v>
      </c>
      <c r="G23" s="908"/>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09"/>
      <c r="H24" s="1030" t="s">
        <v>1834</v>
      </c>
      <c r="I24" s="1031" t="s">
        <v>1823</v>
      </c>
      <c r="J24" s="1032">
        <f ca="1">ROUND(J5*M24,0)</f>
        <v>0</v>
      </c>
      <c r="K24" s="1033" t="s">
        <v>1846</v>
      </c>
      <c r="L24" s="1031" t="s">
        <v>1842</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60"/>
      <c r="F25" s="15"/>
      <c r="G25" s="909"/>
      <c r="H25" s="1020" t="s">
        <v>22</v>
      </c>
      <c r="I25" s="1035" t="s">
        <v>1850</v>
      </c>
      <c r="J25" s="243">
        <f ca="1">J5-J16</f>
        <v>-263661</v>
      </c>
      <c r="K25" s="1036" t="s">
        <v>1851</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2127257</v>
      </c>
      <c r="D26" s="259" t="s">
        <v>1853</v>
      </c>
      <c r="E26" s="246" t="s">
        <v>1854</v>
      </c>
      <c r="F26" s="245">
        <f>'数据-取费表'!E28</f>
        <v>0.2</v>
      </c>
      <c r="G26" s="651"/>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30" t="s">
        <v>1867</v>
      </c>
      <c r="B29" s="1031" t="s">
        <v>1868</v>
      </c>
      <c r="C29" s="1032">
        <f ca="1">ROUND((C19+C20+C23+C26)/(1-F21-C24-C27-C28),0)</f>
        <v>14329390</v>
      </c>
      <c r="D29" s="1033"/>
      <c r="E29" s="1031"/>
      <c r="F29" s="1034"/>
      <c r="G29" s="651"/>
      <c r="H29" s="271" t="s">
        <v>24</v>
      </c>
      <c r="I29" s="272" t="s">
        <v>1869</v>
      </c>
      <c r="J29" s="273">
        <f ca="1">ROUND(J26/(1+F40)^F41,0)</f>
        <v>0</v>
      </c>
      <c r="K29" s="274" t="s">
        <v>1870</v>
      </c>
      <c r="L29" s="275"/>
      <c r="M29" s="276">
        <f>IF(D1="仅计算典型户型",'数据-取费表'!E5,'数据-取费表'!B5)</f>
        <v>2380.7600000000002</v>
      </c>
    </row>
    <row r="30" spans="1:37" ht="18" customHeight="1" thickTop="1">
      <c r="A30" s="1020" t="s">
        <v>14</v>
      </c>
      <c r="B30" s="1021" t="s">
        <v>1871</v>
      </c>
      <c r="C30" s="243">
        <f ca="1">ROUND(C31+C36+C37+C38,0)</f>
        <v>1128931</v>
      </c>
      <c r="D30" s="1027" t="s">
        <v>1872</v>
      </c>
      <c r="E30" s="1028"/>
      <c r="F30" s="1029"/>
      <c r="G30" s="651"/>
      <c r="H30" s="888"/>
      <c r="I30" s="889"/>
      <c r="J30" s="890"/>
      <c r="K30" s="891"/>
      <c r="L30" s="892"/>
      <c r="M30" s="893"/>
    </row>
    <row r="31" spans="1:37" ht="18" customHeight="1">
      <c r="A31" s="253" t="s">
        <v>1774</v>
      </c>
      <c r="B31" s="235" t="s">
        <v>1812</v>
      </c>
      <c r="C31" s="2744">
        <f>ROUND(IF(AND(项目基本情况!B7="自然人",项目基本情况!B6="北京市"),C6*F31/(1+'数据-取费表'!F30),C32+C33+C34),0)</f>
        <v>917640</v>
      </c>
      <c r="D31" s="1255" t="s">
        <v>1873</v>
      </c>
      <c r="E31" s="1258" t="s">
        <v>1874</v>
      </c>
      <c r="F31" s="2743">
        <f>IF(项目基本情况!B7="企业","——",IF('数据-取费表'!B10="住宅",IF(F6*F7*F8/12/(1+'数据-取费表'!F30)&gt;100000,4%,2.5%),IF(F6*F7*F8/12/(1+'数据-取费表'!F30)&gt;100000,12%,7%)))</f>
        <v>0.12</v>
      </c>
      <c r="G31" s="651"/>
      <c r="H31" s="888"/>
      <c r="I31" s="889"/>
      <c r="J31" s="890"/>
      <c r="K31" s="891"/>
      <c r="L31" s="892"/>
      <c r="M31" s="893"/>
    </row>
    <row r="32" spans="1:37" ht="18" customHeight="1">
      <c r="A32" s="253" t="s">
        <v>1793</v>
      </c>
      <c r="B32" s="235" t="s">
        <v>1875</v>
      </c>
      <c r="C32" s="13">
        <f>IF(项目基本情况!B7="自然人","——",ROUND(C6*F32/(1+'数据-取费表'!F30),0))</f>
        <v>291976</v>
      </c>
      <c r="D32" s="1258" t="s">
        <v>2485</v>
      </c>
      <c r="E32" s="235" t="s">
        <v>1825</v>
      </c>
      <c r="F32" s="267">
        <f>'数据-取费表'!E29</f>
        <v>5.6000000000000001E-2</v>
      </c>
      <c r="G32" s="651"/>
      <c r="H32" s="894"/>
      <c r="I32" s="895"/>
      <c r="J32" s="896"/>
      <c r="K32" s="897"/>
      <c r="L32" s="898"/>
      <c r="M32" s="899"/>
    </row>
    <row r="33" spans="1:18" ht="18" customHeight="1">
      <c r="A33" s="253" t="s">
        <v>1797</v>
      </c>
      <c r="B33" s="235" t="s">
        <v>1821</v>
      </c>
      <c r="C33" s="13">
        <f>IF(项目基本情况!B7="自然人","——",IF(D33="按租金收入计税",ROUND(C6*F33/(1+'数据-取费表'!F30),0),IF(D33="按房产原值计税",ROUND(C29*F33*0.7,0),'数据-取费表'!B44)))</f>
        <v>625664</v>
      </c>
      <c r="D33" s="1363" t="s">
        <v>2643</v>
      </c>
      <c r="E33" s="235" t="s">
        <v>1800</v>
      </c>
      <c r="F33" s="258">
        <f>IF(D33="按票据","——",IF(D33="按租金收入计税",'数据-取费表'!E39,'数据-取费表'!E38))</f>
        <v>0.12</v>
      </c>
      <c r="G33" s="651"/>
      <c r="H33" s="900"/>
      <c r="I33" s="278" t="s">
        <v>1877</v>
      </c>
      <c r="J33" s="279"/>
      <c r="K33" s="901"/>
      <c r="L33" s="900"/>
      <c r="M33" s="900"/>
    </row>
    <row r="34" spans="1:18" ht="18" customHeight="1">
      <c r="A34" s="1014" t="s">
        <v>1803</v>
      </c>
      <c r="B34" s="36" t="s">
        <v>1826</v>
      </c>
      <c r="C34" s="14">
        <f>IF(项目基本情况!B7="自然人","——",ROUND(F34*F35,0))</f>
        <v>0</v>
      </c>
      <c r="D34" s="261" t="s">
        <v>1827</v>
      </c>
      <c r="E34" s="235" t="s">
        <v>1828</v>
      </c>
      <c r="F34" s="262">
        <f>'数据-取费表'!E40</f>
        <v>0</v>
      </c>
      <c r="G34" s="651"/>
      <c r="H34" s="888"/>
      <c r="I34" s="280" t="s">
        <v>1878</v>
      </c>
      <c r="J34" s="281">
        <f ca="1">ROUND(C13*J35,0)</f>
        <v>988728</v>
      </c>
      <c r="K34" s="902"/>
      <c r="L34" s="903"/>
      <c r="M34" s="903"/>
    </row>
    <row r="35" spans="1:18" ht="24.6" customHeight="1">
      <c r="A35" s="1018"/>
      <c r="B35" s="244"/>
      <c r="C35" s="17"/>
      <c r="D35" s="264"/>
      <c r="E35" s="235" t="s">
        <v>1833</v>
      </c>
      <c r="F35" s="236">
        <f>IF(D1="仅计算典型户型",'数据-取费表'!E6,'数据-取费表'!B6)</f>
        <v>0</v>
      </c>
      <c r="G35" s="651" t="s">
        <v>2573</v>
      </c>
      <c r="H35" s="888"/>
      <c r="I35" s="282" t="s">
        <v>1879</v>
      </c>
      <c r="J35" s="283">
        <f>'数据-取费表'!B18</f>
        <v>7.4999999999999997E-2</v>
      </c>
      <c r="K35" s="901"/>
      <c r="L35" s="900"/>
      <c r="M35" s="900"/>
    </row>
    <row r="36" spans="1:18" ht="18" customHeight="1">
      <c r="A36" s="1017" t="s">
        <v>1781</v>
      </c>
      <c r="B36" s="235" t="s">
        <v>1880</v>
      </c>
      <c r="C36" s="13">
        <f ca="1">ROUND(C29*F36,0)</f>
        <v>143294</v>
      </c>
      <c r="D36" s="1258" t="s">
        <v>1881</v>
      </c>
      <c r="E36" s="235" t="s">
        <v>1825</v>
      </c>
      <c r="F36" s="265">
        <f>'数据-取费表'!B45</f>
        <v>0.01</v>
      </c>
      <c r="G36" s="651"/>
      <c r="H36" s="900"/>
      <c r="I36" s="284" t="s">
        <v>1882</v>
      </c>
      <c r="J36" s="285"/>
      <c r="K36" s="904"/>
      <c r="L36" s="900"/>
      <c r="M36" s="900"/>
    </row>
    <row r="37" spans="1:18" ht="18" customHeight="1">
      <c r="A37" s="253" t="s">
        <v>1829</v>
      </c>
      <c r="B37" s="235" t="s">
        <v>1840</v>
      </c>
      <c r="C37" s="13">
        <f ca="1">ROUND(C13*F37,0)</f>
        <v>13183</v>
      </c>
      <c r="D37" s="1258" t="s">
        <v>1841</v>
      </c>
      <c r="E37" s="235" t="s">
        <v>1842</v>
      </c>
      <c r="F37" s="266">
        <f>'数据-取费表'!B46</f>
        <v>1E-3</v>
      </c>
      <c r="G37" s="651"/>
      <c r="H37" s="900"/>
      <c r="I37" s="132" t="s">
        <v>1883</v>
      </c>
      <c r="J37" s="286"/>
      <c r="K37" s="904"/>
      <c r="L37" s="900"/>
      <c r="M37" s="900"/>
    </row>
    <row r="38" spans="1:18" ht="18" customHeight="1" thickBot="1">
      <c r="A38" s="1030" t="s">
        <v>1834</v>
      </c>
      <c r="B38" s="1031" t="s">
        <v>1823</v>
      </c>
      <c r="C38" s="1032">
        <f ca="1">ROUND(C5*F38,0)</f>
        <v>54814</v>
      </c>
      <c r="D38" s="1033" t="s">
        <v>1846</v>
      </c>
      <c r="E38" s="1031" t="s">
        <v>1842</v>
      </c>
      <c r="F38" s="1026">
        <f>'数据-取费表'!B47</f>
        <v>0.01</v>
      </c>
      <c r="G38" s="651"/>
      <c r="H38" s="900"/>
      <c r="I38" s="280" t="s">
        <v>1884</v>
      </c>
      <c r="J38" s="136">
        <f ca="1">ROUND(J34/C39,3)</f>
        <v>0.22700000000000001</v>
      </c>
      <c r="K38" s="905"/>
      <c r="L38" s="900"/>
      <c r="M38" s="900"/>
    </row>
    <row r="39" spans="1:18" ht="18" customHeight="1" thickTop="1">
      <c r="A39" s="1020" t="s">
        <v>22</v>
      </c>
      <c r="B39" s="1035" t="s">
        <v>1885</v>
      </c>
      <c r="C39" s="243">
        <f ca="1">C5-C30</f>
        <v>4352470</v>
      </c>
      <c r="D39" s="1036" t="s">
        <v>1886</v>
      </c>
      <c r="E39" s="1037"/>
      <c r="F39" s="1038"/>
      <c r="G39" s="651"/>
      <c r="H39" s="900"/>
      <c r="I39" s="280" t="s">
        <v>1887</v>
      </c>
      <c r="J39" s="136">
        <f ca="1">1-J38</f>
        <v>0.77300000000000002</v>
      </c>
      <c r="K39" s="905"/>
      <c r="L39" s="900"/>
      <c r="M39" s="900"/>
    </row>
    <row r="40" spans="1:18" s="651" customFormat="1" ht="18" customHeight="1">
      <c r="A40" s="232" t="s">
        <v>23</v>
      </c>
      <c r="B40" s="233" t="s">
        <v>1888</v>
      </c>
      <c r="C40" s="234">
        <f ca="1">ROUND(C39*(1-((1+F42)/(1+F40))^F41)/(F40-F42),0)</f>
        <v>88828853</v>
      </c>
      <c r="D40" s="261" t="s">
        <v>1856</v>
      </c>
      <c r="E40" s="235" t="s">
        <v>1857</v>
      </c>
      <c r="F40" s="245">
        <f>'数据-取费表'!B16</f>
        <v>0.06</v>
      </c>
      <c r="H40" s="906"/>
      <c r="I40" s="132" t="s">
        <v>1889</v>
      </c>
      <c r="J40" s="133"/>
      <c r="K40" s="905"/>
      <c r="L40" s="906"/>
      <c r="M40" s="906"/>
      <c r="Q40" s="655"/>
    </row>
    <row r="41" spans="1:18" s="651" customFormat="1" ht="18" customHeight="1">
      <c r="A41" s="237"/>
      <c r="B41" s="238"/>
      <c r="C41" s="239"/>
      <c r="D41" s="269" t="s">
        <v>1890</v>
      </c>
      <c r="E41" s="1231" t="s">
        <v>2468</v>
      </c>
      <c r="F41" s="270">
        <f>IF('数据-取费表'!B29="租赁期内按合同租金",'数据-取费表'!B35,IF(E41="收益年期(n)",'数据-取费表'!B34,'数据-取费表'!B13))</f>
        <v>33</v>
      </c>
      <c r="H41" s="907"/>
      <c r="I41" s="135" t="s">
        <v>1762</v>
      </c>
      <c r="J41" s="136">
        <f ca="1">ROUND(C13/C40,3)</f>
        <v>0.14799999999999999</v>
      </c>
      <c r="K41" s="904"/>
      <c r="L41" s="907"/>
      <c r="M41" s="907"/>
      <c r="Q41" s="655"/>
    </row>
    <row r="42" spans="1:18" s="651" customFormat="1" ht="18" customHeight="1">
      <c r="A42" s="241"/>
      <c r="B42" s="242"/>
      <c r="C42" s="243"/>
      <c r="D42" s="264"/>
      <c r="E42" s="235" t="s">
        <v>1866</v>
      </c>
      <c r="F42" s="245">
        <f>'数据-取费表'!B32</f>
        <v>0.03</v>
      </c>
      <c r="H42" s="907"/>
      <c r="I42" s="135" t="s">
        <v>1763</v>
      </c>
      <c r="J42" s="137">
        <f ca="1">1-J41</f>
        <v>0.85199999999999998</v>
      </c>
      <c r="K42" s="904"/>
      <c r="L42" s="907"/>
      <c r="M42" s="907"/>
      <c r="Q42" s="655"/>
    </row>
    <row r="43" spans="1:18" s="651" customFormat="1" ht="18" customHeight="1" thickBot="1">
      <c r="A43" s="271" t="s">
        <v>24</v>
      </c>
      <c r="B43" s="272" t="s">
        <v>1891</v>
      </c>
      <c r="C43" s="273">
        <f ca="1">ROUND(C40/F43,0)</f>
        <v>37311</v>
      </c>
      <c r="D43" s="274" t="s">
        <v>1892</v>
      </c>
      <c r="E43" s="275" t="s">
        <v>1893</v>
      </c>
      <c r="F43" s="276">
        <f>IF(D1="仅计算典型户型",'数据-取费表'!E5,'数据-取费表'!B5)</f>
        <v>2380.7600000000002</v>
      </c>
      <c r="G43" s="653"/>
      <c r="H43" s="907"/>
      <c r="I43" s="907"/>
      <c r="J43" s="907"/>
      <c r="K43" s="904"/>
      <c r="L43" s="907"/>
      <c r="M43" s="907"/>
      <c r="O43" s="998" t="s">
        <v>1894</v>
      </c>
      <c r="P43" s="999"/>
      <c r="Q43" s="995"/>
      <c r="R43" s="999"/>
    </row>
    <row r="44" spans="1:18" s="651" customFormat="1" ht="18" customHeight="1" thickBot="1">
      <c r="A44" s="648"/>
      <c r="B44" s="648"/>
      <c r="C44" s="650"/>
      <c r="D44" s="648"/>
      <c r="E44" s="648"/>
      <c r="F44" s="648"/>
      <c r="G44" s="653"/>
      <c r="K44" s="652"/>
      <c r="O44" s="1000" t="s">
        <v>1895</v>
      </c>
      <c r="P44" s="1001" t="s">
        <v>1896</v>
      </c>
      <c r="Q44" s="1002" t="s">
        <v>1897</v>
      </c>
      <c r="R44" s="1003" t="s">
        <v>1898</v>
      </c>
    </row>
    <row r="45" spans="1:18" s="651" customFormat="1" ht="18" customHeight="1" thickBot="1">
      <c r="A45" s="648"/>
      <c r="B45" s="648"/>
      <c r="C45" s="650"/>
      <c r="D45" s="648"/>
      <c r="E45" s="648"/>
      <c r="F45" s="648"/>
      <c r="G45" s="654"/>
      <c r="K45" s="652"/>
      <c r="O45" s="1004" t="s">
        <v>767</v>
      </c>
      <c r="P45" s="1005" t="s">
        <v>1899</v>
      </c>
      <c r="Q45" s="1006">
        <f ca="1">C40+J29</f>
        <v>88828853</v>
      </c>
      <c r="R45" s="1007" t="s">
        <v>1900</v>
      </c>
    </row>
    <row r="46" spans="1:18" s="651" customFormat="1" ht="18" customHeight="1" thickBot="1">
      <c r="A46" s="648"/>
      <c r="D46" s="648"/>
      <c r="E46" s="648"/>
      <c r="F46" s="648"/>
      <c r="K46" s="652"/>
      <c r="O46" s="1004" t="s">
        <v>768</v>
      </c>
      <c r="P46" s="1005" t="s">
        <v>1901</v>
      </c>
      <c r="Q46" s="1006" t="str">
        <f>J61</f>
        <v>0</v>
      </c>
      <c r="R46" s="1007" t="s">
        <v>1902</v>
      </c>
    </row>
    <row r="47" spans="1:18" s="651" customFormat="1" ht="21.75" thickBot="1">
      <c r="A47" s="1454" t="s">
        <v>1903</v>
      </c>
      <c r="C47" s="949">
        <f ca="1">IF(C2="元",C69-C40,ROUND((C69-C40)/10000,0))</f>
        <v>-10818</v>
      </c>
      <c r="D47" s="1455" t="str">
        <f>C2</f>
        <v>万元</v>
      </c>
      <c r="E47" s="648"/>
      <c r="F47" s="648"/>
      <c r="I47" s="1456" t="s">
        <v>1904</v>
      </c>
      <c r="J47" s="980"/>
      <c r="K47" s="981"/>
      <c r="L47" s="994" t="str">
        <f>IF(M48="住宅",0,IF(L49&gt;J52,L61,J61))</f>
        <v>0</v>
      </c>
      <c r="O47" s="1008" t="s">
        <v>769</v>
      </c>
      <c r="P47" s="1005" t="s">
        <v>1905</v>
      </c>
      <c r="Q47" s="1006">
        <f ca="1">C29</f>
        <v>14329390</v>
      </c>
      <c r="R47" s="1007" t="s">
        <v>1900</v>
      </c>
    </row>
    <row r="48" spans="1:18" s="651" customFormat="1" ht="15.75" thickBot="1">
      <c r="A48" s="228" t="s">
        <v>1906</v>
      </c>
      <c r="B48" s="229" t="s">
        <v>1907</v>
      </c>
      <c r="C48" s="229" t="s">
        <v>1908</v>
      </c>
      <c r="D48" s="229" t="s">
        <v>1909</v>
      </c>
      <c r="E48" s="943" t="s">
        <v>1910</v>
      </c>
      <c r="F48" s="944"/>
      <c r="I48" s="1457" t="s">
        <v>1911</v>
      </c>
      <c r="J48" s="1458" t="s">
        <v>3042</v>
      </c>
      <c r="K48" s="1459" t="s">
        <v>1912</v>
      </c>
      <c r="L48" s="982">
        <f>'数据-取费表'!B11</f>
        <v>40</v>
      </c>
      <c r="M48" s="995" t="str">
        <f>IF('数据-取费表'!B10="住宅","住宅","非住宅")</f>
        <v>非住宅</v>
      </c>
      <c r="O48" s="1008" t="s">
        <v>770</v>
      </c>
      <c r="P48" s="1005" t="s">
        <v>1913</v>
      </c>
      <c r="Q48" s="1009" t="e">
        <f>J59</f>
        <v>#VALUE!</v>
      </c>
      <c r="R48" s="1007"/>
    </row>
    <row r="49" spans="1:18" s="651" customFormat="1" ht="15.75" thickBot="1">
      <c r="A49" s="1055" t="s">
        <v>781</v>
      </c>
      <c r="B49" s="233" t="s">
        <v>1914</v>
      </c>
      <c r="C49" s="1056">
        <f ca="1">C50+C54+C56</f>
        <v>0</v>
      </c>
      <c r="D49" s="1057"/>
      <c r="E49" s="44"/>
      <c r="F49" s="15"/>
      <c r="I49" s="1460" t="s">
        <v>1915</v>
      </c>
      <c r="J49" s="1461" t="s">
        <v>3043</v>
      </c>
      <c r="K49" s="1462" t="s">
        <v>1916</v>
      </c>
      <c r="L49" s="820">
        <f>'数据-取费表'!B13</f>
        <v>33</v>
      </c>
      <c r="O49" s="1008" t="s">
        <v>771</v>
      </c>
      <c r="P49" s="1005" t="s">
        <v>1917</v>
      </c>
      <c r="Q49" s="1009">
        <f>J53</f>
        <v>0.08</v>
      </c>
      <c r="R49" s="1007"/>
    </row>
    <row r="50" spans="1:18" s="651" customFormat="1" ht="15.75" thickBot="1">
      <c r="A50" s="260" t="s">
        <v>1774</v>
      </c>
      <c r="B50" s="1369" t="s">
        <v>1918</v>
      </c>
      <c r="C50" s="234">
        <f>ROUND(F50*F52*F51*(1-F53),0)</f>
        <v>0</v>
      </c>
      <c r="D50" s="42" t="s">
        <v>2461</v>
      </c>
      <c r="E50" s="1463" t="s">
        <v>1919</v>
      </c>
      <c r="F50" s="945"/>
      <c r="I50" s="1460" t="s">
        <v>1920</v>
      </c>
      <c r="J50" s="820">
        <f>'数据-取费表'!B27</f>
        <v>2017</v>
      </c>
      <c r="K50" s="1464" t="s">
        <v>1921</v>
      </c>
      <c r="L50" s="983"/>
      <c r="O50" s="1008" t="s">
        <v>772</v>
      </c>
      <c r="P50" s="1005" t="s">
        <v>1922</v>
      </c>
      <c r="Q50" s="1006">
        <f>J54</f>
        <v>33</v>
      </c>
      <c r="R50" s="1007" t="s">
        <v>1923</v>
      </c>
    </row>
    <row r="51" spans="1:18" s="651" customFormat="1" ht="15.75" thickBot="1">
      <c r="A51" s="237"/>
      <c r="B51" s="238"/>
      <c r="C51" s="239"/>
      <c r="D51" s="240"/>
      <c r="E51" s="255" t="s">
        <v>1777</v>
      </c>
      <c r="F51" s="942">
        <f>F7</f>
        <v>2380.7600000000002</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8883</v>
      </c>
      <c r="R51" s="1007" t="s">
        <v>774</v>
      </c>
    </row>
    <row r="52" spans="1:18" s="651" customFormat="1" ht="16.5" thickBot="1">
      <c r="A52" s="237"/>
      <c r="B52" s="238"/>
      <c r="C52" s="239"/>
      <c r="D52" s="240"/>
      <c r="E52" s="235" t="s">
        <v>1779</v>
      </c>
      <c r="F52" s="236">
        <f>F8</f>
        <v>365</v>
      </c>
      <c r="I52" s="1465" t="s">
        <v>1926</v>
      </c>
      <c r="J52" s="985">
        <f>IF(J50="",J51,J50+J51-YEAR('数据-取费表'!B2))</f>
        <v>55</v>
      </c>
      <c r="K52" s="1466" t="s">
        <v>1927</v>
      </c>
      <c r="L52" s="986">
        <f ca="1">ROUND(-PV('数据-取费表'!B15,J52,(C40-C13*J35)),0)</f>
        <v>1513061130</v>
      </c>
      <c r="O52" s="998" t="s">
        <v>1928</v>
      </c>
      <c r="P52" s="999"/>
      <c r="Q52" s="995"/>
      <c r="R52" s="999"/>
    </row>
    <row r="53" spans="1:18" s="651" customFormat="1" ht="15.75" thickBot="1">
      <c r="A53" s="241"/>
      <c r="B53" s="242"/>
      <c r="C53" s="243"/>
      <c r="D53" s="244"/>
      <c r="E53" s="235" t="s">
        <v>1780</v>
      </c>
      <c r="F53" s="993"/>
      <c r="I53" s="1467" t="s">
        <v>1929</v>
      </c>
      <c r="J53" s="987">
        <v>0.08</v>
      </c>
      <c r="K53" s="1467" t="s">
        <v>1930</v>
      </c>
      <c r="L53" s="987"/>
      <c r="O53" s="1000" t="s">
        <v>1895</v>
      </c>
      <c r="P53" s="1001" t="s">
        <v>1896</v>
      </c>
      <c r="Q53" s="1002" t="s">
        <v>1897</v>
      </c>
      <c r="R53" s="1003" t="s">
        <v>1898</v>
      </c>
    </row>
    <row r="54" spans="1:18" s="651" customFormat="1" ht="29.25" customHeight="1" thickBot="1">
      <c r="A54" s="1014" t="s">
        <v>1781</v>
      </c>
      <c r="B54" s="1448" t="s">
        <v>1782</v>
      </c>
      <c r="C54" s="1015">
        <f ca="1">ROUND(IF(F54="押一",C50/12*F11,IF(F54="押二",C50/12*2*F11,IF(F54="押三",C50/12*3*F11,C55*F11))),0)</f>
        <v>0</v>
      </c>
      <c r="D54" s="1449" t="s">
        <v>2466</v>
      </c>
      <c r="E54" s="246" t="s">
        <v>1783</v>
      </c>
      <c r="F54" s="1450"/>
      <c r="I54" s="1556" t="s">
        <v>2469</v>
      </c>
      <c r="J54" s="988">
        <f>IF(M48="住宅",IF(E1="——",MAX(J52,L49),MAX(J52,L49-'数据-取费表'!B26)),IF(E1="——",MIN(J52,L49),MIN(J52,L49-'数据-取费表'!B26)))</f>
        <v>33</v>
      </c>
      <c r="K54" s="3556" t="s">
        <v>2459</v>
      </c>
      <c r="L54" s="3557"/>
      <c r="O54" s="1004" t="s">
        <v>767</v>
      </c>
      <c r="P54" s="1005" t="s">
        <v>1899</v>
      </c>
      <c r="Q54" s="1006">
        <f ca="1">C40+J29</f>
        <v>88828853</v>
      </c>
      <c r="R54" s="1007" t="s">
        <v>1900</v>
      </c>
    </row>
    <row r="55" spans="1:18" s="651" customFormat="1" ht="20.25" thickBot="1">
      <c r="A55" s="1014"/>
      <c r="B55" s="1468" t="s">
        <v>1787</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1"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1" customFormat="1" ht="44.25" thickTop="1" thickBot="1">
      <c r="A57" s="1020">
        <v>2</v>
      </c>
      <c r="B57" s="1021" t="s">
        <v>1790</v>
      </c>
      <c r="C57" s="1079">
        <f ca="1">C13</f>
        <v>13183039</v>
      </c>
      <c r="D57" s="940"/>
      <c r="E57" s="941"/>
      <c r="F57" s="948"/>
      <c r="I57" s="1474" t="s">
        <v>1936</v>
      </c>
      <c r="J57" s="992" t="s">
        <v>3030</v>
      </c>
      <c r="K57" s="1460" t="s">
        <v>1937</v>
      </c>
      <c r="L57" s="820" t="str">
        <f>IF(L49&lt;J52,"——",L49-J52)</f>
        <v>——</v>
      </c>
      <c r="O57" s="1008" t="s">
        <v>770</v>
      </c>
      <c r="P57" s="1005" t="s">
        <v>1938</v>
      </c>
      <c r="Q57" s="1009">
        <f>L53</f>
        <v>0</v>
      </c>
      <c r="R57" s="1007"/>
    </row>
    <row r="58" spans="1:18" s="651" customFormat="1" ht="29.25" thickBot="1">
      <c r="A58" s="947"/>
      <c r="B58" s="235" t="s">
        <v>1868</v>
      </c>
      <c r="C58" s="104">
        <f ca="1">C29</f>
        <v>14329390</v>
      </c>
      <c r="D58" s="940"/>
      <c r="E58" s="941"/>
      <c r="F58" s="948"/>
      <c r="I58" s="1475" t="s">
        <v>1939</v>
      </c>
      <c r="J58" s="991" t="str">
        <f>IF(OR(M48="住宅",J52&lt;L49,J57="是"),"——",J52-L49)</f>
        <v>——</v>
      </c>
      <c r="K58" s="1460" t="s">
        <v>1940</v>
      </c>
      <c r="L58" s="820" t="str">
        <f>IF(L49&lt;J52,"——",IF(L56="比较法",L50,IF(L56="基准地价",L51,L52)))</f>
        <v>——</v>
      </c>
      <c r="O58" s="1008" t="s">
        <v>771</v>
      </c>
      <c r="P58" s="1005" t="s">
        <v>1941</v>
      </c>
      <c r="Q58" s="1006" t="e">
        <f>L59</f>
        <v>#DIV/0!</v>
      </c>
      <c r="R58" s="1007" t="s">
        <v>1942</v>
      </c>
    </row>
    <row r="59" spans="1:18" s="651" customFormat="1" ht="29.25" thickBot="1">
      <c r="A59" s="248" t="s">
        <v>14</v>
      </c>
      <c r="B59" s="249" t="s">
        <v>1871</v>
      </c>
      <c r="C59" s="250">
        <f ca="1">ROUND(C60+C65+C66+C67,0)</f>
        <v>1360146</v>
      </c>
      <c r="D59" s="12" t="s">
        <v>1872</v>
      </c>
      <c r="E59" s="1260"/>
      <c r="F59" s="15"/>
      <c r="I59" s="1475" t="s">
        <v>1943</v>
      </c>
      <c r="J59" s="1246" t="e">
        <f>IF(J56&lt;0.4,0.4,J56)</f>
        <v>#VALUE!</v>
      </c>
      <c r="K59" s="1466" t="s">
        <v>1944</v>
      </c>
      <c r="L59" s="820" t="e">
        <f>ROUND(POWER(1+L53,L48-L49)*(POWER(1+L53,L49)-1)/(POWER(1+L53,L48)-1),4)</f>
        <v>#DIV/0!</v>
      </c>
      <c r="O59" s="1008" t="s">
        <v>772</v>
      </c>
      <c r="P59" s="1005" t="str">
        <f>K60</f>
        <v>建筑物剩余耐用年限下的土地年期修正系数Kn</v>
      </c>
      <c r="Q59" s="1006" t="e">
        <f>L60</f>
        <v>#DIV/0!</v>
      </c>
      <c r="R59" s="1007" t="s">
        <v>1945</v>
      </c>
    </row>
    <row r="60" spans="1:18" s="651" customFormat="1" ht="29.25" thickBot="1">
      <c r="A60" s="253" t="s">
        <v>15</v>
      </c>
      <c r="B60" s="235" t="s">
        <v>1812</v>
      </c>
      <c r="C60" s="2744">
        <f ca="1">ROUND(IF(AND(项目基本情况!B7="自然人",项目基本情况!B6="北京市"),C50*F60/(1+'数据-取费表'!F30),C61+C62+C63),0)</f>
        <v>1203669</v>
      </c>
      <c r="D60" s="1255" t="s">
        <v>1873</v>
      </c>
      <c r="E60" s="1258" t="s">
        <v>1874</v>
      </c>
      <c r="F60" s="2743">
        <f>IF(项目基本情况!B7="企业","——",IF('数据-取费表'!B10="住宅",IF(F50*F51*F52/12/(1+'数据-取费表'!F30)&gt;100000,4%,2.5%),IF(F50*F51*F52/12/(1+'数据-取费表'!F30)&gt;100000,12%,7%)))</f>
        <v>7.0000000000000007E-2</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8883</v>
      </c>
      <c r="R60" s="1007" t="s">
        <v>774</v>
      </c>
    </row>
    <row r="61" spans="1:18" s="651" customFormat="1" ht="16.5" thickBot="1">
      <c r="A61" s="253" t="s">
        <v>16</v>
      </c>
      <c r="B61" s="235" t="s">
        <v>1875</v>
      </c>
      <c r="C61" s="13">
        <f ca="1">IF(项目基本情况!B7="自然人","——",ROUND(C49*F61/(1+'数据-取费表'!F30),0))</f>
        <v>0</v>
      </c>
      <c r="D61" s="1258" t="s">
        <v>1876</v>
      </c>
      <c r="E61" s="235" t="s">
        <v>1825</v>
      </c>
      <c r="F61" s="267">
        <f t="shared" ref="F61:F67" si="0">F32</f>
        <v>5.6000000000000001E-2</v>
      </c>
      <c r="I61" s="1476" t="s">
        <v>1947</v>
      </c>
      <c r="J61" s="990" t="str">
        <f>IF(OR(M48="住宅",J52&lt;L49,J57="是"),"0",ROUND(J60/(1+J53)^J54,0))</f>
        <v>0</v>
      </c>
      <c r="K61" s="1477" t="s">
        <v>1948</v>
      </c>
      <c r="L61" s="990">
        <f>IF(OR(M48="住宅",L49&lt;J52),0,ROUND(L58*(L59/L60-1),0))</f>
        <v>0</v>
      </c>
      <c r="O61" s="998" t="s">
        <v>1949</v>
      </c>
      <c r="P61" s="999"/>
      <c r="Q61" s="995"/>
      <c r="R61" s="999"/>
    </row>
    <row r="62" spans="1:18" s="651" customFormat="1" ht="15.75" thickBot="1">
      <c r="A62" s="253" t="s">
        <v>17</v>
      </c>
      <c r="B62" s="235" t="s">
        <v>1950</v>
      </c>
      <c r="C62" s="13">
        <f ca="1">IF(项目基本情况!B7="自然人","——",IF(D62="按租金收入计税",ROUND(C50*F62/(1+'数据-取费表'!F30),0),IF(D62="按房产原值计税",ROUND(C58*F62*0.7,0),'数据-取费表'!B44)))</f>
        <v>1203669</v>
      </c>
      <c r="D62" s="1363" t="s">
        <v>1822</v>
      </c>
      <c r="E62" s="235" t="s">
        <v>1825</v>
      </c>
      <c r="F62" s="258">
        <f t="shared" si="0"/>
        <v>0.12</v>
      </c>
      <c r="O62" s="1000" t="s">
        <v>1895</v>
      </c>
      <c r="P62" s="1001" t="s">
        <v>1896</v>
      </c>
      <c r="Q62" s="1002" t="s">
        <v>1897</v>
      </c>
      <c r="R62" s="1003" t="s">
        <v>1898</v>
      </c>
    </row>
    <row r="63" spans="1:18" s="651" customFormat="1" ht="15.75" thickBot="1">
      <c r="A63" s="260" t="s">
        <v>18</v>
      </c>
      <c r="B63" s="36" t="s">
        <v>1951</v>
      </c>
      <c r="C63" s="14">
        <f>IF(项目基本情况!B7="自然人","——",ROUND(F63*F64,0))</f>
        <v>0</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88828853</v>
      </c>
      <c r="R63" s="1007" t="s">
        <v>1900</v>
      </c>
    </row>
    <row r="64" spans="1:18" s="651"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1" customFormat="1" ht="23.25" thickBot="1">
      <c r="A65" s="253" t="s">
        <v>19</v>
      </c>
      <c r="B65" s="235" t="s">
        <v>1880</v>
      </c>
      <c r="C65" s="13">
        <f ca="1">ROUND(C58*F65,0)</f>
        <v>143294</v>
      </c>
      <c r="D65" s="1258" t="s">
        <v>1881</v>
      </c>
      <c r="E65" s="235" t="s">
        <v>1825</v>
      </c>
      <c r="F65" s="265">
        <f t="shared" si="0"/>
        <v>0.01</v>
      </c>
      <c r="I65" s="1478" t="s">
        <v>1961</v>
      </c>
      <c r="J65" s="1250">
        <v>50</v>
      </c>
      <c r="K65" s="1250">
        <v>35</v>
      </c>
      <c r="L65" s="1250">
        <v>60</v>
      </c>
      <c r="M65" s="1249">
        <v>0</v>
      </c>
      <c r="O65" s="1008" t="s">
        <v>769</v>
      </c>
      <c r="P65" s="1005" t="s">
        <v>1935</v>
      </c>
      <c r="Q65" s="1010">
        <f ca="1">L52</f>
        <v>1513061130</v>
      </c>
      <c r="R65" s="1011" t="s">
        <v>1962</v>
      </c>
    </row>
    <row r="66" spans="1:18" s="651" customFormat="1" ht="20.25" thickBot="1">
      <c r="A66" s="253" t="s">
        <v>20</v>
      </c>
      <c r="B66" s="235" t="s">
        <v>1840</v>
      </c>
      <c r="C66" s="13">
        <f ca="1">ROUND(C57*F66,0)</f>
        <v>13183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3363742</v>
      </c>
      <c r="R66" s="1007"/>
    </row>
    <row r="67" spans="1:18" s="651" customFormat="1" ht="15.75" thickBot="1">
      <c r="A67" s="253" t="s">
        <v>21</v>
      </c>
      <c r="B67" s="235" t="s">
        <v>1823</v>
      </c>
      <c r="C67" s="13">
        <f ca="1">ROUND(C49*F67,0)</f>
        <v>0</v>
      </c>
      <c r="D67" s="1258" t="s">
        <v>1846</v>
      </c>
      <c r="E67" s="235" t="s">
        <v>1842</v>
      </c>
      <c r="F67" s="245">
        <f t="shared" si="0"/>
        <v>0.01</v>
      </c>
      <c r="O67" s="1008" t="s">
        <v>775</v>
      </c>
      <c r="P67" s="1012" t="s">
        <v>1965</v>
      </c>
      <c r="Q67" s="1006">
        <f ca="1">C39</f>
        <v>4352470</v>
      </c>
      <c r="R67" s="1007" t="s">
        <v>1900</v>
      </c>
    </row>
    <row r="68" spans="1:18" ht="15.75" thickBot="1">
      <c r="A68" s="248" t="s">
        <v>22</v>
      </c>
      <c r="B68" s="41" t="s">
        <v>1850</v>
      </c>
      <c r="C68" s="250">
        <f ca="1">C49-C59</f>
        <v>-1360146</v>
      </c>
      <c r="D68" s="1255" t="s">
        <v>1851</v>
      </c>
      <c r="E68" s="1257"/>
      <c r="F68" s="268"/>
      <c r="H68" s="651"/>
      <c r="I68" s="651"/>
      <c r="J68" s="651"/>
      <c r="K68" s="651"/>
      <c r="L68" s="651"/>
      <c r="M68" s="651"/>
      <c r="O68" s="1008" t="s">
        <v>776</v>
      </c>
      <c r="P68" s="1012" t="s">
        <v>1966</v>
      </c>
      <c r="Q68" s="1006">
        <f ca="1">C13</f>
        <v>13183039</v>
      </c>
      <c r="R68" s="1007" t="s">
        <v>1900</v>
      </c>
    </row>
    <row r="69" spans="1:18" ht="15.75" thickBot="1">
      <c r="A69" s="232" t="s">
        <v>23</v>
      </c>
      <c r="B69" s="233" t="s">
        <v>1888</v>
      </c>
      <c r="C69" s="234">
        <f ca="1">ROUND(C68*(1-((1+F71)/(1+F69))^F70)/(F69-F71),0)</f>
        <v>-19355190</v>
      </c>
      <c r="D69" s="261" t="s">
        <v>1856</v>
      </c>
      <c r="E69" s="235" t="s">
        <v>1857</v>
      </c>
      <c r="F69" s="245">
        <f>F40</f>
        <v>0.06</v>
      </c>
      <c r="H69" s="651"/>
      <c r="I69" s="651"/>
      <c r="J69" s="651"/>
      <c r="K69" s="651"/>
      <c r="L69" s="651"/>
      <c r="M69" s="651"/>
      <c r="O69" s="1008" t="s">
        <v>777</v>
      </c>
      <c r="P69" s="1012" t="s">
        <v>1967</v>
      </c>
      <c r="Q69" s="1009">
        <f>J35</f>
        <v>7.4999999999999997E-2</v>
      </c>
      <c r="R69" s="1007"/>
    </row>
    <row r="70" spans="1:18" ht="15.75" thickBot="1">
      <c r="A70" s="237"/>
      <c r="B70" s="238"/>
      <c r="C70" s="239"/>
      <c r="D70" s="269" t="s">
        <v>1890</v>
      </c>
      <c r="E70" s="235" t="s">
        <v>1862</v>
      </c>
      <c r="F70" s="270">
        <f>F41</f>
        <v>33</v>
      </c>
      <c r="H70" s="651"/>
      <c r="I70" s="651"/>
      <c r="J70" s="651"/>
      <c r="K70" s="651"/>
      <c r="L70" s="651"/>
      <c r="M70" s="651"/>
      <c r="O70" s="1008" t="s">
        <v>771</v>
      </c>
      <c r="P70" s="1005" t="s">
        <v>1938</v>
      </c>
      <c r="Q70" s="1009">
        <f>L53</f>
        <v>0</v>
      </c>
      <c r="R70" s="1007"/>
    </row>
    <row r="71" spans="1:18" ht="20.25" thickBot="1">
      <c r="A71" s="241"/>
      <c r="B71" s="242"/>
      <c r="C71" s="243"/>
      <c r="D71" s="264"/>
      <c r="E71" s="235" t="s">
        <v>1866</v>
      </c>
      <c r="F71" s="993"/>
      <c r="H71" s="651"/>
      <c r="M71" s="651"/>
      <c r="O71" s="1008" t="s">
        <v>772</v>
      </c>
      <c r="P71" s="1005" t="s">
        <v>1941</v>
      </c>
      <c r="Q71" s="1006" t="e">
        <f>L59</f>
        <v>#DIV/0!</v>
      </c>
      <c r="R71" s="1007" t="s">
        <v>1942</v>
      </c>
    </row>
    <row r="72" spans="1:18" ht="15.75" thickBot="1">
      <c r="A72" s="271" t="s">
        <v>24</v>
      </c>
      <c r="B72" s="272" t="s">
        <v>1891</v>
      </c>
      <c r="C72" s="273">
        <f ca="1">ROUND(C69/F72,0)</f>
        <v>-8130</v>
      </c>
      <c r="D72" s="274" t="s">
        <v>1892</v>
      </c>
      <c r="E72" s="275" t="s">
        <v>1893</v>
      </c>
      <c r="F72" s="276">
        <f>F43</f>
        <v>2380.7600000000002</v>
      </c>
      <c r="O72" s="1008" t="s">
        <v>778</v>
      </c>
      <c r="P72" s="1005" t="str">
        <f>K60</f>
        <v>建筑物剩余耐用年限下的土地年期修正系数Kn</v>
      </c>
      <c r="Q72" s="1006" t="e">
        <f>L60</f>
        <v>#DIV/0!</v>
      </c>
      <c r="R72" s="1007" t="s">
        <v>1945</v>
      </c>
    </row>
    <row r="73" spans="1:18" ht="15.75" thickBot="1">
      <c r="A73" s="651"/>
      <c r="B73" s="655"/>
      <c r="C73" s="655"/>
      <c r="D73" s="651"/>
      <c r="E73" s="651"/>
      <c r="F73" s="651"/>
      <c r="O73" s="1004" t="s">
        <v>773</v>
      </c>
      <c r="P73" s="1005" t="str">
        <f>IF(C2="元","收益价值(元)","收益价值(万元)")</f>
        <v>收益价值(万元)</v>
      </c>
      <c r="Q73" s="1006">
        <f ca="1">ROUND(IF(C2="元",Q63+Q64,(Q63+Q64)/10000),0)</f>
        <v>8883</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XX预评估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CONCATENATE(项目基本情况!B3,"（注册号:",项目基本情况!C3,"）、",项目基本情况!D3,"（注册号:",项目基本情况!E3,")")</f>
        <v>（注册号:0）、（注册号:0)</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564" t="s">
        <v>2652</v>
      </c>
      <c r="K2" s="3565"/>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566" t="s">
        <v>2662</v>
      </c>
      <c r="K3" s="3567"/>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566" t="s">
        <v>2664</v>
      </c>
      <c r="K4" s="3567"/>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572" t="s">
        <v>2668</v>
      </c>
      <c r="B6" s="3573"/>
      <c r="C6" s="3574"/>
      <c r="D6" s="3153"/>
      <c r="E6" s="3097"/>
      <c r="F6" s="3098"/>
      <c r="G6" s="3198"/>
      <c r="H6" s="3184"/>
      <c r="I6" s="3185"/>
      <c r="J6" s="3558">
        <v>1</v>
      </c>
      <c r="K6" s="3559"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558"/>
      <c r="K7" s="3560"/>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575" t="s">
        <v>2681</v>
      </c>
      <c r="C8" s="3576"/>
      <c r="D8" s="3107" t="s">
        <v>2682</v>
      </c>
      <c r="E8" s="3108" t="s">
        <v>2683</v>
      </c>
      <c r="F8" s="3091" t="s">
        <v>2684</v>
      </c>
      <c r="G8" s="3261" t="s">
        <v>2792</v>
      </c>
      <c r="H8" s="3184"/>
      <c r="I8" s="3185"/>
      <c r="J8" s="3558"/>
      <c r="K8" s="3560"/>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575" t="s">
        <v>2686</v>
      </c>
      <c r="C9" s="3576"/>
      <c r="D9" s="3107">
        <f>ROUND(D6*E9,0)</f>
        <v>0</v>
      </c>
      <c r="E9" s="3154"/>
      <c r="F9" s="3109" t="s">
        <v>2687</v>
      </c>
      <c r="G9" s="3207" t="s">
        <v>2790</v>
      </c>
      <c r="H9" s="3184"/>
      <c r="I9" s="3185"/>
      <c r="J9" s="3558"/>
      <c r="K9" s="3560"/>
      <c r="L9" s="3202" t="s">
        <v>2780</v>
      </c>
      <c r="M9" s="3203"/>
      <c r="N9" s="3203"/>
      <c r="O9" s="3204"/>
      <c r="P9" s="3204"/>
      <c r="Q9" s="3205">
        <v>365</v>
      </c>
      <c r="R9" s="3206">
        <f t="shared" si="0"/>
        <v>0</v>
      </c>
      <c r="S9" s="3182"/>
      <c r="T9" s="3182"/>
      <c r="U9" s="3182"/>
      <c r="V9" s="3185"/>
      <c r="W9" s="3184"/>
    </row>
    <row r="10" spans="1:23" s="3090" customFormat="1" ht="13.15" customHeight="1">
      <c r="A10" s="3106">
        <v>2</v>
      </c>
      <c r="B10" s="3575" t="s">
        <v>2688</v>
      </c>
      <c r="C10" s="3576"/>
      <c r="D10" s="3107">
        <f>ROUND(D6*E10,0)</f>
        <v>0</v>
      </c>
      <c r="E10" s="3154"/>
      <c r="F10" s="3109" t="s">
        <v>2689</v>
      </c>
      <c r="G10" s="3207" t="s">
        <v>2791</v>
      </c>
      <c r="H10" s="3184"/>
      <c r="I10" s="3185"/>
      <c r="J10" s="3558"/>
      <c r="K10" s="3560"/>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575" t="s">
        <v>2690</v>
      </c>
      <c r="C11" s="3576"/>
      <c r="D11" s="3107">
        <f>D12+D14+D15+D16</f>
        <v>0</v>
      </c>
      <c r="E11" s="3110" t="e">
        <f>D11/D6</f>
        <v>#DIV/0!</v>
      </c>
      <c r="F11" s="3091"/>
      <c r="G11" s="3207"/>
      <c r="H11" s="3184"/>
      <c r="I11" s="3185"/>
      <c r="J11" s="3558"/>
      <c r="K11" s="3560"/>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568" t="s">
        <v>2692</v>
      </c>
      <c r="C12" s="3569"/>
      <c r="D12" s="3112">
        <f>ROUND(D13*1.2%*(1-30%),0)</f>
        <v>0</v>
      </c>
      <c r="E12" s="3113">
        <v>1.2E-2</v>
      </c>
      <c r="F12" s="3091" t="s">
        <v>2693</v>
      </c>
      <c r="G12" s="3207"/>
      <c r="H12" s="3184"/>
      <c r="I12" s="3185"/>
      <c r="J12" s="3558"/>
      <c r="K12" s="3560"/>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558"/>
      <c r="K13" s="3560"/>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568" t="s">
        <v>2696</v>
      </c>
      <c r="C14" s="3569"/>
      <c r="D14" s="3112">
        <f>ROUND(E14*B5/10000,0)</f>
        <v>0</v>
      </c>
      <c r="E14" s="3156"/>
      <c r="F14" s="3091" t="s">
        <v>2697</v>
      </c>
      <c r="G14" s="3207"/>
      <c r="H14" s="3184"/>
      <c r="I14" s="3185"/>
      <c r="J14" s="3558"/>
      <c r="K14" s="3561"/>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568" t="s">
        <v>2700</v>
      </c>
      <c r="C15" s="3569"/>
      <c r="D15" s="3112">
        <f>ROUND(D6*E15,0)</f>
        <v>0</v>
      </c>
      <c r="E15" s="3113">
        <v>5.5E-2</v>
      </c>
      <c r="F15" s="3091" t="s">
        <v>2701</v>
      </c>
      <c r="G15" s="3207"/>
      <c r="H15" s="3184"/>
      <c r="I15" s="3185"/>
      <c r="J15" s="3558">
        <v>2</v>
      </c>
      <c r="K15" s="3559"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568" t="s">
        <v>2711</v>
      </c>
      <c r="C16" s="3569"/>
      <c r="D16" s="3157">
        <f>D6*E16</f>
        <v>0</v>
      </c>
      <c r="E16" s="3158"/>
      <c r="F16" s="3109" t="s">
        <v>2712</v>
      </c>
      <c r="G16" s="3207"/>
      <c r="H16" s="3184"/>
      <c r="I16" s="3185"/>
      <c r="J16" s="3558"/>
      <c r="K16" s="3560"/>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0" t="s">
        <v>2713</v>
      </c>
      <c r="C17" s="3571"/>
      <c r="D17" s="3118">
        <f>ROUND(D6*E17,0)</f>
        <v>0</v>
      </c>
      <c r="E17" s="3159"/>
      <c r="F17" s="3119" t="s">
        <v>2714</v>
      </c>
      <c r="G17" s="3260">
        <v>0.1</v>
      </c>
      <c r="H17" s="3184"/>
      <c r="I17" s="3185"/>
      <c r="J17" s="3558"/>
      <c r="K17" s="3560"/>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558"/>
      <c r="K18" s="3560"/>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558"/>
      <c r="K19" s="3561"/>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58">
        <v>3</v>
      </c>
      <c r="K20" s="3559"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558"/>
      <c r="K21" s="3560"/>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558"/>
      <c r="K22" s="3560"/>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558"/>
      <c r="K23" s="3560"/>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558"/>
      <c r="K24" s="3561"/>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562">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563"/>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564" t="s">
        <v>2750</v>
      </c>
      <c r="K32" s="3565"/>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566" t="s">
        <v>2754</v>
      </c>
      <c r="K33" s="3567"/>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566" t="s">
        <v>2756</v>
      </c>
      <c r="K34" s="3567"/>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558">
        <v>1</v>
      </c>
      <c r="K36" s="3559"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558"/>
      <c r="K37" s="3560"/>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58"/>
      <c r="K38" s="3560"/>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558"/>
      <c r="K39" s="3560"/>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558"/>
      <c r="K40" s="3561"/>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62">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563"/>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B38" sqref="B3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1969</v>
      </c>
      <c r="B2" s="250" t="e">
        <f>B23</f>
        <v>#N/A</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1970</v>
      </c>
      <c r="B3" s="250" t="e">
        <f>B24</f>
        <v>#N/A</v>
      </c>
      <c r="C3" s="859" t="s">
        <v>1971</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1972</v>
      </c>
      <c r="C4" s="3580" t="s">
        <v>1973</v>
      </c>
      <c r="D4" s="3581"/>
      <c r="E4" s="3581"/>
      <c r="F4" s="3581"/>
      <c r="G4" s="3581"/>
      <c r="H4" s="3581"/>
      <c r="I4" s="3581"/>
      <c r="J4" s="3581"/>
      <c r="K4" s="3581"/>
      <c r="L4" s="3581"/>
      <c r="M4" s="3581"/>
      <c r="N4" s="3581"/>
      <c r="O4" s="3581"/>
      <c r="P4" s="3581"/>
      <c r="Q4" s="3581"/>
      <c r="R4" s="3581"/>
      <c r="S4" s="3582"/>
      <c r="T4" s="575" t="s">
        <v>1974</v>
      </c>
      <c r="U4" s="956"/>
      <c r="V4" s="956"/>
      <c r="X4" s="956"/>
      <c r="Y4" s="956"/>
    </row>
    <row r="5" spans="1:44" s="587" customFormat="1">
      <c r="A5" s="960"/>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4" customFormat="1">
      <c r="A6" s="961"/>
      <c r="B6" s="588"/>
      <c r="C6" s="589"/>
      <c r="D6" s="590"/>
      <c r="E6" s="590"/>
      <c r="F6" s="590"/>
      <c r="G6" s="590"/>
      <c r="H6" s="590"/>
      <c r="I6" s="590"/>
      <c r="J6" s="591"/>
      <c r="K6" s="591"/>
      <c r="L6" s="592"/>
      <c r="M6" s="822"/>
      <c r="N6" s="824"/>
      <c r="O6" s="590"/>
      <c r="P6" s="590"/>
      <c r="Q6" s="590"/>
      <c r="R6" s="590"/>
      <c r="S6" s="870"/>
      <c r="T6" s="593"/>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962"/>
      <c r="B7" s="839"/>
      <c r="C7" s="840"/>
      <c r="D7" s="841"/>
      <c r="E7" s="841"/>
      <c r="F7" s="841"/>
      <c r="G7" s="841"/>
      <c r="H7" s="841"/>
      <c r="I7" s="841"/>
      <c r="J7" s="841"/>
      <c r="K7" s="841"/>
      <c r="L7" s="841"/>
      <c r="M7" s="842"/>
      <c r="N7" s="843"/>
      <c r="O7" s="841"/>
      <c r="P7" s="841"/>
      <c r="Q7" s="841"/>
      <c r="R7" s="841"/>
      <c r="S7" s="871"/>
      <c r="T7" s="596"/>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c r="A8" s="963"/>
      <c r="B8" s="852" t="s">
        <v>1976</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1977</v>
      </c>
      <c r="C10" s="829"/>
      <c r="D10" s="830"/>
      <c r="E10" s="830"/>
      <c r="F10" s="830"/>
      <c r="G10" s="830"/>
      <c r="H10" s="830"/>
      <c r="I10" s="830"/>
      <c r="J10" s="830"/>
      <c r="K10" s="830"/>
      <c r="L10" s="830"/>
      <c r="M10" s="832"/>
      <c r="N10" s="823"/>
      <c r="O10" s="825"/>
      <c r="P10" s="826"/>
      <c r="Q10" s="827"/>
      <c r="R10" s="828"/>
      <c r="S10" s="874"/>
      <c r="T10" s="595"/>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1978</v>
      </c>
      <c r="C12" s="829"/>
      <c r="D12" s="830"/>
      <c r="E12" s="830"/>
      <c r="F12" s="830"/>
      <c r="G12" s="830"/>
      <c r="H12" s="830"/>
      <c r="I12" s="830"/>
      <c r="J12" s="830"/>
      <c r="K12" s="830"/>
      <c r="L12" s="831"/>
      <c r="M12" s="832"/>
      <c r="N12" s="823"/>
      <c r="O12" s="825"/>
      <c r="P12" s="826"/>
      <c r="Q12" s="827"/>
      <c r="R12" s="828"/>
      <c r="S12" s="874"/>
      <c r="T12" s="595"/>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6"/>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1979</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1980</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1981</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6"/>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1982</v>
      </c>
      <c r="B20" s="1480" t="s">
        <v>1983</v>
      </c>
      <c r="C20" s="964" t="s">
        <v>3031</v>
      </c>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1984</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1985</v>
      </c>
      <c r="B23" s="224" t="e">
        <f>IF(F23="——",IF(C23="万元",T25,S25),IF(C23="万元",T25-H23,S25-H23))</f>
        <v>#N/A</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4"/>
      <c r="S23" s="31"/>
      <c r="T23" s="31"/>
      <c r="U23" s="956"/>
      <c r="V23" s="957"/>
      <c r="W23" s="661"/>
      <c r="X23" s="661"/>
      <c r="Y23" s="661"/>
      <c r="Z23" s="661"/>
    </row>
    <row r="24" spans="1:45" ht="15.75">
      <c r="A24" s="1482" t="s">
        <v>1986</v>
      </c>
      <c r="B24" s="224" t="e">
        <f>ROUND(B23*10000/B25,0)</f>
        <v>#N/A</v>
      </c>
      <c r="C24" s="821"/>
      <c r="D24" s="37"/>
      <c r="E24" s="37"/>
      <c r="F24" s="37"/>
      <c r="G24" s="37"/>
      <c r="H24" s="37"/>
      <c r="I24" s="37"/>
      <c r="J24" s="37"/>
      <c r="K24" s="37"/>
      <c r="L24" s="37"/>
      <c r="M24" s="37"/>
      <c r="N24" s="37"/>
      <c r="O24" s="37"/>
      <c r="P24" s="37"/>
      <c r="Q24" s="37"/>
      <c r="R24" s="644"/>
      <c r="S24" s="13" t="s">
        <v>1987</v>
      </c>
      <c r="T24" s="1259" t="s">
        <v>1988</v>
      </c>
      <c r="U24" s="2172" t="s">
        <v>1989</v>
      </c>
      <c r="V24" s="2905"/>
      <c r="W24" s="2906" t="s">
        <v>1990</v>
      </c>
      <c r="X24" s="2172" t="s">
        <v>1991</v>
      </c>
      <c r="Y24" s="2905"/>
      <c r="Z24" s="2907" t="s">
        <v>1990</v>
      </c>
    </row>
    <row r="25" spans="1:45">
      <c r="A25" s="250" t="s">
        <v>1992</v>
      </c>
      <c r="B25" s="13">
        <f>SUM(B27:B10000)</f>
        <v>2380.7600000000002</v>
      </c>
      <c r="C25" s="3577" t="s">
        <v>45</v>
      </c>
      <c r="D25" s="3578"/>
      <c r="E25" s="3578"/>
      <c r="F25" s="3578"/>
      <c r="G25" s="3578"/>
      <c r="H25" s="3578"/>
      <c r="I25" s="3578"/>
      <c r="J25" s="3578"/>
      <c r="K25" s="3578"/>
      <c r="L25" s="3578"/>
      <c r="M25" s="3578"/>
      <c r="N25" s="3578"/>
      <c r="O25" s="3578"/>
      <c r="P25" s="3578"/>
      <c r="Q25" s="3579"/>
      <c r="R25" s="597" t="e">
        <f>IF(C23="万元",ROUND(T25*10000/B25,0),ROUND(S25/B25,0))</f>
        <v>#N/A</v>
      </c>
      <c r="S25" s="13" t="e">
        <f>SUM(S27:S10000)</f>
        <v>#N/A</v>
      </c>
      <c r="T25" s="13" t="e">
        <f>SUM(T27:T10000)</f>
        <v>#N/A</v>
      </c>
      <c r="U25" s="17">
        <f>SUM(U27:U10000)</f>
        <v>0</v>
      </c>
      <c r="V25" s="17">
        <f>SUM(V27:V10000)</f>
        <v>0</v>
      </c>
      <c r="W25" s="2909"/>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2" t="s">
        <v>1998</v>
      </c>
      <c r="V26" s="682" t="s">
        <v>1999</v>
      </c>
      <c r="W26" s="10" t="s">
        <v>2000</v>
      </c>
      <c r="X26" s="682" t="s">
        <v>1998</v>
      </c>
      <c r="Y26" s="682" t="s">
        <v>1999</v>
      </c>
      <c r="Z26" s="10" t="s">
        <v>2000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730">
        <v>301</v>
      </c>
      <c r="B27" s="3731">
        <f>'数据-取费表'!E5</f>
        <v>362.15</v>
      </c>
      <c r="C27" s="858">
        <v>1</v>
      </c>
      <c r="D27" s="600"/>
      <c r="E27" s="858">
        <v>1</v>
      </c>
      <c r="F27" s="600"/>
      <c r="G27" s="858">
        <v>1</v>
      </c>
      <c r="H27" s="600"/>
      <c r="I27" s="858">
        <v>1</v>
      </c>
      <c r="J27" s="600"/>
      <c r="K27" s="858">
        <v>1</v>
      </c>
      <c r="L27" s="600"/>
      <c r="M27" s="858">
        <v>1</v>
      </c>
      <c r="N27" s="600"/>
      <c r="O27" s="858">
        <v>1</v>
      </c>
      <c r="P27" s="600"/>
      <c r="Q27" s="858">
        <v>1</v>
      </c>
      <c r="R27" s="864"/>
      <c r="S27" s="599">
        <f>ROUND(R27*B27,0)</f>
        <v>0</v>
      </c>
      <c r="T27" s="599">
        <f>ROUND(R27*B27/10000,0)</f>
        <v>0</v>
      </c>
      <c r="U27" s="2908">
        <f>ROUND(W27*B27,0)</f>
        <v>0</v>
      </c>
      <c r="V27" s="2908">
        <f>ROUND(W27*B27/10000,0)</f>
        <v>0</v>
      </c>
      <c r="W27" s="954"/>
      <c r="X27" s="2908">
        <f>ROUND(Z27*B27,0)</f>
        <v>0</v>
      </c>
      <c r="Y27" s="2908">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2684">
        <v>302</v>
      </c>
      <c r="B28" s="2684">
        <v>222.01</v>
      </c>
      <c r="C28" s="13" t="e">
        <f t="shared" ref="C28:C91" si="14">IF(B28="",1,(LOOKUP(B28,$6:$6,$7:$7)-LOOKUP($B$27,$6:$6,$7:$7)+100)/100)</f>
        <v>#N/A</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7" t="e">
        <f>IF(B28="",0,ROUND($R$27*C28*E28*G28*I28*K28*M28*O28*Q28,0))</f>
        <v>#N/A</v>
      </c>
      <c r="S28" s="250" t="e">
        <f>ROUND(R28*B28,0)</f>
        <v>#N/A</v>
      </c>
      <c r="T28" s="858" t="e">
        <f>ROUND(R28*B28/10000,0)</f>
        <v>#N/A</v>
      </c>
      <c r="U28" s="2908">
        <f t="shared" ref="U28:U91" si="22">ROUND(W28*B28,0)</f>
        <v>0</v>
      </c>
      <c r="V28" s="2908">
        <f t="shared" ref="V28:V91" si="23">ROUND(W28*B28/10000,0)</f>
        <v>0</v>
      </c>
      <c r="W28" s="955"/>
      <c r="X28" s="2908">
        <f t="shared" ref="X28:X91" si="24">ROUND(Z28*B28,0)</f>
        <v>0</v>
      </c>
      <c r="Y28" s="2908">
        <f t="shared" ref="Y28:Y91" si="25">ROUND(Z28*B28/10000,0)</f>
        <v>0</v>
      </c>
      <c r="Z28" s="955"/>
    </row>
    <row r="29" spans="1:45">
      <c r="A29" s="2684">
        <v>303</v>
      </c>
      <c r="B29" s="2684">
        <v>224.03</v>
      </c>
      <c r="C29" s="13" t="e">
        <f t="shared" si="14"/>
        <v>#N/A</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7" t="e">
        <f t="shared" ref="R29:R92" si="26">IF(B29="",0,ROUND($R$27*C29*E29*G29*I29*K29*M29*O29*Q29,0))</f>
        <v>#N/A</v>
      </c>
      <c r="S29" s="250" t="e">
        <f t="shared" ref="S29:S92" si="27">ROUND(R29*B29,0)</f>
        <v>#N/A</v>
      </c>
      <c r="T29" s="858" t="e">
        <f t="shared" ref="T29:T92" si="28">ROUND(R29*B29/10000,0)</f>
        <v>#N/A</v>
      </c>
      <c r="U29" s="2908">
        <f t="shared" si="22"/>
        <v>0</v>
      </c>
      <c r="V29" s="2908">
        <f t="shared" si="23"/>
        <v>0</v>
      </c>
      <c r="W29" s="955"/>
      <c r="X29" s="2908">
        <f t="shared" si="24"/>
        <v>0</v>
      </c>
      <c r="Y29" s="2908">
        <f t="shared" si="25"/>
        <v>0</v>
      </c>
      <c r="Z29" s="955"/>
    </row>
    <row r="30" spans="1:45">
      <c r="A30" s="2684">
        <v>304</v>
      </c>
      <c r="B30" s="2684">
        <v>248.77</v>
      </c>
      <c r="C30" s="13" t="e">
        <f t="shared" si="14"/>
        <v>#N/A</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7" t="e">
        <f t="shared" si="26"/>
        <v>#N/A</v>
      </c>
      <c r="S30" s="250" t="e">
        <f t="shared" si="27"/>
        <v>#N/A</v>
      </c>
      <c r="T30" s="858" t="e">
        <f t="shared" si="28"/>
        <v>#N/A</v>
      </c>
      <c r="U30" s="2908">
        <f t="shared" si="22"/>
        <v>0</v>
      </c>
      <c r="V30" s="2908">
        <f t="shared" si="23"/>
        <v>0</v>
      </c>
      <c r="W30" s="955"/>
      <c r="X30" s="2908">
        <f t="shared" si="24"/>
        <v>0</v>
      </c>
      <c r="Y30" s="2908">
        <f t="shared" si="25"/>
        <v>0</v>
      </c>
      <c r="Z30" s="955"/>
    </row>
    <row r="31" spans="1:45">
      <c r="A31" s="2684">
        <v>305</v>
      </c>
      <c r="B31" s="2684">
        <v>1067.93</v>
      </c>
      <c r="C31" s="13" t="e">
        <f t="shared" si="14"/>
        <v>#N/A</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7" t="e">
        <f t="shared" si="26"/>
        <v>#N/A</v>
      </c>
      <c r="S31" s="250" t="e">
        <f t="shared" si="27"/>
        <v>#N/A</v>
      </c>
      <c r="T31" s="858" t="e">
        <f t="shared" si="28"/>
        <v>#N/A</v>
      </c>
      <c r="U31" s="2908">
        <f t="shared" si="22"/>
        <v>0</v>
      </c>
      <c r="V31" s="2908">
        <f t="shared" si="23"/>
        <v>0</v>
      </c>
      <c r="W31" s="955"/>
      <c r="X31" s="2908">
        <f t="shared" si="24"/>
        <v>0</v>
      </c>
      <c r="Y31" s="2908">
        <f t="shared" si="25"/>
        <v>0</v>
      </c>
      <c r="Z31" s="955"/>
    </row>
    <row r="32" spans="1:45">
      <c r="A32" s="2684">
        <v>306</v>
      </c>
      <c r="B32" s="2684">
        <v>86.13</v>
      </c>
      <c r="C32" s="13" t="e">
        <f t="shared" si="14"/>
        <v>#N/A</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7" t="e">
        <f t="shared" si="26"/>
        <v>#N/A</v>
      </c>
      <c r="S32" s="250" t="e">
        <f t="shared" si="27"/>
        <v>#N/A</v>
      </c>
      <c r="T32" s="858" t="e">
        <f t="shared" si="28"/>
        <v>#N/A</v>
      </c>
      <c r="U32" s="2908">
        <f t="shared" si="22"/>
        <v>0</v>
      </c>
      <c r="V32" s="2908">
        <f t="shared" si="23"/>
        <v>0</v>
      </c>
      <c r="W32" s="955"/>
      <c r="X32" s="2908">
        <f t="shared" si="24"/>
        <v>0</v>
      </c>
      <c r="Y32" s="2908">
        <f t="shared" si="25"/>
        <v>0</v>
      </c>
      <c r="Z32" s="955"/>
    </row>
    <row r="33" spans="1:26">
      <c r="A33" s="2684">
        <v>307</v>
      </c>
      <c r="B33" s="2684">
        <v>169.74</v>
      </c>
      <c r="C33" s="13" t="e">
        <f t="shared" si="14"/>
        <v>#N/A</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7" t="e">
        <f t="shared" si="26"/>
        <v>#N/A</v>
      </c>
      <c r="S33" s="250" t="e">
        <f t="shared" si="27"/>
        <v>#N/A</v>
      </c>
      <c r="T33" s="858" t="e">
        <f t="shared" si="28"/>
        <v>#N/A</v>
      </c>
      <c r="U33" s="2908">
        <f t="shared" si="22"/>
        <v>0</v>
      </c>
      <c r="V33" s="2908">
        <f t="shared" si="23"/>
        <v>0</v>
      </c>
      <c r="W33" s="955"/>
      <c r="X33" s="2908">
        <f t="shared" si="24"/>
        <v>0</v>
      </c>
      <c r="Y33" s="2908">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7">
        <f t="shared" si="26"/>
        <v>0</v>
      </c>
      <c r="S34" s="250">
        <f t="shared" si="27"/>
        <v>0</v>
      </c>
      <c r="T34" s="858">
        <f t="shared" si="28"/>
        <v>0</v>
      </c>
      <c r="U34" s="2908">
        <f t="shared" si="22"/>
        <v>0</v>
      </c>
      <c r="V34" s="2908">
        <f t="shared" si="23"/>
        <v>0</v>
      </c>
      <c r="W34" s="955"/>
      <c r="X34" s="2908">
        <f t="shared" si="24"/>
        <v>0</v>
      </c>
      <c r="Y34" s="2908">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7">
        <f t="shared" si="26"/>
        <v>0</v>
      </c>
      <c r="S35" s="250">
        <f t="shared" si="27"/>
        <v>0</v>
      </c>
      <c r="T35" s="858">
        <f t="shared" si="28"/>
        <v>0</v>
      </c>
      <c r="U35" s="2908">
        <f t="shared" si="22"/>
        <v>0</v>
      </c>
      <c r="V35" s="2908">
        <f t="shared" si="23"/>
        <v>0</v>
      </c>
      <c r="W35" s="955"/>
      <c r="X35" s="2908">
        <f t="shared" si="24"/>
        <v>0</v>
      </c>
      <c r="Y35" s="2908">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7">
        <f t="shared" si="26"/>
        <v>0</v>
      </c>
      <c r="S36" s="250">
        <f t="shared" si="27"/>
        <v>0</v>
      </c>
      <c r="T36" s="858">
        <f t="shared" si="28"/>
        <v>0</v>
      </c>
      <c r="U36" s="2908">
        <f t="shared" si="22"/>
        <v>0</v>
      </c>
      <c r="V36" s="2908">
        <f t="shared" si="23"/>
        <v>0</v>
      </c>
      <c r="W36" s="955"/>
      <c r="X36" s="2908">
        <f t="shared" si="24"/>
        <v>0</v>
      </c>
      <c r="Y36" s="2908">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7">
        <f t="shared" si="26"/>
        <v>0</v>
      </c>
      <c r="S37" s="250">
        <f t="shared" si="27"/>
        <v>0</v>
      </c>
      <c r="T37" s="858">
        <f t="shared" si="28"/>
        <v>0</v>
      </c>
      <c r="U37" s="2908">
        <f t="shared" si="22"/>
        <v>0</v>
      </c>
      <c r="V37" s="2908">
        <f t="shared" si="23"/>
        <v>0</v>
      </c>
      <c r="W37" s="955"/>
      <c r="X37" s="2908">
        <f t="shared" si="24"/>
        <v>0</v>
      </c>
      <c r="Y37" s="2908">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7">
        <f t="shared" si="26"/>
        <v>0</v>
      </c>
      <c r="S38" s="250">
        <f t="shared" si="27"/>
        <v>0</v>
      </c>
      <c r="T38" s="858">
        <f t="shared" si="28"/>
        <v>0</v>
      </c>
      <c r="U38" s="2908">
        <f t="shared" si="22"/>
        <v>0</v>
      </c>
      <c r="V38" s="2908">
        <f t="shared" si="23"/>
        <v>0</v>
      </c>
      <c r="W38" s="955"/>
      <c r="X38" s="2908">
        <f t="shared" si="24"/>
        <v>0</v>
      </c>
      <c r="Y38" s="2908">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7">
        <f t="shared" si="26"/>
        <v>0</v>
      </c>
      <c r="S39" s="250">
        <f t="shared" si="27"/>
        <v>0</v>
      </c>
      <c r="T39" s="858">
        <f t="shared" si="28"/>
        <v>0</v>
      </c>
      <c r="U39" s="2908">
        <f t="shared" si="22"/>
        <v>0</v>
      </c>
      <c r="V39" s="2908">
        <f t="shared" si="23"/>
        <v>0</v>
      </c>
      <c r="W39" s="955"/>
      <c r="X39" s="2908">
        <f t="shared" si="24"/>
        <v>0</v>
      </c>
      <c r="Y39" s="2908">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7">
        <f t="shared" si="26"/>
        <v>0</v>
      </c>
      <c r="S40" s="250">
        <f t="shared" si="27"/>
        <v>0</v>
      </c>
      <c r="T40" s="858">
        <f t="shared" si="28"/>
        <v>0</v>
      </c>
      <c r="U40" s="2908">
        <f t="shared" si="22"/>
        <v>0</v>
      </c>
      <c r="V40" s="2908">
        <f t="shared" si="23"/>
        <v>0</v>
      </c>
      <c r="W40" s="955"/>
      <c r="X40" s="2908">
        <f t="shared" si="24"/>
        <v>0</v>
      </c>
      <c r="Y40" s="2908">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7">
        <f t="shared" si="26"/>
        <v>0</v>
      </c>
      <c r="S41" s="250">
        <f t="shared" si="27"/>
        <v>0</v>
      </c>
      <c r="T41" s="858">
        <f t="shared" si="28"/>
        <v>0</v>
      </c>
      <c r="U41" s="2908">
        <f t="shared" si="22"/>
        <v>0</v>
      </c>
      <c r="V41" s="2908">
        <f t="shared" si="23"/>
        <v>0</v>
      </c>
      <c r="W41" s="955"/>
      <c r="X41" s="2908">
        <f t="shared" si="24"/>
        <v>0</v>
      </c>
      <c r="Y41" s="2908">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7">
        <f t="shared" si="26"/>
        <v>0</v>
      </c>
      <c r="S42" s="250">
        <f t="shared" si="27"/>
        <v>0</v>
      </c>
      <c r="T42" s="858">
        <f t="shared" si="28"/>
        <v>0</v>
      </c>
      <c r="U42" s="2908">
        <f t="shared" si="22"/>
        <v>0</v>
      </c>
      <c r="V42" s="2908">
        <f t="shared" si="23"/>
        <v>0</v>
      </c>
      <c r="W42" s="955"/>
      <c r="X42" s="2908">
        <f t="shared" si="24"/>
        <v>0</v>
      </c>
      <c r="Y42" s="2908">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7">
        <f t="shared" si="26"/>
        <v>0</v>
      </c>
      <c r="S43" s="250">
        <f t="shared" si="27"/>
        <v>0</v>
      </c>
      <c r="T43" s="858">
        <f t="shared" si="28"/>
        <v>0</v>
      </c>
      <c r="U43" s="2908">
        <f t="shared" si="22"/>
        <v>0</v>
      </c>
      <c r="V43" s="2908">
        <f t="shared" si="23"/>
        <v>0</v>
      </c>
      <c r="W43" s="955"/>
      <c r="X43" s="2908">
        <f t="shared" si="24"/>
        <v>0</v>
      </c>
      <c r="Y43" s="2908">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7">
        <f t="shared" si="26"/>
        <v>0</v>
      </c>
      <c r="S44" s="250">
        <f t="shared" si="27"/>
        <v>0</v>
      </c>
      <c r="T44" s="858">
        <f t="shared" si="28"/>
        <v>0</v>
      </c>
      <c r="U44" s="2908">
        <f t="shared" si="22"/>
        <v>0</v>
      </c>
      <c r="V44" s="2908">
        <f t="shared" si="23"/>
        <v>0</v>
      </c>
      <c r="W44" s="955"/>
      <c r="X44" s="2908">
        <f t="shared" si="24"/>
        <v>0</v>
      </c>
      <c r="Y44" s="2908">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7">
        <f t="shared" si="26"/>
        <v>0</v>
      </c>
      <c r="S45" s="250">
        <f t="shared" si="27"/>
        <v>0</v>
      </c>
      <c r="T45" s="858">
        <f t="shared" si="28"/>
        <v>0</v>
      </c>
      <c r="U45" s="2908">
        <f t="shared" si="22"/>
        <v>0</v>
      </c>
      <c r="V45" s="2908">
        <f t="shared" si="23"/>
        <v>0</v>
      </c>
      <c r="W45" s="955"/>
      <c r="X45" s="2908">
        <f t="shared" si="24"/>
        <v>0</v>
      </c>
      <c r="Y45" s="2908">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7">
        <f t="shared" si="26"/>
        <v>0</v>
      </c>
      <c r="S46" s="250">
        <f t="shared" si="27"/>
        <v>0</v>
      </c>
      <c r="T46" s="858">
        <f t="shared" si="28"/>
        <v>0</v>
      </c>
      <c r="U46" s="2908">
        <f t="shared" si="22"/>
        <v>0</v>
      </c>
      <c r="V46" s="2908">
        <f t="shared" si="23"/>
        <v>0</v>
      </c>
      <c r="W46" s="955"/>
      <c r="X46" s="2908">
        <f t="shared" si="24"/>
        <v>0</v>
      </c>
      <c r="Y46" s="2908">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7">
        <f t="shared" si="26"/>
        <v>0</v>
      </c>
      <c r="S47" s="250">
        <f t="shared" si="27"/>
        <v>0</v>
      </c>
      <c r="T47" s="858">
        <f t="shared" si="28"/>
        <v>0</v>
      </c>
      <c r="U47" s="2908">
        <f t="shared" si="22"/>
        <v>0</v>
      </c>
      <c r="V47" s="2908">
        <f t="shared" si="23"/>
        <v>0</v>
      </c>
      <c r="W47" s="955"/>
      <c r="X47" s="2908">
        <f t="shared" si="24"/>
        <v>0</v>
      </c>
      <c r="Y47" s="2908">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7">
        <f t="shared" si="26"/>
        <v>0</v>
      </c>
      <c r="S48" s="250">
        <f t="shared" si="27"/>
        <v>0</v>
      </c>
      <c r="T48" s="858">
        <f t="shared" si="28"/>
        <v>0</v>
      </c>
      <c r="U48" s="2908">
        <f t="shared" si="22"/>
        <v>0</v>
      </c>
      <c r="V48" s="2908">
        <f t="shared" si="23"/>
        <v>0</v>
      </c>
      <c r="W48" s="955"/>
      <c r="X48" s="2908">
        <f t="shared" si="24"/>
        <v>0</v>
      </c>
      <c r="Y48" s="2908">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7">
        <f t="shared" si="26"/>
        <v>0</v>
      </c>
      <c r="S49" s="250">
        <f t="shared" si="27"/>
        <v>0</v>
      </c>
      <c r="T49" s="858">
        <f t="shared" si="28"/>
        <v>0</v>
      </c>
      <c r="U49" s="2908">
        <f t="shared" si="22"/>
        <v>0</v>
      </c>
      <c r="V49" s="2908">
        <f t="shared" si="23"/>
        <v>0</v>
      </c>
      <c r="W49" s="955"/>
      <c r="X49" s="2908">
        <f t="shared" si="24"/>
        <v>0</v>
      </c>
      <c r="Y49" s="2908">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7">
        <f t="shared" si="26"/>
        <v>0</v>
      </c>
      <c r="S50" s="250">
        <f t="shared" si="27"/>
        <v>0</v>
      </c>
      <c r="T50" s="858">
        <f t="shared" si="28"/>
        <v>0</v>
      </c>
      <c r="U50" s="2908">
        <f t="shared" si="22"/>
        <v>0</v>
      </c>
      <c r="V50" s="2908">
        <f t="shared" si="23"/>
        <v>0</v>
      </c>
      <c r="W50" s="955"/>
      <c r="X50" s="2908">
        <f t="shared" si="24"/>
        <v>0</v>
      </c>
      <c r="Y50" s="2908">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7">
        <f t="shared" si="26"/>
        <v>0</v>
      </c>
      <c r="S51" s="250">
        <f t="shared" si="27"/>
        <v>0</v>
      </c>
      <c r="T51" s="858">
        <f t="shared" si="28"/>
        <v>0</v>
      </c>
      <c r="U51" s="2908">
        <f t="shared" si="22"/>
        <v>0</v>
      </c>
      <c r="V51" s="2908">
        <f t="shared" si="23"/>
        <v>0</v>
      </c>
      <c r="W51" s="955"/>
      <c r="X51" s="2908">
        <f t="shared" si="24"/>
        <v>0</v>
      </c>
      <c r="Y51" s="2908">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7">
        <f t="shared" si="26"/>
        <v>0</v>
      </c>
      <c r="S52" s="250">
        <f t="shared" si="27"/>
        <v>0</v>
      </c>
      <c r="T52" s="858">
        <f t="shared" si="28"/>
        <v>0</v>
      </c>
      <c r="U52" s="2908">
        <f t="shared" si="22"/>
        <v>0</v>
      </c>
      <c r="V52" s="2908">
        <f t="shared" si="23"/>
        <v>0</v>
      </c>
      <c r="W52" s="955"/>
      <c r="X52" s="2908">
        <f t="shared" si="24"/>
        <v>0</v>
      </c>
      <c r="Y52" s="2908">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7">
        <f t="shared" si="26"/>
        <v>0</v>
      </c>
      <c r="S53" s="250">
        <f t="shared" si="27"/>
        <v>0</v>
      </c>
      <c r="T53" s="858">
        <f t="shared" si="28"/>
        <v>0</v>
      </c>
      <c r="U53" s="2908">
        <f t="shared" si="22"/>
        <v>0</v>
      </c>
      <c r="V53" s="2908">
        <f t="shared" si="23"/>
        <v>0</v>
      </c>
      <c r="W53" s="955"/>
      <c r="X53" s="2908">
        <f t="shared" si="24"/>
        <v>0</v>
      </c>
      <c r="Y53" s="2908">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7">
        <f t="shared" si="26"/>
        <v>0</v>
      </c>
      <c r="S54" s="250">
        <f t="shared" si="27"/>
        <v>0</v>
      </c>
      <c r="T54" s="858">
        <f t="shared" si="28"/>
        <v>0</v>
      </c>
      <c r="U54" s="2908">
        <f t="shared" si="22"/>
        <v>0</v>
      </c>
      <c r="V54" s="2908">
        <f t="shared" si="23"/>
        <v>0</v>
      </c>
      <c r="W54" s="955"/>
      <c r="X54" s="2908">
        <f t="shared" si="24"/>
        <v>0</v>
      </c>
      <c r="Y54" s="2908">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7">
        <f t="shared" si="26"/>
        <v>0</v>
      </c>
      <c r="S55" s="250">
        <f t="shared" si="27"/>
        <v>0</v>
      </c>
      <c r="T55" s="858">
        <f t="shared" si="28"/>
        <v>0</v>
      </c>
      <c r="U55" s="2908">
        <f t="shared" si="22"/>
        <v>0</v>
      </c>
      <c r="V55" s="2908">
        <f t="shared" si="23"/>
        <v>0</v>
      </c>
      <c r="W55" s="955"/>
      <c r="X55" s="2908">
        <f t="shared" si="24"/>
        <v>0</v>
      </c>
      <c r="Y55" s="2908">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7">
        <f t="shared" si="26"/>
        <v>0</v>
      </c>
      <c r="S56" s="250">
        <f t="shared" si="27"/>
        <v>0</v>
      </c>
      <c r="T56" s="858">
        <f t="shared" si="28"/>
        <v>0</v>
      </c>
      <c r="U56" s="2908">
        <f t="shared" si="22"/>
        <v>0</v>
      </c>
      <c r="V56" s="2908">
        <f t="shared" si="23"/>
        <v>0</v>
      </c>
      <c r="W56" s="955"/>
      <c r="X56" s="2908">
        <f t="shared" si="24"/>
        <v>0</v>
      </c>
      <c r="Y56" s="2908">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7">
        <f t="shared" si="26"/>
        <v>0</v>
      </c>
      <c r="S57" s="250">
        <f t="shared" si="27"/>
        <v>0</v>
      </c>
      <c r="T57" s="858">
        <f t="shared" si="28"/>
        <v>0</v>
      </c>
      <c r="U57" s="2908">
        <f t="shared" si="22"/>
        <v>0</v>
      </c>
      <c r="V57" s="2908">
        <f t="shared" si="23"/>
        <v>0</v>
      </c>
      <c r="W57" s="955"/>
      <c r="X57" s="2908">
        <f t="shared" si="24"/>
        <v>0</v>
      </c>
      <c r="Y57" s="2908">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7">
        <f t="shared" si="26"/>
        <v>0</v>
      </c>
      <c r="S58" s="250">
        <f t="shared" si="27"/>
        <v>0</v>
      </c>
      <c r="T58" s="858">
        <f t="shared" si="28"/>
        <v>0</v>
      </c>
      <c r="U58" s="2908">
        <f t="shared" si="22"/>
        <v>0</v>
      </c>
      <c r="V58" s="2908">
        <f t="shared" si="23"/>
        <v>0</v>
      </c>
      <c r="W58" s="955"/>
      <c r="X58" s="2908">
        <f t="shared" si="24"/>
        <v>0</v>
      </c>
      <c r="Y58" s="2908">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7">
        <f t="shared" si="26"/>
        <v>0</v>
      </c>
      <c r="S59" s="250">
        <f t="shared" si="27"/>
        <v>0</v>
      </c>
      <c r="T59" s="858">
        <f t="shared" si="28"/>
        <v>0</v>
      </c>
      <c r="U59" s="2908">
        <f t="shared" si="22"/>
        <v>0</v>
      </c>
      <c r="V59" s="2908">
        <f t="shared" si="23"/>
        <v>0</v>
      </c>
      <c r="W59" s="955"/>
      <c r="X59" s="2908">
        <f t="shared" si="24"/>
        <v>0</v>
      </c>
      <c r="Y59" s="2908">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7">
        <f t="shared" si="26"/>
        <v>0</v>
      </c>
      <c r="S60" s="250">
        <f t="shared" si="27"/>
        <v>0</v>
      </c>
      <c r="T60" s="858">
        <f t="shared" si="28"/>
        <v>0</v>
      </c>
      <c r="U60" s="2908">
        <f t="shared" si="22"/>
        <v>0</v>
      </c>
      <c r="V60" s="2908">
        <f t="shared" si="23"/>
        <v>0</v>
      </c>
      <c r="W60" s="955"/>
      <c r="X60" s="2908">
        <f t="shared" si="24"/>
        <v>0</v>
      </c>
      <c r="Y60" s="2908">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7">
        <f t="shared" si="26"/>
        <v>0</v>
      </c>
      <c r="S61" s="250">
        <f t="shared" si="27"/>
        <v>0</v>
      </c>
      <c r="T61" s="858">
        <f t="shared" si="28"/>
        <v>0</v>
      </c>
      <c r="U61" s="2908">
        <f t="shared" si="22"/>
        <v>0</v>
      </c>
      <c r="V61" s="2908">
        <f t="shared" si="23"/>
        <v>0</v>
      </c>
      <c r="W61" s="955"/>
      <c r="X61" s="2908">
        <f t="shared" si="24"/>
        <v>0</v>
      </c>
      <c r="Y61" s="2908">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7">
        <f t="shared" si="26"/>
        <v>0</v>
      </c>
      <c r="S62" s="250">
        <f t="shared" si="27"/>
        <v>0</v>
      </c>
      <c r="T62" s="858">
        <f t="shared" si="28"/>
        <v>0</v>
      </c>
      <c r="U62" s="2908">
        <f t="shared" si="22"/>
        <v>0</v>
      </c>
      <c r="V62" s="2908">
        <f t="shared" si="23"/>
        <v>0</v>
      </c>
      <c r="W62" s="955"/>
      <c r="X62" s="2908">
        <f t="shared" si="24"/>
        <v>0</v>
      </c>
      <c r="Y62" s="2908">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7">
        <f t="shared" si="26"/>
        <v>0</v>
      </c>
      <c r="S63" s="250">
        <f t="shared" si="27"/>
        <v>0</v>
      </c>
      <c r="T63" s="858">
        <f t="shared" si="28"/>
        <v>0</v>
      </c>
      <c r="U63" s="2908">
        <f t="shared" si="22"/>
        <v>0</v>
      </c>
      <c r="V63" s="2908">
        <f t="shared" si="23"/>
        <v>0</v>
      </c>
      <c r="W63" s="955"/>
      <c r="X63" s="2908">
        <f t="shared" si="24"/>
        <v>0</v>
      </c>
      <c r="Y63" s="2908">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7">
        <f t="shared" si="26"/>
        <v>0</v>
      </c>
      <c r="S64" s="250">
        <f t="shared" si="27"/>
        <v>0</v>
      </c>
      <c r="T64" s="858">
        <f t="shared" si="28"/>
        <v>0</v>
      </c>
      <c r="U64" s="2908">
        <f t="shared" si="22"/>
        <v>0</v>
      </c>
      <c r="V64" s="2908">
        <f t="shared" si="23"/>
        <v>0</v>
      </c>
      <c r="W64" s="955"/>
      <c r="X64" s="2908">
        <f t="shared" si="24"/>
        <v>0</v>
      </c>
      <c r="Y64" s="2908">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7">
        <f t="shared" si="26"/>
        <v>0</v>
      </c>
      <c r="S65" s="250">
        <f t="shared" si="27"/>
        <v>0</v>
      </c>
      <c r="T65" s="858">
        <f t="shared" si="28"/>
        <v>0</v>
      </c>
      <c r="U65" s="2908">
        <f t="shared" si="22"/>
        <v>0</v>
      </c>
      <c r="V65" s="2908">
        <f t="shared" si="23"/>
        <v>0</v>
      </c>
      <c r="W65" s="955"/>
      <c r="X65" s="2908">
        <f t="shared" si="24"/>
        <v>0</v>
      </c>
      <c r="Y65" s="2908">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7">
        <f t="shared" si="26"/>
        <v>0</v>
      </c>
      <c r="S66" s="250">
        <f t="shared" si="27"/>
        <v>0</v>
      </c>
      <c r="T66" s="858">
        <f t="shared" si="28"/>
        <v>0</v>
      </c>
      <c r="U66" s="2908">
        <f t="shared" si="22"/>
        <v>0</v>
      </c>
      <c r="V66" s="2908">
        <f t="shared" si="23"/>
        <v>0</v>
      </c>
      <c r="W66" s="955"/>
      <c r="X66" s="2908">
        <f t="shared" si="24"/>
        <v>0</v>
      </c>
      <c r="Y66" s="2908">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7">
        <f t="shared" si="26"/>
        <v>0</v>
      </c>
      <c r="S67" s="250">
        <f t="shared" si="27"/>
        <v>0</v>
      </c>
      <c r="T67" s="858">
        <f t="shared" si="28"/>
        <v>0</v>
      </c>
      <c r="U67" s="2908">
        <f t="shared" si="22"/>
        <v>0</v>
      </c>
      <c r="V67" s="2908">
        <f t="shared" si="23"/>
        <v>0</v>
      </c>
      <c r="W67" s="955"/>
      <c r="X67" s="2908">
        <f t="shared" si="24"/>
        <v>0</v>
      </c>
      <c r="Y67" s="2908">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7">
        <f t="shared" si="26"/>
        <v>0</v>
      </c>
      <c r="S68" s="250">
        <f t="shared" si="27"/>
        <v>0</v>
      </c>
      <c r="T68" s="858">
        <f t="shared" si="28"/>
        <v>0</v>
      </c>
      <c r="U68" s="2908">
        <f t="shared" si="22"/>
        <v>0</v>
      </c>
      <c r="V68" s="2908">
        <f t="shared" si="23"/>
        <v>0</v>
      </c>
      <c r="W68" s="955"/>
      <c r="X68" s="2908">
        <f t="shared" si="24"/>
        <v>0</v>
      </c>
      <c r="Y68" s="2908">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7">
        <f t="shared" si="26"/>
        <v>0</v>
      </c>
      <c r="S69" s="250">
        <f t="shared" si="27"/>
        <v>0</v>
      </c>
      <c r="T69" s="858">
        <f t="shared" si="28"/>
        <v>0</v>
      </c>
      <c r="U69" s="2908">
        <f t="shared" si="22"/>
        <v>0</v>
      </c>
      <c r="V69" s="2908">
        <f t="shared" si="23"/>
        <v>0</v>
      </c>
      <c r="W69" s="955"/>
      <c r="X69" s="2908">
        <f t="shared" si="24"/>
        <v>0</v>
      </c>
      <c r="Y69" s="2908">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7">
        <f t="shared" si="26"/>
        <v>0</v>
      </c>
      <c r="S70" s="250">
        <f t="shared" si="27"/>
        <v>0</v>
      </c>
      <c r="T70" s="858">
        <f t="shared" si="28"/>
        <v>0</v>
      </c>
      <c r="U70" s="2908">
        <f t="shared" si="22"/>
        <v>0</v>
      </c>
      <c r="V70" s="2908">
        <f t="shared" si="23"/>
        <v>0</v>
      </c>
      <c r="W70" s="955"/>
      <c r="X70" s="2908">
        <f t="shared" si="24"/>
        <v>0</v>
      </c>
      <c r="Y70" s="2908">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7">
        <f t="shared" si="26"/>
        <v>0</v>
      </c>
      <c r="S71" s="250">
        <f t="shared" si="27"/>
        <v>0</v>
      </c>
      <c r="T71" s="858">
        <f t="shared" si="28"/>
        <v>0</v>
      </c>
      <c r="U71" s="2908">
        <f t="shared" si="22"/>
        <v>0</v>
      </c>
      <c r="V71" s="2908">
        <f t="shared" si="23"/>
        <v>0</v>
      </c>
      <c r="W71" s="955"/>
      <c r="X71" s="2908">
        <f t="shared" si="24"/>
        <v>0</v>
      </c>
      <c r="Y71" s="2908">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7">
        <f t="shared" si="26"/>
        <v>0</v>
      </c>
      <c r="S72" s="250">
        <f t="shared" si="27"/>
        <v>0</v>
      </c>
      <c r="T72" s="858">
        <f t="shared" si="28"/>
        <v>0</v>
      </c>
      <c r="U72" s="2908">
        <f t="shared" si="22"/>
        <v>0</v>
      </c>
      <c r="V72" s="2908">
        <f t="shared" si="23"/>
        <v>0</v>
      </c>
      <c r="W72" s="955"/>
      <c r="X72" s="2908">
        <f t="shared" si="24"/>
        <v>0</v>
      </c>
      <c r="Y72" s="2908">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7">
        <f t="shared" si="26"/>
        <v>0</v>
      </c>
      <c r="S73" s="250">
        <f t="shared" si="27"/>
        <v>0</v>
      </c>
      <c r="T73" s="858">
        <f t="shared" si="28"/>
        <v>0</v>
      </c>
      <c r="U73" s="2908">
        <f t="shared" si="22"/>
        <v>0</v>
      </c>
      <c r="V73" s="2908">
        <f t="shared" si="23"/>
        <v>0</v>
      </c>
      <c r="W73" s="955"/>
      <c r="X73" s="2908">
        <f t="shared" si="24"/>
        <v>0</v>
      </c>
      <c r="Y73" s="2908">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7">
        <f t="shared" si="26"/>
        <v>0</v>
      </c>
      <c r="S74" s="250">
        <f t="shared" si="27"/>
        <v>0</v>
      </c>
      <c r="T74" s="858">
        <f t="shared" si="28"/>
        <v>0</v>
      </c>
      <c r="U74" s="2908">
        <f t="shared" si="22"/>
        <v>0</v>
      </c>
      <c r="V74" s="2908">
        <f t="shared" si="23"/>
        <v>0</v>
      </c>
      <c r="W74" s="955"/>
      <c r="X74" s="2908">
        <f t="shared" si="24"/>
        <v>0</v>
      </c>
      <c r="Y74" s="2908">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7">
        <f t="shared" si="26"/>
        <v>0</v>
      </c>
      <c r="S75" s="250">
        <f t="shared" si="27"/>
        <v>0</v>
      </c>
      <c r="T75" s="858">
        <f t="shared" si="28"/>
        <v>0</v>
      </c>
      <c r="U75" s="2908">
        <f t="shared" si="22"/>
        <v>0</v>
      </c>
      <c r="V75" s="2908">
        <f t="shared" si="23"/>
        <v>0</v>
      </c>
      <c r="W75" s="955"/>
      <c r="X75" s="2908">
        <f t="shared" si="24"/>
        <v>0</v>
      </c>
      <c r="Y75" s="2908">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7">
        <f t="shared" si="26"/>
        <v>0</v>
      </c>
      <c r="S76" s="250">
        <f t="shared" si="27"/>
        <v>0</v>
      </c>
      <c r="T76" s="858">
        <f t="shared" si="28"/>
        <v>0</v>
      </c>
      <c r="U76" s="2908">
        <f t="shared" si="22"/>
        <v>0</v>
      </c>
      <c r="V76" s="2908">
        <f t="shared" si="23"/>
        <v>0</v>
      </c>
      <c r="W76" s="955"/>
      <c r="X76" s="2908">
        <f t="shared" si="24"/>
        <v>0</v>
      </c>
      <c r="Y76" s="2908">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7">
        <f t="shared" si="26"/>
        <v>0</v>
      </c>
      <c r="S77" s="250">
        <f t="shared" si="27"/>
        <v>0</v>
      </c>
      <c r="T77" s="858">
        <f t="shared" si="28"/>
        <v>0</v>
      </c>
      <c r="U77" s="2908">
        <f t="shared" si="22"/>
        <v>0</v>
      </c>
      <c r="V77" s="2908">
        <f t="shared" si="23"/>
        <v>0</v>
      </c>
      <c r="W77" s="955"/>
      <c r="X77" s="2908">
        <f t="shared" si="24"/>
        <v>0</v>
      </c>
      <c r="Y77" s="2908">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7">
        <f t="shared" si="26"/>
        <v>0</v>
      </c>
      <c r="S78" s="250">
        <f t="shared" si="27"/>
        <v>0</v>
      </c>
      <c r="T78" s="858">
        <f t="shared" si="28"/>
        <v>0</v>
      </c>
      <c r="U78" s="2908">
        <f t="shared" si="22"/>
        <v>0</v>
      </c>
      <c r="V78" s="2908">
        <f t="shared" si="23"/>
        <v>0</v>
      </c>
      <c r="W78" s="955"/>
      <c r="X78" s="2908">
        <f t="shared" si="24"/>
        <v>0</v>
      </c>
      <c r="Y78" s="2908">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7">
        <f t="shared" si="26"/>
        <v>0</v>
      </c>
      <c r="S79" s="250">
        <f t="shared" si="27"/>
        <v>0</v>
      </c>
      <c r="T79" s="858">
        <f t="shared" si="28"/>
        <v>0</v>
      </c>
      <c r="U79" s="2908">
        <f t="shared" si="22"/>
        <v>0</v>
      </c>
      <c r="V79" s="2908">
        <f t="shared" si="23"/>
        <v>0</v>
      </c>
      <c r="W79" s="955"/>
      <c r="X79" s="2908">
        <f t="shared" si="24"/>
        <v>0</v>
      </c>
      <c r="Y79" s="2908">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7">
        <f t="shared" si="26"/>
        <v>0</v>
      </c>
      <c r="S80" s="250">
        <f t="shared" si="27"/>
        <v>0</v>
      </c>
      <c r="T80" s="858">
        <f t="shared" si="28"/>
        <v>0</v>
      </c>
      <c r="U80" s="2908">
        <f t="shared" si="22"/>
        <v>0</v>
      </c>
      <c r="V80" s="2908">
        <f t="shared" si="23"/>
        <v>0</v>
      </c>
      <c r="W80" s="955"/>
      <c r="X80" s="2908">
        <f t="shared" si="24"/>
        <v>0</v>
      </c>
      <c r="Y80" s="2908">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7">
        <f t="shared" si="26"/>
        <v>0</v>
      </c>
      <c r="S81" s="250">
        <f t="shared" si="27"/>
        <v>0</v>
      </c>
      <c r="T81" s="858">
        <f t="shared" si="28"/>
        <v>0</v>
      </c>
      <c r="U81" s="2908">
        <f t="shared" si="22"/>
        <v>0</v>
      </c>
      <c r="V81" s="2908">
        <f t="shared" si="23"/>
        <v>0</v>
      </c>
      <c r="W81" s="955"/>
      <c r="X81" s="2908">
        <f t="shared" si="24"/>
        <v>0</v>
      </c>
      <c r="Y81" s="2908">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7">
        <f t="shared" si="26"/>
        <v>0</v>
      </c>
      <c r="S82" s="250">
        <f t="shared" si="27"/>
        <v>0</v>
      </c>
      <c r="T82" s="858">
        <f t="shared" si="28"/>
        <v>0</v>
      </c>
      <c r="U82" s="2908">
        <f t="shared" si="22"/>
        <v>0</v>
      </c>
      <c r="V82" s="2908">
        <f t="shared" si="23"/>
        <v>0</v>
      </c>
      <c r="W82" s="955"/>
      <c r="X82" s="2908">
        <f t="shared" si="24"/>
        <v>0</v>
      </c>
      <c r="Y82" s="2908">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7">
        <f t="shared" si="26"/>
        <v>0</v>
      </c>
      <c r="S83" s="250">
        <f t="shared" si="27"/>
        <v>0</v>
      </c>
      <c r="T83" s="858">
        <f t="shared" si="28"/>
        <v>0</v>
      </c>
      <c r="U83" s="2908">
        <f t="shared" si="22"/>
        <v>0</v>
      </c>
      <c r="V83" s="2908">
        <f t="shared" si="23"/>
        <v>0</v>
      </c>
      <c r="W83" s="955"/>
      <c r="X83" s="2908">
        <f t="shared" si="24"/>
        <v>0</v>
      </c>
      <c r="Y83" s="2908">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7">
        <f t="shared" si="26"/>
        <v>0</v>
      </c>
      <c r="S84" s="250">
        <f t="shared" si="27"/>
        <v>0</v>
      </c>
      <c r="T84" s="858">
        <f t="shared" si="28"/>
        <v>0</v>
      </c>
      <c r="U84" s="2908">
        <f t="shared" si="22"/>
        <v>0</v>
      </c>
      <c r="V84" s="2908">
        <f t="shared" si="23"/>
        <v>0</v>
      </c>
      <c r="W84" s="955"/>
      <c r="X84" s="2908">
        <f t="shared" si="24"/>
        <v>0</v>
      </c>
      <c r="Y84" s="2908">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7">
        <f t="shared" si="26"/>
        <v>0</v>
      </c>
      <c r="S85" s="250">
        <f t="shared" si="27"/>
        <v>0</v>
      </c>
      <c r="T85" s="858">
        <f t="shared" si="28"/>
        <v>0</v>
      </c>
      <c r="U85" s="2908">
        <f t="shared" si="22"/>
        <v>0</v>
      </c>
      <c r="V85" s="2908">
        <f t="shared" si="23"/>
        <v>0</v>
      </c>
      <c r="W85" s="955"/>
      <c r="X85" s="2908">
        <f t="shared" si="24"/>
        <v>0</v>
      </c>
      <c r="Y85" s="2908">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7">
        <f t="shared" si="26"/>
        <v>0</v>
      </c>
      <c r="S86" s="250">
        <f t="shared" si="27"/>
        <v>0</v>
      </c>
      <c r="T86" s="858">
        <f t="shared" si="28"/>
        <v>0</v>
      </c>
      <c r="U86" s="2908">
        <f t="shared" si="22"/>
        <v>0</v>
      </c>
      <c r="V86" s="2908">
        <f t="shared" si="23"/>
        <v>0</v>
      </c>
      <c r="W86" s="955"/>
      <c r="X86" s="2908">
        <f t="shared" si="24"/>
        <v>0</v>
      </c>
      <c r="Y86" s="2908">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7">
        <f t="shared" si="26"/>
        <v>0</v>
      </c>
      <c r="S87" s="250">
        <f t="shared" si="27"/>
        <v>0</v>
      </c>
      <c r="T87" s="858">
        <f t="shared" si="28"/>
        <v>0</v>
      </c>
      <c r="U87" s="2908">
        <f t="shared" si="22"/>
        <v>0</v>
      </c>
      <c r="V87" s="2908">
        <f t="shared" si="23"/>
        <v>0</v>
      </c>
      <c r="W87" s="955"/>
      <c r="X87" s="2908">
        <f t="shared" si="24"/>
        <v>0</v>
      </c>
      <c r="Y87" s="2908">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7">
        <f t="shared" si="26"/>
        <v>0</v>
      </c>
      <c r="S88" s="250">
        <f t="shared" si="27"/>
        <v>0</v>
      </c>
      <c r="T88" s="858">
        <f t="shared" si="28"/>
        <v>0</v>
      </c>
      <c r="U88" s="2908">
        <f t="shared" si="22"/>
        <v>0</v>
      </c>
      <c r="V88" s="2908">
        <f t="shared" si="23"/>
        <v>0</v>
      </c>
      <c r="W88" s="955"/>
      <c r="X88" s="2908">
        <f t="shared" si="24"/>
        <v>0</v>
      </c>
      <c r="Y88" s="2908">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7">
        <f t="shared" si="26"/>
        <v>0</v>
      </c>
      <c r="S89" s="250">
        <f t="shared" si="27"/>
        <v>0</v>
      </c>
      <c r="T89" s="858">
        <f t="shared" si="28"/>
        <v>0</v>
      </c>
      <c r="U89" s="2908">
        <f t="shared" si="22"/>
        <v>0</v>
      </c>
      <c r="V89" s="2908">
        <f t="shared" si="23"/>
        <v>0</v>
      </c>
      <c r="W89" s="955"/>
      <c r="X89" s="2908">
        <f t="shared" si="24"/>
        <v>0</v>
      </c>
      <c r="Y89" s="2908">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7">
        <f t="shared" si="26"/>
        <v>0</v>
      </c>
      <c r="S90" s="250">
        <f t="shared" si="27"/>
        <v>0</v>
      </c>
      <c r="T90" s="858">
        <f t="shared" si="28"/>
        <v>0</v>
      </c>
      <c r="U90" s="2908">
        <f t="shared" si="22"/>
        <v>0</v>
      </c>
      <c r="V90" s="2908">
        <f t="shared" si="23"/>
        <v>0</v>
      </c>
      <c r="W90" s="955"/>
      <c r="X90" s="2908">
        <f t="shared" si="24"/>
        <v>0</v>
      </c>
      <c r="Y90" s="2908">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7">
        <f t="shared" si="26"/>
        <v>0</v>
      </c>
      <c r="S91" s="250">
        <f t="shared" si="27"/>
        <v>0</v>
      </c>
      <c r="T91" s="858">
        <f t="shared" si="28"/>
        <v>0</v>
      </c>
      <c r="U91" s="2908">
        <f t="shared" si="22"/>
        <v>0</v>
      </c>
      <c r="V91" s="2908">
        <f t="shared" si="23"/>
        <v>0</v>
      </c>
      <c r="W91" s="955"/>
      <c r="X91" s="2908">
        <f t="shared" si="24"/>
        <v>0</v>
      </c>
      <c r="Y91" s="2908">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7">
        <f t="shared" si="26"/>
        <v>0</v>
      </c>
      <c r="S92" s="250">
        <f t="shared" si="27"/>
        <v>0</v>
      </c>
      <c r="T92" s="858">
        <f t="shared" si="28"/>
        <v>0</v>
      </c>
      <c r="U92" s="2908">
        <f t="shared" ref="U92:U155" si="37">ROUND(W92*B92,0)</f>
        <v>0</v>
      </c>
      <c r="V92" s="2908">
        <f t="shared" ref="V92:V155" si="38">ROUND(W92*B92/10000,0)</f>
        <v>0</v>
      </c>
      <c r="W92" s="955"/>
      <c r="X92" s="2908">
        <f t="shared" ref="X92:X155" si="39">ROUND(Z92*B92,0)</f>
        <v>0</v>
      </c>
      <c r="Y92" s="2908">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7">
        <f t="shared" ref="R93:R156" si="41">IF(B93="",0,ROUND($R$27*C93*E93*G93*I93*K93*M93*O93*Q93,0))</f>
        <v>0</v>
      </c>
      <c r="S93" s="250">
        <f t="shared" ref="S93:S156" si="42">ROUND(R93*B93,0)</f>
        <v>0</v>
      </c>
      <c r="T93" s="858">
        <f t="shared" ref="T93:T156" si="43">ROUND(R93*B93/10000,0)</f>
        <v>0</v>
      </c>
      <c r="U93" s="2908">
        <f t="shared" si="37"/>
        <v>0</v>
      </c>
      <c r="V93" s="2908">
        <f t="shared" si="38"/>
        <v>0</v>
      </c>
      <c r="W93" s="955"/>
      <c r="X93" s="2908">
        <f t="shared" si="39"/>
        <v>0</v>
      </c>
      <c r="Y93" s="2908">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7">
        <f t="shared" si="41"/>
        <v>0</v>
      </c>
      <c r="S94" s="250">
        <f t="shared" si="42"/>
        <v>0</v>
      </c>
      <c r="T94" s="858">
        <f t="shared" si="43"/>
        <v>0</v>
      </c>
      <c r="U94" s="2908">
        <f t="shared" si="37"/>
        <v>0</v>
      </c>
      <c r="V94" s="2908">
        <f t="shared" si="38"/>
        <v>0</v>
      </c>
      <c r="W94" s="955"/>
      <c r="X94" s="2908">
        <f t="shared" si="39"/>
        <v>0</v>
      </c>
      <c r="Y94" s="2908">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7">
        <f t="shared" si="41"/>
        <v>0</v>
      </c>
      <c r="S95" s="250">
        <f t="shared" si="42"/>
        <v>0</v>
      </c>
      <c r="T95" s="858">
        <f t="shared" si="43"/>
        <v>0</v>
      </c>
      <c r="U95" s="2908">
        <f t="shared" si="37"/>
        <v>0</v>
      </c>
      <c r="V95" s="2908">
        <f t="shared" si="38"/>
        <v>0</v>
      </c>
      <c r="W95" s="955"/>
      <c r="X95" s="2908">
        <f t="shared" si="39"/>
        <v>0</v>
      </c>
      <c r="Y95" s="2908">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7">
        <f t="shared" si="41"/>
        <v>0</v>
      </c>
      <c r="S96" s="250">
        <f t="shared" si="42"/>
        <v>0</v>
      </c>
      <c r="T96" s="858">
        <f t="shared" si="43"/>
        <v>0</v>
      </c>
      <c r="U96" s="2908">
        <f t="shared" si="37"/>
        <v>0</v>
      </c>
      <c r="V96" s="2908">
        <f t="shared" si="38"/>
        <v>0</v>
      </c>
      <c r="W96" s="955"/>
      <c r="X96" s="2908">
        <f t="shared" si="39"/>
        <v>0</v>
      </c>
      <c r="Y96" s="2908">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7">
        <f t="shared" si="41"/>
        <v>0</v>
      </c>
      <c r="S97" s="250">
        <f t="shared" si="42"/>
        <v>0</v>
      </c>
      <c r="T97" s="858">
        <f t="shared" si="43"/>
        <v>0</v>
      </c>
      <c r="U97" s="2908">
        <f t="shared" si="37"/>
        <v>0</v>
      </c>
      <c r="V97" s="2908">
        <f t="shared" si="38"/>
        <v>0</v>
      </c>
      <c r="W97" s="955"/>
      <c r="X97" s="2908">
        <f t="shared" si="39"/>
        <v>0</v>
      </c>
      <c r="Y97" s="2908">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7">
        <f t="shared" si="41"/>
        <v>0</v>
      </c>
      <c r="S98" s="250">
        <f t="shared" si="42"/>
        <v>0</v>
      </c>
      <c r="T98" s="858">
        <f t="shared" si="43"/>
        <v>0</v>
      </c>
      <c r="U98" s="2908">
        <f t="shared" si="37"/>
        <v>0</v>
      </c>
      <c r="V98" s="2908">
        <f t="shared" si="38"/>
        <v>0</v>
      </c>
      <c r="W98" s="955"/>
      <c r="X98" s="2908">
        <f t="shared" si="39"/>
        <v>0</v>
      </c>
      <c r="Y98" s="2908">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7">
        <f t="shared" si="41"/>
        <v>0</v>
      </c>
      <c r="S99" s="250">
        <f t="shared" si="42"/>
        <v>0</v>
      </c>
      <c r="T99" s="858">
        <f t="shared" si="43"/>
        <v>0</v>
      </c>
      <c r="U99" s="2908">
        <f t="shared" si="37"/>
        <v>0</v>
      </c>
      <c r="V99" s="2908">
        <f t="shared" si="38"/>
        <v>0</v>
      </c>
      <c r="W99" s="955"/>
      <c r="X99" s="2908">
        <f t="shared" si="39"/>
        <v>0</v>
      </c>
      <c r="Y99" s="2908">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7">
        <f t="shared" si="41"/>
        <v>0</v>
      </c>
      <c r="S100" s="250">
        <f t="shared" si="42"/>
        <v>0</v>
      </c>
      <c r="T100" s="858">
        <f t="shared" si="43"/>
        <v>0</v>
      </c>
      <c r="U100" s="2908">
        <f t="shared" si="37"/>
        <v>0</v>
      </c>
      <c r="V100" s="2908">
        <f t="shared" si="38"/>
        <v>0</v>
      </c>
      <c r="W100" s="955"/>
      <c r="X100" s="2908">
        <f t="shared" si="39"/>
        <v>0</v>
      </c>
      <c r="Y100" s="2908">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7">
        <f t="shared" si="41"/>
        <v>0</v>
      </c>
      <c r="S101" s="250">
        <f t="shared" si="42"/>
        <v>0</v>
      </c>
      <c r="T101" s="858">
        <f t="shared" si="43"/>
        <v>0</v>
      </c>
      <c r="U101" s="2908">
        <f t="shared" si="37"/>
        <v>0</v>
      </c>
      <c r="V101" s="2908">
        <f t="shared" si="38"/>
        <v>0</v>
      </c>
      <c r="W101" s="955"/>
      <c r="X101" s="2908">
        <f t="shared" si="39"/>
        <v>0</v>
      </c>
      <c r="Y101" s="2908">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7">
        <f t="shared" si="41"/>
        <v>0</v>
      </c>
      <c r="S102" s="250">
        <f t="shared" si="42"/>
        <v>0</v>
      </c>
      <c r="T102" s="858">
        <f t="shared" si="43"/>
        <v>0</v>
      </c>
      <c r="U102" s="2908">
        <f t="shared" si="37"/>
        <v>0</v>
      </c>
      <c r="V102" s="2908">
        <f t="shared" si="38"/>
        <v>0</v>
      </c>
      <c r="W102" s="955"/>
      <c r="X102" s="2908">
        <f t="shared" si="39"/>
        <v>0</v>
      </c>
      <c r="Y102" s="2908">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7">
        <f t="shared" si="41"/>
        <v>0</v>
      </c>
      <c r="S103" s="250">
        <f t="shared" si="42"/>
        <v>0</v>
      </c>
      <c r="T103" s="858">
        <f t="shared" si="43"/>
        <v>0</v>
      </c>
      <c r="U103" s="2908">
        <f t="shared" si="37"/>
        <v>0</v>
      </c>
      <c r="V103" s="2908">
        <f t="shared" si="38"/>
        <v>0</v>
      </c>
      <c r="W103" s="955"/>
      <c r="X103" s="2908">
        <f t="shared" si="39"/>
        <v>0</v>
      </c>
      <c r="Y103" s="2908">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7">
        <f t="shared" si="41"/>
        <v>0</v>
      </c>
      <c r="S104" s="250">
        <f t="shared" si="42"/>
        <v>0</v>
      </c>
      <c r="T104" s="858">
        <f t="shared" si="43"/>
        <v>0</v>
      </c>
      <c r="U104" s="2908">
        <f t="shared" si="37"/>
        <v>0</v>
      </c>
      <c r="V104" s="2908">
        <f t="shared" si="38"/>
        <v>0</v>
      </c>
      <c r="W104" s="955"/>
      <c r="X104" s="2908">
        <f t="shared" si="39"/>
        <v>0</v>
      </c>
      <c r="Y104" s="2908">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7">
        <f t="shared" si="41"/>
        <v>0</v>
      </c>
      <c r="S105" s="250">
        <f t="shared" si="42"/>
        <v>0</v>
      </c>
      <c r="T105" s="858">
        <f t="shared" si="43"/>
        <v>0</v>
      </c>
      <c r="U105" s="2908">
        <f t="shared" si="37"/>
        <v>0</v>
      </c>
      <c r="V105" s="2908">
        <f t="shared" si="38"/>
        <v>0</v>
      </c>
      <c r="W105" s="955"/>
      <c r="X105" s="2908">
        <f t="shared" si="39"/>
        <v>0</v>
      </c>
      <c r="Y105" s="2908">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7">
        <f t="shared" si="41"/>
        <v>0</v>
      </c>
      <c r="S106" s="250">
        <f t="shared" si="42"/>
        <v>0</v>
      </c>
      <c r="T106" s="858">
        <f t="shared" si="43"/>
        <v>0</v>
      </c>
      <c r="U106" s="2908">
        <f t="shared" si="37"/>
        <v>0</v>
      </c>
      <c r="V106" s="2908">
        <f t="shared" si="38"/>
        <v>0</v>
      </c>
      <c r="W106" s="955"/>
      <c r="X106" s="2908">
        <f t="shared" si="39"/>
        <v>0</v>
      </c>
      <c r="Y106" s="2908">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7">
        <f t="shared" si="41"/>
        <v>0</v>
      </c>
      <c r="S107" s="250">
        <f t="shared" si="42"/>
        <v>0</v>
      </c>
      <c r="T107" s="858">
        <f t="shared" si="43"/>
        <v>0</v>
      </c>
      <c r="U107" s="2908">
        <f t="shared" si="37"/>
        <v>0</v>
      </c>
      <c r="V107" s="2908">
        <f t="shared" si="38"/>
        <v>0</v>
      </c>
      <c r="W107" s="955"/>
      <c r="X107" s="2908">
        <f t="shared" si="39"/>
        <v>0</v>
      </c>
      <c r="Y107" s="2908">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7">
        <f t="shared" si="41"/>
        <v>0</v>
      </c>
      <c r="S108" s="250">
        <f t="shared" si="42"/>
        <v>0</v>
      </c>
      <c r="T108" s="858">
        <f t="shared" si="43"/>
        <v>0</v>
      </c>
      <c r="U108" s="2908">
        <f t="shared" si="37"/>
        <v>0</v>
      </c>
      <c r="V108" s="2908">
        <f t="shared" si="38"/>
        <v>0</v>
      </c>
      <c r="W108" s="955"/>
      <c r="X108" s="2908">
        <f t="shared" si="39"/>
        <v>0</v>
      </c>
      <c r="Y108" s="2908">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7">
        <f t="shared" si="41"/>
        <v>0</v>
      </c>
      <c r="S109" s="250">
        <f t="shared" si="42"/>
        <v>0</v>
      </c>
      <c r="T109" s="858">
        <f t="shared" si="43"/>
        <v>0</v>
      </c>
      <c r="U109" s="2908">
        <f t="shared" si="37"/>
        <v>0</v>
      </c>
      <c r="V109" s="2908">
        <f t="shared" si="38"/>
        <v>0</v>
      </c>
      <c r="W109" s="955"/>
      <c r="X109" s="2908">
        <f t="shared" si="39"/>
        <v>0</v>
      </c>
      <c r="Y109" s="2908">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7">
        <f t="shared" si="41"/>
        <v>0</v>
      </c>
      <c r="S110" s="250">
        <f t="shared" si="42"/>
        <v>0</v>
      </c>
      <c r="T110" s="858">
        <f t="shared" si="43"/>
        <v>0</v>
      </c>
      <c r="U110" s="2908">
        <f t="shared" si="37"/>
        <v>0</v>
      </c>
      <c r="V110" s="2908">
        <f t="shared" si="38"/>
        <v>0</v>
      </c>
      <c r="W110" s="955"/>
      <c r="X110" s="2908">
        <f t="shared" si="39"/>
        <v>0</v>
      </c>
      <c r="Y110" s="2908">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7">
        <f t="shared" si="41"/>
        <v>0</v>
      </c>
      <c r="S111" s="250">
        <f t="shared" si="42"/>
        <v>0</v>
      </c>
      <c r="T111" s="858">
        <f t="shared" si="43"/>
        <v>0</v>
      </c>
      <c r="U111" s="2908">
        <f t="shared" si="37"/>
        <v>0</v>
      </c>
      <c r="V111" s="2908">
        <f t="shared" si="38"/>
        <v>0</v>
      </c>
      <c r="W111" s="955"/>
      <c r="X111" s="2908">
        <f t="shared" si="39"/>
        <v>0</v>
      </c>
      <c r="Y111" s="2908">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7">
        <f t="shared" si="41"/>
        <v>0</v>
      </c>
      <c r="S112" s="250">
        <f t="shared" si="42"/>
        <v>0</v>
      </c>
      <c r="T112" s="858">
        <f t="shared" si="43"/>
        <v>0</v>
      </c>
      <c r="U112" s="2908">
        <f t="shared" si="37"/>
        <v>0</v>
      </c>
      <c r="V112" s="2908">
        <f t="shared" si="38"/>
        <v>0</v>
      </c>
      <c r="W112" s="955"/>
      <c r="X112" s="2908">
        <f t="shared" si="39"/>
        <v>0</v>
      </c>
      <c r="Y112" s="2908">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7">
        <f t="shared" si="41"/>
        <v>0</v>
      </c>
      <c r="S113" s="250">
        <f t="shared" si="42"/>
        <v>0</v>
      </c>
      <c r="T113" s="858">
        <f t="shared" si="43"/>
        <v>0</v>
      </c>
      <c r="U113" s="2908">
        <f t="shared" si="37"/>
        <v>0</v>
      </c>
      <c r="V113" s="2908">
        <f t="shared" si="38"/>
        <v>0</v>
      </c>
      <c r="W113" s="955"/>
      <c r="X113" s="2908">
        <f t="shared" si="39"/>
        <v>0</v>
      </c>
      <c r="Y113" s="2908">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7">
        <f t="shared" si="41"/>
        <v>0</v>
      </c>
      <c r="S114" s="250">
        <f t="shared" si="42"/>
        <v>0</v>
      </c>
      <c r="T114" s="858">
        <f t="shared" si="43"/>
        <v>0</v>
      </c>
      <c r="U114" s="2908">
        <f t="shared" si="37"/>
        <v>0</v>
      </c>
      <c r="V114" s="2908">
        <f t="shared" si="38"/>
        <v>0</v>
      </c>
      <c r="W114" s="955"/>
      <c r="X114" s="2908">
        <f t="shared" si="39"/>
        <v>0</v>
      </c>
      <c r="Y114" s="2908">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7">
        <f t="shared" si="41"/>
        <v>0</v>
      </c>
      <c r="S115" s="250">
        <f t="shared" si="42"/>
        <v>0</v>
      </c>
      <c r="T115" s="858">
        <f t="shared" si="43"/>
        <v>0</v>
      </c>
      <c r="U115" s="2908">
        <f t="shared" si="37"/>
        <v>0</v>
      </c>
      <c r="V115" s="2908">
        <f t="shared" si="38"/>
        <v>0</v>
      </c>
      <c r="W115" s="955"/>
      <c r="X115" s="2908">
        <f t="shared" si="39"/>
        <v>0</v>
      </c>
      <c r="Y115" s="2908">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7">
        <f t="shared" si="41"/>
        <v>0</v>
      </c>
      <c r="S116" s="250">
        <f t="shared" si="42"/>
        <v>0</v>
      </c>
      <c r="T116" s="858">
        <f t="shared" si="43"/>
        <v>0</v>
      </c>
      <c r="U116" s="2908">
        <f t="shared" si="37"/>
        <v>0</v>
      </c>
      <c r="V116" s="2908">
        <f t="shared" si="38"/>
        <v>0</v>
      </c>
      <c r="W116" s="955"/>
      <c r="X116" s="2908">
        <f t="shared" si="39"/>
        <v>0</v>
      </c>
      <c r="Y116" s="2908">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7">
        <f t="shared" si="41"/>
        <v>0</v>
      </c>
      <c r="S117" s="250">
        <f t="shared" si="42"/>
        <v>0</v>
      </c>
      <c r="T117" s="858">
        <f t="shared" si="43"/>
        <v>0</v>
      </c>
      <c r="U117" s="2908">
        <f t="shared" si="37"/>
        <v>0</v>
      </c>
      <c r="V117" s="2908">
        <f t="shared" si="38"/>
        <v>0</v>
      </c>
      <c r="W117" s="955"/>
      <c r="X117" s="2908">
        <f t="shared" si="39"/>
        <v>0</v>
      </c>
      <c r="Y117" s="2908">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7">
        <f t="shared" si="41"/>
        <v>0</v>
      </c>
      <c r="S118" s="250">
        <f t="shared" si="42"/>
        <v>0</v>
      </c>
      <c r="T118" s="858">
        <f t="shared" si="43"/>
        <v>0</v>
      </c>
      <c r="U118" s="2908">
        <f t="shared" si="37"/>
        <v>0</v>
      </c>
      <c r="V118" s="2908">
        <f t="shared" si="38"/>
        <v>0</v>
      </c>
      <c r="W118" s="955"/>
      <c r="X118" s="2908">
        <f t="shared" si="39"/>
        <v>0</v>
      </c>
      <c r="Y118" s="2908">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7">
        <f t="shared" si="41"/>
        <v>0</v>
      </c>
      <c r="S119" s="250">
        <f t="shared" si="42"/>
        <v>0</v>
      </c>
      <c r="T119" s="858">
        <f t="shared" si="43"/>
        <v>0</v>
      </c>
      <c r="U119" s="2908">
        <f t="shared" si="37"/>
        <v>0</v>
      </c>
      <c r="V119" s="2908">
        <f t="shared" si="38"/>
        <v>0</v>
      </c>
      <c r="W119" s="955"/>
      <c r="X119" s="2908">
        <f t="shared" si="39"/>
        <v>0</v>
      </c>
      <c r="Y119" s="2908">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7">
        <f t="shared" si="41"/>
        <v>0</v>
      </c>
      <c r="S120" s="250">
        <f t="shared" si="42"/>
        <v>0</v>
      </c>
      <c r="T120" s="858">
        <f t="shared" si="43"/>
        <v>0</v>
      </c>
      <c r="U120" s="2908">
        <f t="shared" si="37"/>
        <v>0</v>
      </c>
      <c r="V120" s="2908">
        <f t="shared" si="38"/>
        <v>0</v>
      </c>
      <c r="W120" s="955"/>
      <c r="X120" s="2908">
        <f t="shared" si="39"/>
        <v>0</v>
      </c>
      <c r="Y120" s="2908">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7">
        <f t="shared" si="41"/>
        <v>0</v>
      </c>
      <c r="S121" s="250">
        <f t="shared" si="42"/>
        <v>0</v>
      </c>
      <c r="T121" s="858">
        <f t="shared" si="43"/>
        <v>0</v>
      </c>
      <c r="U121" s="2908">
        <f t="shared" si="37"/>
        <v>0</v>
      </c>
      <c r="V121" s="2908">
        <f t="shared" si="38"/>
        <v>0</v>
      </c>
      <c r="W121" s="955"/>
      <c r="X121" s="2908">
        <f t="shared" si="39"/>
        <v>0</v>
      </c>
      <c r="Y121" s="2908">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7">
        <f t="shared" si="41"/>
        <v>0</v>
      </c>
      <c r="S122" s="250">
        <f t="shared" si="42"/>
        <v>0</v>
      </c>
      <c r="T122" s="858">
        <f t="shared" si="43"/>
        <v>0</v>
      </c>
      <c r="U122" s="2908">
        <f t="shared" si="37"/>
        <v>0</v>
      </c>
      <c r="V122" s="2908">
        <f t="shared" si="38"/>
        <v>0</v>
      </c>
      <c r="W122" s="955"/>
      <c r="X122" s="2908">
        <f t="shared" si="39"/>
        <v>0</v>
      </c>
      <c r="Y122" s="2908">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7">
        <f t="shared" si="41"/>
        <v>0</v>
      </c>
      <c r="S123" s="250">
        <f t="shared" si="42"/>
        <v>0</v>
      </c>
      <c r="T123" s="858">
        <f t="shared" si="43"/>
        <v>0</v>
      </c>
      <c r="U123" s="2908">
        <f t="shared" si="37"/>
        <v>0</v>
      </c>
      <c r="V123" s="2908">
        <f t="shared" si="38"/>
        <v>0</v>
      </c>
      <c r="W123" s="955"/>
      <c r="X123" s="2908">
        <f t="shared" si="39"/>
        <v>0</v>
      </c>
      <c r="Y123" s="2908">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7">
        <f t="shared" si="41"/>
        <v>0</v>
      </c>
      <c r="S124" s="250">
        <f t="shared" si="42"/>
        <v>0</v>
      </c>
      <c r="T124" s="858">
        <f t="shared" si="43"/>
        <v>0</v>
      </c>
      <c r="U124" s="2908">
        <f t="shared" si="37"/>
        <v>0</v>
      </c>
      <c r="V124" s="2908">
        <f t="shared" si="38"/>
        <v>0</v>
      </c>
      <c r="W124" s="955"/>
      <c r="X124" s="2908">
        <f t="shared" si="39"/>
        <v>0</v>
      </c>
      <c r="Y124" s="2908">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7">
        <f t="shared" si="41"/>
        <v>0</v>
      </c>
      <c r="S125" s="250">
        <f t="shared" si="42"/>
        <v>0</v>
      </c>
      <c r="T125" s="858">
        <f t="shared" si="43"/>
        <v>0</v>
      </c>
      <c r="U125" s="2908">
        <f t="shared" si="37"/>
        <v>0</v>
      </c>
      <c r="V125" s="2908">
        <f t="shared" si="38"/>
        <v>0</v>
      </c>
      <c r="W125" s="955"/>
      <c r="X125" s="2908">
        <f t="shared" si="39"/>
        <v>0</v>
      </c>
      <c r="Y125" s="2908">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7">
        <f t="shared" si="41"/>
        <v>0</v>
      </c>
      <c r="S126" s="250">
        <f t="shared" si="42"/>
        <v>0</v>
      </c>
      <c r="T126" s="858">
        <f t="shared" si="43"/>
        <v>0</v>
      </c>
      <c r="U126" s="2908">
        <f t="shared" si="37"/>
        <v>0</v>
      </c>
      <c r="V126" s="2908">
        <f t="shared" si="38"/>
        <v>0</v>
      </c>
      <c r="W126" s="955"/>
      <c r="X126" s="2908">
        <f t="shared" si="39"/>
        <v>0</v>
      </c>
      <c r="Y126" s="2908">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7">
        <f t="shared" si="41"/>
        <v>0</v>
      </c>
      <c r="S127" s="250">
        <f t="shared" si="42"/>
        <v>0</v>
      </c>
      <c r="T127" s="858">
        <f t="shared" si="43"/>
        <v>0</v>
      </c>
      <c r="U127" s="2908">
        <f t="shared" si="37"/>
        <v>0</v>
      </c>
      <c r="V127" s="2908">
        <f t="shared" si="38"/>
        <v>0</v>
      </c>
      <c r="W127" s="955"/>
      <c r="X127" s="2908">
        <f t="shared" si="39"/>
        <v>0</v>
      </c>
      <c r="Y127" s="2908">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7">
        <f t="shared" si="41"/>
        <v>0</v>
      </c>
      <c r="S128" s="250">
        <f t="shared" si="42"/>
        <v>0</v>
      </c>
      <c r="T128" s="858">
        <f t="shared" si="43"/>
        <v>0</v>
      </c>
      <c r="U128" s="2908">
        <f t="shared" si="37"/>
        <v>0</v>
      </c>
      <c r="V128" s="2908">
        <f t="shared" si="38"/>
        <v>0</v>
      </c>
      <c r="W128" s="955"/>
      <c r="X128" s="2908">
        <f t="shared" si="39"/>
        <v>0</v>
      </c>
      <c r="Y128" s="2908">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7">
        <f t="shared" si="41"/>
        <v>0</v>
      </c>
      <c r="S129" s="250">
        <f t="shared" si="42"/>
        <v>0</v>
      </c>
      <c r="T129" s="858">
        <f t="shared" si="43"/>
        <v>0</v>
      </c>
      <c r="U129" s="2908">
        <f t="shared" si="37"/>
        <v>0</v>
      </c>
      <c r="V129" s="2908">
        <f t="shared" si="38"/>
        <v>0</v>
      </c>
      <c r="W129" s="955"/>
      <c r="X129" s="2908">
        <f t="shared" si="39"/>
        <v>0</v>
      </c>
      <c r="Y129" s="2908">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7">
        <f t="shared" si="41"/>
        <v>0</v>
      </c>
      <c r="S130" s="250">
        <f t="shared" si="42"/>
        <v>0</v>
      </c>
      <c r="T130" s="858">
        <f t="shared" si="43"/>
        <v>0</v>
      </c>
      <c r="U130" s="2908">
        <f t="shared" si="37"/>
        <v>0</v>
      </c>
      <c r="V130" s="2908">
        <f t="shared" si="38"/>
        <v>0</v>
      </c>
      <c r="W130" s="955"/>
      <c r="X130" s="2908">
        <f t="shared" si="39"/>
        <v>0</v>
      </c>
      <c r="Y130" s="2908">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7">
        <f t="shared" si="41"/>
        <v>0</v>
      </c>
      <c r="S131" s="250">
        <f t="shared" si="42"/>
        <v>0</v>
      </c>
      <c r="T131" s="858">
        <f t="shared" si="43"/>
        <v>0</v>
      </c>
      <c r="U131" s="2908">
        <f t="shared" si="37"/>
        <v>0</v>
      </c>
      <c r="V131" s="2908">
        <f t="shared" si="38"/>
        <v>0</v>
      </c>
      <c r="W131" s="955"/>
      <c r="X131" s="2908">
        <f t="shared" si="39"/>
        <v>0</v>
      </c>
      <c r="Y131" s="2908">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7">
        <f t="shared" si="41"/>
        <v>0</v>
      </c>
      <c r="S132" s="250">
        <f t="shared" si="42"/>
        <v>0</v>
      </c>
      <c r="T132" s="858">
        <f t="shared" si="43"/>
        <v>0</v>
      </c>
      <c r="U132" s="2908">
        <f t="shared" si="37"/>
        <v>0</v>
      </c>
      <c r="V132" s="2908">
        <f t="shared" si="38"/>
        <v>0</v>
      </c>
      <c r="W132" s="955"/>
      <c r="X132" s="2908">
        <f t="shared" si="39"/>
        <v>0</v>
      </c>
      <c r="Y132" s="2908">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7">
        <f t="shared" si="41"/>
        <v>0</v>
      </c>
      <c r="S133" s="250">
        <f t="shared" si="42"/>
        <v>0</v>
      </c>
      <c r="T133" s="858">
        <f t="shared" si="43"/>
        <v>0</v>
      </c>
      <c r="U133" s="2908">
        <f t="shared" si="37"/>
        <v>0</v>
      </c>
      <c r="V133" s="2908">
        <f t="shared" si="38"/>
        <v>0</v>
      </c>
      <c r="W133" s="955"/>
      <c r="X133" s="2908">
        <f t="shared" si="39"/>
        <v>0</v>
      </c>
      <c r="Y133" s="2908">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7">
        <f t="shared" si="41"/>
        <v>0</v>
      </c>
      <c r="S134" s="250">
        <f t="shared" si="42"/>
        <v>0</v>
      </c>
      <c r="T134" s="858">
        <f t="shared" si="43"/>
        <v>0</v>
      </c>
      <c r="U134" s="2908">
        <f t="shared" si="37"/>
        <v>0</v>
      </c>
      <c r="V134" s="2908">
        <f t="shared" si="38"/>
        <v>0</v>
      </c>
      <c r="W134" s="955"/>
      <c r="X134" s="2908">
        <f t="shared" si="39"/>
        <v>0</v>
      </c>
      <c r="Y134" s="2908">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7">
        <f t="shared" si="41"/>
        <v>0</v>
      </c>
      <c r="S135" s="250">
        <f t="shared" si="42"/>
        <v>0</v>
      </c>
      <c r="T135" s="858">
        <f t="shared" si="43"/>
        <v>0</v>
      </c>
      <c r="U135" s="2908">
        <f t="shared" si="37"/>
        <v>0</v>
      </c>
      <c r="V135" s="2908">
        <f t="shared" si="38"/>
        <v>0</v>
      </c>
      <c r="W135" s="955"/>
      <c r="X135" s="2908">
        <f t="shared" si="39"/>
        <v>0</v>
      </c>
      <c r="Y135" s="2908">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7">
        <f t="shared" si="41"/>
        <v>0</v>
      </c>
      <c r="S136" s="250">
        <f t="shared" si="42"/>
        <v>0</v>
      </c>
      <c r="T136" s="858">
        <f t="shared" si="43"/>
        <v>0</v>
      </c>
      <c r="U136" s="2908">
        <f t="shared" si="37"/>
        <v>0</v>
      </c>
      <c r="V136" s="2908">
        <f t="shared" si="38"/>
        <v>0</v>
      </c>
      <c r="W136" s="955"/>
      <c r="X136" s="2908">
        <f t="shared" si="39"/>
        <v>0</v>
      </c>
      <c r="Y136" s="2908">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7">
        <f t="shared" si="41"/>
        <v>0</v>
      </c>
      <c r="S137" s="250">
        <f t="shared" si="42"/>
        <v>0</v>
      </c>
      <c r="T137" s="858">
        <f t="shared" si="43"/>
        <v>0</v>
      </c>
      <c r="U137" s="2908">
        <f t="shared" si="37"/>
        <v>0</v>
      </c>
      <c r="V137" s="2908">
        <f t="shared" si="38"/>
        <v>0</v>
      </c>
      <c r="W137" s="955"/>
      <c r="X137" s="2908">
        <f t="shared" si="39"/>
        <v>0</v>
      </c>
      <c r="Y137" s="2908">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7">
        <f t="shared" si="41"/>
        <v>0</v>
      </c>
      <c r="S138" s="250">
        <f t="shared" si="42"/>
        <v>0</v>
      </c>
      <c r="T138" s="858">
        <f t="shared" si="43"/>
        <v>0</v>
      </c>
      <c r="U138" s="2908">
        <f t="shared" si="37"/>
        <v>0</v>
      </c>
      <c r="V138" s="2908">
        <f t="shared" si="38"/>
        <v>0</v>
      </c>
      <c r="W138" s="955"/>
      <c r="X138" s="2908">
        <f t="shared" si="39"/>
        <v>0</v>
      </c>
      <c r="Y138" s="2908">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7">
        <f t="shared" si="41"/>
        <v>0</v>
      </c>
      <c r="S139" s="250">
        <f t="shared" si="42"/>
        <v>0</v>
      </c>
      <c r="T139" s="858">
        <f t="shared" si="43"/>
        <v>0</v>
      </c>
      <c r="U139" s="2908">
        <f t="shared" si="37"/>
        <v>0</v>
      </c>
      <c r="V139" s="2908">
        <f t="shared" si="38"/>
        <v>0</v>
      </c>
      <c r="W139" s="955"/>
      <c r="X139" s="2908">
        <f t="shared" si="39"/>
        <v>0</v>
      </c>
      <c r="Y139" s="2908">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7">
        <f t="shared" si="41"/>
        <v>0</v>
      </c>
      <c r="S140" s="250">
        <f t="shared" si="42"/>
        <v>0</v>
      </c>
      <c r="T140" s="858">
        <f t="shared" si="43"/>
        <v>0</v>
      </c>
      <c r="U140" s="2908">
        <f t="shared" si="37"/>
        <v>0</v>
      </c>
      <c r="V140" s="2908">
        <f t="shared" si="38"/>
        <v>0</v>
      </c>
      <c r="W140" s="955"/>
      <c r="X140" s="2908">
        <f t="shared" si="39"/>
        <v>0</v>
      </c>
      <c r="Y140" s="2908">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7">
        <f t="shared" si="41"/>
        <v>0</v>
      </c>
      <c r="S141" s="250">
        <f t="shared" si="42"/>
        <v>0</v>
      </c>
      <c r="T141" s="858">
        <f t="shared" si="43"/>
        <v>0</v>
      </c>
      <c r="U141" s="2908">
        <f t="shared" si="37"/>
        <v>0</v>
      </c>
      <c r="V141" s="2908">
        <f t="shared" si="38"/>
        <v>0</v>
      </c>
      <c r="W141" s="955"/>
      <c r="X141" s="2908">
        <f t="shared" si="39"/>
        <v>0</v>
      </c>
      <c r="Y141" s="2908">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7">
        <f t="shared" si="41"/>
        <v>0</v>
      </c>
      <c r="S142" s="250">
        <f t="shared" si="42"/>
        <v>0</v>
      </c>
      <c r="T142" s="858">
        <f t="shared" si="43"/>
        <v>0</v>
      </c>
      <c r="U142" s="2908">
        <f t="shared" si="37"/>
        <v>0</v>
      </c>
      <c r="V142" s="2908">
        <f t="shared" si="38"/>
        <v>0</v>
      </c>
      <c r="W142" s="955"/>
      <c r="X142" s="2908">
        <f t="shared" si="39"/>
        <v>0</v>
      </c>
      <c r="Y142" s="2908">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7">
        <f t="shared" si="41"/>
        <v>0</v>
      </c>
      <c r="S143" s="250">
        <f t="shared" si="42"/>
        <v>0</v>
      </c>
      <c r="T143" s="858">
        <f t="shared" si="43"/>
        <v>0</v>
      </c>
      <c r="U143" s="2908">
        <f t="shared" si="37"/>
        <v>0</v>
      </c>
      <c r="V143" s="2908">
        <f t="shared" si="38"/>
        <v>0</v>
      </c>
      <c r="W143" s="955"/>
      <c r="X143" s="2908">
        <f t="shared" si="39"/>
        <v>0</v>
      </c>
      <c r="Y143" s="2908">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7">
        <f t="shared" si="41"/>
        <v>0</v>
      </c>
      <c r="S144" s="250">
        <f t="shared" si="42"/>
        <v>0</v>
      </c>
      <c r="T144" s="858">
        <f t="shared" si="43"/>
        <v>0</v>
      </c>
      <c r="U144" s="2908">
        <f t="shared" si="37"/>
        <v>0</v>
      </c>
      <c r="V144" s="2908">
        <f t="shared" si="38"/>
        <v>0</v>
      </c>
      <c r="W144" s="955"/>
      <c r="X144" s="2908">
        <f t="shared" si="39"/>
        <v>0</v>
      </c>
      <c r="Y144" s="2908">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7">
        <f t="shared" si="41"/>
        <v>0</v>
      </c>
      <c r="S145" s="250">
        <f t="shared" si="42"/>
        <v>0</v>
      </c>
      <c r="T145" s="858">
        <f t="shared" si="43"/>
        <v>0</v>
      </c>
      <c r="U145" s="2908">
        <f t="shared" si="37"/>
        <v>0</v>
      </c>
      <c r="V145" s="2908">
        <f t="shared" si="38"/>
        <v>0</v>
      </c>
      <c r="W145" s="955"/>
      <c r="X145" s="2908">
        <f t="shared" si="39"/>
        <v>0</v>
      </c>
      <c r="Y145" s="2908">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7">
        <f t="shared" si="41"/>
        <v>0</v>
      </c>
      <c r="S146" s="250">
        <f t="shared" si="42"/>
        <v>0</v>
      </c>
      <c r="T146" s="858">
        <f t="shared" si="43"/>
        <v>0</v>
      </c>
      <c r="U146" s="2908">
        <f t="shared" si="37"/>
        <v>0</v>
      </c>
      <c r="V146" s="2908">
        <f t="shared" si="38"/>
        <v>0</v>
      </c>
      <c r="W146" s="955"/>
      <c r="X146" s="2908">
        <f t="shared" si="39"/>
        <v>0</v>
      </c>
      <c r="Y146" s="2908">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7">
        <f t="shared" si="41"/>
        <v>0</v>
      </c>
      <c r="S147" s="250">
        <f t="shared" si="42"/>
        <v>0</v>
      </c>
      <c r="T147" s="858">
        <f t="shared" si="43"/>
        <v>0</v>
      </c>
      <c r="U147" s="2908">
        <f t="shared" si="37"/>
        <v>0</v>
      </c>
      <c r="V147" s="2908">
        <f t="shared" si="38"/>
        <v>0</v>
      </c>
      <c r="W147" s="955"/>
      <c r="X147" s="2908">
        <f t="shared" si="39"/>
        <v>0</v>
      </c>
      <c r="Y147" s="2908">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7">
        <f t="shared" si="41"/>
        <v>0</v>
      </c>
      <c r="S148" s="250">
        <f t="shared" si="42"/>
        <v>0</v>
      </c>
      <c r="T148" s="858">
        <f t="shared" si="43"/>
        <v>0</v>
      </c>
      <c r="U148" s="2908">
        <f t="shared" si="37"/>
        <v>0</v>
      </c>
      <c r="V148" s="2908">
        <f t="shared" si="38"/>
        <v>0</v>
      </c>
      <c r="W148" s="955"/>
      <c r="X148" s="2908">
        <f t="shared" si="39"/>
        <v>0</v>
      </c>
      <c r="Y148" s="2908">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7">
        <f t="shared" si="41"/>
        <v>0</v>
      </c>
      <c r="S149" s="250">
        <f t="shared" si="42"/>
        <v>0</v>
      </c>
      <c r="T149" s="858">
        <f t="shared" si="43"/>
        <v>0</v>
      </c>
      <c r="U149" s="2908">
        <f t="shared" si="37"/>
        <v>0</v>
      </c>
      <c r="V149" s="2908">
        <f t="shared" si="38"/>
        <v>0</v>
      </c>
      <c r="W149" s="955"/>
      <c r="X149" s="2908">
        <f t="shared" si="39"/>
        <v>0</v>
      </c>
      <c r="Y149" s="2908">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7">
        <f t="shared" si="41"/>
        <v>0</v>
      </c>
      <c r="S150" s="250">
        <f t="shared" si="42"/>
        <v>0</v>
      </c>
      <c r="T150" s="858">
        <f t="shared" si="43"/>
        <v>0</v>
      </c>
      <c r="U150" s="2908">
        <f t="shared" si="37"/>
        <v>0</v>
      </c>
      <c r="V150" s="2908">
        <f t="shared" si="38"/>
        <v>0</v>
      </c>
      <c r="W150" s="955"/>
      <c r="X150" s="2908">
        <f t="shared" si="39"/>
        <v>0</v>
      </c>
      <c r="Y150" s="2908">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7">
        <f t="shared" si="41"/>
        <v>0</v>
      </c>
      <c r="S151" s="250">
        <f t="shared" si="42"/>
        <v>0</v>
      </c>
      <c r="T151" s="858">
        <f t="shared" si="43"/>
        <v>0</v>
      </c>
      <c r="U151" s="2908">
        <f t="shared" si="37"/>
        <v>0</v>
      </c>
      <c r="V151" s="2908">
        <f t="shared" si="38"/>
        <v>0</v>
      </c>
      <c r="W151" s="955"/>
      <c r="X151" s="2908">
        <f t="shared" si="39"/>
        <v>0</v>
      </c>
      <c r="Y151" s="2908">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7">
        <f t="shared" si="41"/>
        <v>0</v>
      </c>
      <c r="S152" s="250">
        <f t="shared" si="42"/>
        <v>0</v>
      </c>
      <c r="T152" s="858">
        <f t="shared" si="43"/>
        <v>0</v>
      </c>
      <c r="U152" s="2908">
        <f t="shared" si="37"/>
        <v>0</v>
      </c>
      <c r="V152" s="2908">
        <f t="shared" si="38"/>
        <v>0</v>
      </c>
      <c r="W152" s="955"/>
      <c r="X152" s="2908">
        <f t="shared" si="39"/>
        <v>0</v>
      </c>
      <c r="Y152" s="2908">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7">
        <f t="shared" si="41"/>
        <v>0</v>
      </c>
      <c r="S153" s="250">
        <f t="shared" si="42"/>
        <v>0</v>
      </c>
      <c r="T153" s="858">
        <f t="shared" si="43"/>
        <v>0</v>
      </c>
      <c r="U153" s="2908">
        <f t="shared" si="37"/>
        <v>0</v>
      </c>
      <c r="V153" s="2908">
        <f t="shared" si="38"/>
        <v>0</v>
      </c>
      <c r="W153" s="955"/>
      <c r="X153" s="2908">
        <f t="shared" si="39"/>
        <v>0</v>
      </c>
      <c r="Y153" s="2908">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7">
        <f t="shared" si="41"/>
        <v>0</v>
      </c>
      <c r="S154" s="250">
        <f t="shared" si="42"/>
        <v>0</v>
      </c>
      <c r="T154" s="858">
        <f t="shared" si="43"/>
        <v>0</v>
      </c>
      <c r="U154" s="2908">
        <f t="shared" si="37"/>
        <v>0</v>
      </c>
      <c r="V154" s="2908">
        <f t="shared" si="38"/>
        <v>0</v>
      </c>
      <c r="W154" s="955"/>
      <c r="X154" s="2908">
        <f t="shared" si="39"/>
        <v>0</v>
      </c>
      <c r="Y154" s="2908">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7">
        <f t="shared" si="41"/>
        <v>0</v>
      </c>
      <c r="S155" s="250">
        <f t="shared" si="42"/>
        <v>0</v>
      </c>
      <c r="T155" s="858">
        <f t="shared" si="43"/>
        <v>0</v>
      </c>
      <c r="U155" s="2908">
        <f t="shared" si="37"/>
        <v>0</v>
      </c>
      <c r="V155" s="2908">
        <f t="shared" si="38"/>
        <v>0</v>
      </c>
      <c r="W155" s="955"/>
      <c r="X155" s="2908">
        <f t="shared" si="39"/>
        <v>0</v>
      </c>
      <c r="Y155" s="2908">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7">
        <f t="shared" si="41"/>
        <v>0</v>
      </c>
      <c r="S156" s="250">
        <f t="shared" si="42"/>
        <v>0</v>
      </c>
      <c r="T156" s="858">
        <f t="shared" si="43"/>
        <v>0</v>
      </c>
      <c r="U156" s="2908">
        <f t="shared" ref="U156:U219" si="52">ROUND(W156*B156,0)</f>
        <v>0</v>
      </c>
      <c r="V156" s="2908">
        <f t="shared" ref="V156:V219" si="53">ROUND(W156*B156/10000,0)</f>
        <v>0</v>
      </c>
      <c r="W156" s="955"/>
      <c r="X156" s="2908">
        <f t="shared" ref="X156:X219" si="54">ROUND(Z156*B156,0)</f>
        <v>0</v>
      </c>
      <c r="Y156" s="2908">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7">
        <f t="shared" ref="R157:R220" si="56">IF(B157="",0,ROUND($R$27*C157*E157*G157*I157*K157*M157*O157*Q157,0))</f>
        <v>0</v>
      </c>
      <c r="S157" s="250">
        <f t="shared" ref="S157:S220" si="57">ROUND(R157*B157,0)</f>
        <v>0</v>
      </c>
      <c r="T157" s="858">
        <f t="shared" ref="T157:T220" si="58">ROUND(R157*B157/10000,0)</f>
        <v>0</v>
      </c>
      <c r="U157" s="2908">
        <f t="shared" si="52"/>
        <v>0</v>
      </c>
      <c r="V157" s="2908">
        <f t="shared" si="53"/>
        <v>0</v>
      </c>
      <c r="W157" s="955"/>
      <c r="X157" s="2908">
        <f t="shared" si="54"/>
        <v>0</v>
      </c>
      <c r="Y157" s="2908">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7">
        <f t="shared" si="56"/>
        <v>0</v>
      </c>
      <c r="S158" s="250">
        <f t="shared" si="57"/>
        <v>0</v>
      </c>
      <c r="T158" s="858">
        <f t="shared" si="58"/>
        <v>0</v>
      </c>
      <c r="U158" s="2908">
        <f t="shared" si="52"/>
        <v>0</v>
      </c>
      <c r="V158" s="2908">
        <f t="shared" si="53"/>
        <v>0</v>
      </c>
      <c r="W158" s="955"/>
      <c r="X158" s="2908">
        <f t="shared" si="54"/>
        <v>0</v>
      </c>
      <c r="Y158" s="2908">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7">
        <f t="shared" si="56"/>
        <v>0</v>
      </c>
      <c r="S159" s="250">
        <f t="shared" si="57"/>
        <v>0</v>
      </c>
      <c r="T159" s="858">
        <f t="shared" si="58"/>
        <v>0</v>
      </c>
      <c r="U159" s="2908">
        <f t="shared" si="52"/>
        <v>0</v>
      </c>
      <c r="V159" s="2908">
        <f t="shared" si="53"/>
        <v>0</v>
      </c>
      <c r="W159" s="955"/>
      <c r="X159" s="2908">
        <f t="shared" si="54"/>
        <v>0</v>
      </c>
      <c r="Y159" s="2908">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7">
        <f t="shared" si="56"/>
        <v>0</v>
      </c>
      <c r="S160" s="250">
        <f t="shared" si="57"/>
        <v>0</v>
      </c>
      <c r="T160" s="858">
        <f t="shared" si="58"/>
        <v>0</v>
      </c>
      <c r="U160" s="2908">
        <f t="shared" si="52"/>
        <v>0</v>
      </c>
      <c r="V160" s="2908">
        <f t="shared" si="53"/>
        <v>0</v>
      </c>
      <c r="W160" s="955"/>
      <c r="X160" s="2908">
        <f t="shared" si="54"/>
        <v>0</v>
      </c>
      <c r="Y160" s="2908">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7">
        <f t="shared" si="56"/>
        <v>0</v>
      </c>
      <c r="S161" s="250">
        <f t="shared" si="57"/>
        <v>0</v>
      </c>
      <c r="T161" s="858">
        <f t="shared" si="58"/>
        <v>0</v>
      </c>
      <c r="U161" s="2908">
        <f t="shared" si="52"/>
        <v>0</v>
      </c>
      <c r="V161" s="2908">
        <f t="shared" si="53"/>
        <v>0</v>
      </c>
      <c r="W161" s="955"/>
      <c r="X161" s="2908">
        <f t="shared" si="54"/>
        <v>0</v>
      </c>
      <c r="Y161" s="2908">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7">
        <f t="shared" si="56"/>
        <v>0</v>
      </c>
      <c r="S162" s="250">
        <f t="shared" si="57"/>
        <v>0</v>
      </c>
      <c r="T162" s="858">
        <f t="shared" si="58"/>
        <v>0</v>
      </c>
      <c r="U162" s="2908">
        <f t="shared" si="52"/>
        <v>0</v>
      </c>
      <c r="V162" s="2908">
        <f t="shared" si="53"/>
        <v>0</v>
      </c>
      <c r="W162" s="955"/>
      <c r="X162" s="2908">
        <f t="shared" si="54"/>
        <v>0</v>
      </c>
      <c r="Y162" s="2908">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7">
        <f t="shared" si="56"/>
        <v>0</v>
      </c>
      <c r="S163" s="250">
        <f t="shared" si="57"/>
        <v>0</v>
      </c>
      <c r="T163" s="858">
        <f t="shared" si="58"/>
        <v>0</v>
      </c>
      <c r="U163" s="2908">
        <f t="shared" si="52"/>
        <v>0</v>
      </c>
      <c r="V163" s="2908">
        <f t="shared" si="53"/>
        <v>0</v>
      </c>
      <c r="W163" s="955"/>
      <c r="X163" s="2908">
        <f t="shared" si="54"/>
        <v>0</v>
      </c>
      <c r="Y163" s="2908">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7">
        <f t="shared" si="56"/>
        <v>0</v>
      </c>
      <c r="S164" s="250">
        <f t="shared" si="57"/>
        <v>0</v>
      </c>
      <c r="T164" s="858">
        <f t="shared" si="58"/>
        <v>0</v>
      </c>
      <c r="U164" s="2908">
        <f t="shared" si="52"/>
        <v>0</v>
      </c>
      <c r="V164" s="2908">
        <f t="shared" si="53"/>
        <v>0</v>
      </c>
      <c r="W164" s="955"/>
      <c r="X164" s="2908">
        <f t="shared" si="54"/>
        <v>0</v>
      </c>
      <c r="Y164" s="2908">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7">
        <f t="shared" si="56"/>
        <v>0</v>
      </c>
      <c r="S165" s="250">
        <f t="shared" si="57"/>
        <v>0</v>
      </c>
      <c r="T165" s="858">
        <f t="shared" si="58"/>
        <v>0</v>
      </c>
      <c r="U165" s="2908">
        <f t="shared" si="52"/>
        <v>0</v>
      </c>
      <c r="V165" s="2908">
        <f t="shared" si="53"/>
        <v>0</v>
      </c>
      <c r="W165" s="955"/>
      <c r="X165" s="2908">
        <f t="shared" si="54"/>
        <v>0</v>
      </c>
      <c r="Y165" s="2908">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7">
        <f t="shared" si="56"/>
        <v>0</v>
      </c>
      <c r="S166" s="250">
        <f t="shared" si="57"/>
        <v>0</v>
      </c>
      <c r="T166" s="858">
        <f t="shared" si="58"/>
        <v>0</v>
      </c>
      <c r="U166" s="2908">
        <f t="shared" si="52"/>
        <v>0</v>
      </c>
      <c r="V166" s="2908">
        <f t="shared" si="53"/>
        <v>0</v>
      </c>
      <c r="W166" s="955"/>
      <c r="X166" s="2908">
        <f t="shared" si="54"/>
        <v>0</v>
      </c>
      <c r="Y166" s="2908">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7">
        <f t="shared" si="56"/>
        <v>0</v>
      </c>
      <c r="S167" s="250">
        <f t="shared" si="57"/>
        <v>0</v>
      </c>
      <c r="T167" s="858">
        <f t="shared" si="58"/>
        <v>0</v>
      </c>
      <c r="U167" s="2908">
        <f t="shared" si="52"/>
        <v>0</v>
      </c>
      <c r="V167" s="2908">
        <f t="shared" si="53"/>
        <v>0</v>
      </c>
      <c r="W167" s="955"/>
      <c r="X167" s="2908">
        <f t="shared" si="54"/>
        <v>0</v>
      </c>
      <c r="Y167" s="2908">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7">
        <f t="shared" si="56"/>
        <v>0</v>
      </c>
      <c r="S168" s="250">
        <f t="shared" si="57"/>
        <v>0</v>
      </c>
      <c r="T168" s="858">
        <f t="shared" si="58"/>
        <v>0</v>
      </c>
      <c r="U168" s="2908">
        <f t="shared" si="52"/>
        <v>0</v>
      </c>
      <c r="V168" s="2908">
        <f t="shared" si="53"/>
        <v>0</v>
      </c>
      <c r="W168" s="955"/>
      <c r="X168" s="2908">
        <f t="shared" si="54"/>
        <v>0</v>
      </c>
      <c r="Y168" s="2908">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7">
        <f t="shared" si="56"/>
        <v>0</v>
      </c>
      <c r="S169" s="250">
        <f t="shared" si="57"/>
        <v>0</v>
      </c>
      <c r="T169" s="858">
        <f t="shared" si="58"/>
        <v>0</v>
      </c>
      <c r="U169" s="2908">
        <f t="shared" si="52"/>
        <v>0</v>
      </c>
      <c r="V169" s="2908">
        <f t="shared" si="53"/>
        <v>0</v>
      </c>
      <c r="W169" s="955"/>
      <c r="X169" s="2908">
        <f t="shared" si="54"/>
        <v>0</v>
      </c>
      <c r="Y169" s="2908">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7">
        <f t="shared" si="56"/>
        <v>0</v>
      </c>
      <c r="S170" s="250">
        <f t="shared" si="57"/>
        <v>0</v>
      </c>
      <c r="T170" s="858">
        <f t="shared" si="58"/>
        <v>0</v>
      </c>
      <c r="U170" s="2908">
        <f t="shared" si="52"/>
        <v>0</v>
      </c>
      <c r="V170" s="2908">
        <f t="shared" si="53"/>
        <v>0</v>
      </c>
      <c r="W170" s="955"/>
      <c r="X170" s="2908">
        <f t="shared" si="54"/>
        <v>0</v>
      </c>
      <c r="Y170" s="2908">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7">
        <f t="shared" si="56"/>
        <v>0</v>
      </c>
      <c r="S171" s="250">
        <f t="shared" si="57"/>
        <v>0</v>
      </c>
      <c r="T171" s="858">
        <f t="shared" si="58"/>
        <v>0</v>
      </c>
      <c r="U171" s="2908">
        <f t="shared" si="52"/>
        <v>0</v>
      </c>
      <c r="V171" s="2908">
        <f t="shared" si="53"/>
        <v>0</v>
      </c>
      <c r="W171" s="955"/>
      <c r="X171" s="2908">
        <f t="shared" si="54"/>
        <v>0</v>
      </c>
      <c r="Y171" s="2908">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7">
        <f t="shared" si="56"/>
        <v>0</v>
      </c>
      <c r="S172" s="250">
        <f t="shared" si="57"/>
        <v>0</v>
      </c>
      <c r="T172" s="858">
        <f t="shared" si="58"/>
        <v>0</v>
      </c>
      <c r="U172" s="2908">
        <f t="shared" si="52"/>
        <v>0</v>
      </c>
      <c r="V172" s="2908">
        <f t="shared" si="53"/>
        <v>0</v>
      </c>
      <c r="W172" s="955"/>
      <c r="X172" s="2908">
        <f t="shared" si="54"/>
        <v>0</v>
      </c>
      <c r="Y172" s="2908">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7">
        <f t="shared" si="56"/>
        <v>0</v>
      </c>
      <c r="S173" s="250">
        <f t="shared" si="57"/>
        <v>0</v>
      </c>
      <c r="T173" s="858">
        <f t="shared" si="58"/>
        <v>0</v>
      </c>
      <c r="U173" s="2908">
        <f t="shared" si="52"/>
        <v>0</v>
      </c>
      <c r="V173" s="2908">
        <f t="shared" si="53"/>
        <v>0</v>
      </c>
      <c r="W173" s="955"/>
      <c r="X173" s="2908">
        <f t="shared" si="54"/>
        <v>0</v>
      </c>
      <c r="Y173" s="2908">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7">
        <f t="shared" si="56"/>
        <v>0</v>
      </c>
      <c r="S174" s="250">
        <f t="shared" si="57"/>
        <v>0</v>
      </c>
      <c r="T174" s="858">
        <f t="shared" si="58"/>
        <v>0</v>
      </c>
      <c r="U174" s="2908">
        <f t="shared" si="52"/>
        <v>0</v>
      </c>
      <c r="V174" s="2908">
        <f t="shared" si="53"/>
        <v>0</v>
      </c>
      <c r="W174" s="955"/>
      <c r="X174" s="2908">
        <f t="shared" si="54"/>
        <v>0</v>
      </c>
      <c r="Y174" s="2908">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7">
        <f t="shared" si="56"/>
        <v>0</v>
      </c>
      <c r="S175" s="250">
        <f t="shared" si="57"/>
        <v>0</v>
      </c>
      <c r="T175" s="858">
        <f t="shared" si="58"/>
        <v>0</v>
      </c>
      <c r="U175" s="2908">
        <f t="shared" si="52"/>
        <v>0</v>
      </c>
      <c r="V175" s="2908">
        <f t="shared" si="53"/>
        <v>0</v>
      </c>
      <c r="W175" s="955"/>
      <c r="X175" s="2908">
        <f t="shared" si="54"/>
        <v>0</v>
      </c>
      <c r="Y175" s="2908">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7">
        <f t="shared" si="56"/>
        <v>0</v>
      </c>
      <c r="S176" s="250">
        <f t="shared" si="57"/>
        <v>0</v>
      </c>
      <c r="T176" s="858">
        <f t="shared" si="58"/>
        <v>0</v>
      </c>
      <c r="U176" s="2908">
        <f t="shared" si="52"/>
        <v>0</v>
      </c>
      <c r="V176" s="2908">
        <f t="shared" si="53"/>
        <v>0</v>
      </c>
      <c r="W176" s="955"/>
      <c r="X176" s="2908">
        <f t="shared" si="54"/>
        <v>0</v>
      </c>
      <c r="Y176" s="2908">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7">
        <f t="shared" si="56"/>
        <v>0</v>
      </c>
      <c r="S177" s="250">
        <f t="shared" si="57"/>
        <v>0</v>
      </c>
      <c r="T177" s="858">
        <f t="shared" si="58"/>
        <v>0</v>
      </c>
      <c r="U177" s="2908">
        <f t="shared" si="52"/>
        <v>0</v>
      </c>
      <c r="V177" s="2908">
        <f t="shared" si="53"/>
        <v>0</v>
      </c>
      <c r="W177" s="955"/>
      <c r="X177" s="2908">
        <f t="shared" si="54"/>
        <v>0</v>
      </c>
      <c r="Y177" s="2908">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7">
        <f t="shared" si="56"/>
        <v>0</v>
      </c>
      <c r="S178" s="250">
        <f t="shared" si="57"/>
        <v>0</v>
      </c>
      <c r="T178" s="858">
        <f t="shared" si="58"/>
        <v>0</v>
      </c>
      <c r="U178" s="2908">
        <f t="shared" si="52"/>
        <v>0</v>
      </c>
      <c r="V178" s="2908">
        <f t="shared" si="53"/>
        <v>0</v>
      </c>
      <c r="W178" s="955"/>
      <c r="X178" s="2908">
        <f t="shared" si="54"/>
        <v>0</v>
      </c>
      <c r="Y178" s="2908">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7">
        <f t="shared" si="56"/>
        <v>0</v>
      </c>
      <c r="S179" s="250">
        <f t="shared" si="57"/>
        <v>0</v>
      </c>
      <c r="T179" s="858">
        <f t="shared" si="58"/>
        <v>0</v>
      </c>
      <c r="U179" s="2908">
        <f t="shared" si="52"/>
        <v>0</v>
      </c>
      <c r="V179" s="2908">
        <f t="shared" si="53"/>
        <v>0</v>
      </c>
      <c r="W179" s="955"/>
      <c r="X179" s="2908">
        <f t="shared" si="54"/>
        <v>0</v>
      </c>
      <c r="Y179" s="2908">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7">
        <f t="shared" si="56"/>
        <v>0</v>
      </c>
      <c r="S180" s="250">
        <f t="shared" si="57"/>
        <v>0</v>
      </c>
      <c r="T180" s="858">
        <f t="shared" si="58"/>
        <v>0</v>
      </c>
      <c r="U180" s="2908">
        <f t="shared" si="52"/>
        <v>0</v>
      </c>
      <c r="V180" s="2908">
        <f t="shared" si="53"/>
        <v>0</v>
      </c>
      <c r="W180" s="955"/>
      <c r="X180" s="2908">
        <f t="shared" si="54"/>
        <v>0</v>
      </c>
      <c r="Y180" s="2908">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7">
        <f t="shared" si="56"/>
        <v>0</v>
      </c>
      <c r="S181" s="250">
        <f t="shared" si="57"/>
        <v>0</v>
      </c>
      <c r="T181" s="858">
        <f t="shared" si="58"/>
        <v>0</v>
      </c>
      <c r="U181" s="2908">
        <f t="shared" si="52"/>
        <v>0</v>
      </c>
      <c r="V181" s="2908">
        <f t="shared" si="53"/>
        <v>0</v>
      </c>
      <c r="W181" s="955"/>
      <c r="X181" s="2908">
        <f t="shared" si="54"/>
        <v>0</v>
      </c>
      <c r="Y181" s="2908">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7">
        <f t="shared" si="56"/>
        <v>0</v>
      </c>
      <c r="S182" s="250">
        <f t="shared" si="57"/>
        <v>0</v>
      </c>
      <c r="T182" s="858">
        <f t="shared" si="58"/>
        <v>0</v>
      </c>
      <c r="U182" s="2908">
        <f t="shared" si="52"/>
        <v>0</v>
      </c>
      <c r="V182" s="2908">
        <f t="shared" si="53"/>
        <v>0</v>
      </c>
      <c r="W182" s="955"/>
      <c r="X182" s="2908">
        <f t="shared" si="54"/>
        <v>0</v>
      </c>
      <c r="Y182" s="2908">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7">
        <f t="shared" si="56"/>
        <v>0</v>
      </c>
      <c r="S183" s="250">
        <f t="shared" si="57"/>
        <v>0</v>
      </c>
      <c r="T183" s="858">
        <f t="shared" si="58"/>
        <v>0</v>
      </c>
      <c r="U183" s="2908">
        <f t="shared" si="52"/>
        <v>0</v>
      </c>
      <c r="V183" s="2908">
        <f t="shared" si="53"/>
        <v>0</v>
      </c>
      <c r="W183" s="955"/>
      <c r="X183" s="2908">
        <f t="shared" si="54"/>
        <v>0</v>
      </c>
      <c r="Y183" s="2908">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7">
        <f t="shared" si="56"/>
        <v>0</v>
      </c>
      <c r="S184" s="250">
        <f t="shared" si="57"/>
        <v>0</v>
      </c>
      <c r="T184" s="858">
        <f t="shared" si="58"/>
        <v>0</v>
      </c>
      <c r="U184" s="2908">
        <f t="shared" si="52"/>
        <v>0</v>
      </c>
      <c r="V184" s="2908">
        <f t="shared" si="53"/>
        <v>0</v>
      </c>
      <c r="W184" s="955"/>
      <c r="X184" s="2908">
        <f t="shared" si="54"/>
        <v>0</v>
      </c>
      <c r="Y184" s="2908">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7">
        <f t="shared" si="56"/>
        <v>0</v>
      </c>
      <c r="S185" s="250">
        <f t="shared" si="57"/>
        <v>0</v>
      </c>
      <c r="T185" s="858">
        <f t="shared" si="58"/>
        <v>0</v>
      </c>
      <c r="U185" s="2908">
        <f t="shared" si="52"/>
        <v>0</v>
      </c>
      <c r="V185" s="2908">
        <f t="shared" si="53"/>
        <v>0</v>
      </c>
      <c r="W185" s="955"/>
      <c r="X185" s="2908">
        <f t="shared" si="54"/>
        <v>0</v>
      </c>
      <c r="Y185" s="2908">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7">
        <f t="shared" si="56"/>
        <v>0</v>
      </c>
      <c r="S186" s="250">
        <f t="shared" si="57"/>
        <v>0</v>
      </c>
      <c r="T186" s="858">
        <f t="shared" si="58"/>
        <v>0</v>
      </c>
      <c r="U186" s="2908">
        <f t="shared" si="52"/>
        <v>0</v>
      </c>
      <c r="V186" s="2908">
        <f t="shared" si="53"/>
        <v>0</v>
      </c>
      <c r="W186" s="955"/>
      <c r="X186" s="2908">
        <f t="shared" si="54"/>
        <v>0</v>
      </c>
      <c r="Y186" s="2908">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7">
        <f t="shared" si="56"/>
        <v>0</v>
      </c>
      <c r="S187" s="250">
        <f t="shared" si="57"/>
        <v>0</v>
      </c>
      <c r="T187" s="858">
        <f t="shared" si="58"/>
        <v>0</v>
      </c>
      <c r="U187" s="2908">
        <f t="shared" si="52"/>
        <v>0</v>
      </c>
      <c r="V187" s="2908">
        <f t="shared" si="53"/>
        <v>0</v>
      </c>
      <c r="W187" s="955"/>
      <c r="X187" s="2908">
        <f t="shared" si="54"/>
        <v>0</v>
      </c>
      <c r="Y187" s="2908">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7">
        <f t="shared" si="56"/>
        <v>0</v>
      </c>
      <c r="S188" s="250">
        <f t="shared" si="57"/>
        <v>0</v>
      </c>
      <c r="T188" s="858">
        <f t="shared" si="58"/>
        <v>0</v>
      </c>
      <c r="U188" s="2908">
        <f t="shared" si="52"/>
        <v>0</v>
      </c>
      <c r="V188" s="2908">
        <f t="shared" si="53"/>
        <v>0</v>
      </c>
      <c r="W188" s="955"/>
      <c r="X188" s="2908">
        <f t="shared" si="54"/>
        <v>0</v>
      </c>
      <c r="Y188" s="2908">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7">
        <f t="shared" si="56"/>
        <v>0</v>
      </c>
      <c r="S189" s="250">
        <f t="shared" si="57"/>
        <v>0</v>
      </c>
      <c r="T189" s="858">
        <f t="shared" si="58"/>
        <v>0</v>
      </c>
      <c r="U189" s="2908">
        <f t="shared" si="52"/>
        <v>0</v>
      </c>
      <c r="V189" s="2908">
        <f t="shared" si="53"/>
        <v>0</v>
      </c>
      <c r="W189" s="955"/>
      <c r="X189" s="2908">
        <f t="shared" si="54"/>
        <v>0</v>
      </c>
      <c r="Y189" s="2908">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7">
        <f t="shared" si="56"/>
        <v>0</v>
      </c>
      <c r="S190" s="250">
        <f t="shared" si="57"/>
        <v>0</v>
      </c>
      <c r="T190" s="858">
        <f t="shared" si="58"/>
        <v>0</v>
      </c>
      <c r="U190" s="2908">
        <f t="shared" si="52"/>
        <v>0</v>
      </c>
      <c r="V190" s="2908">
        <f t="shared" si="53"/>
        <v>0</v>
      </c>
      <c r="W190" s="955"/>
      <c r="X190" s="2908">
        <f t="shared" si="54"/>
        <v>0</v>
      </c>
      <c r="Y190" s="2908">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7">
        <f t="shared" si="56"/>
        <v>0</v>
      </c>
      <c r="S191" s="250">
        <f t="shared" si="57"/>
        <v>0</v>
      </c>
      <c r="T191" s="858">
        <f t="shared" si="58"/>
        <v>0</v>
      </c>
      <c r="U191" s="2908">
        <f t="shared" si="52"/>
        <v>0</v>
      </c>
      <c r="V191" s="2908">
        <f t="shared" si="53"/>
        <v>0</v>
      </c>
      <c r="W191" s="955"/>
      <c r="X191" s="2908">
        <f t="shared" si="54"/>
        <v>0</v>
      </c>
      <c r="Y191" s="2908">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7">
        <f t="shared" si="56"/>
        <v>0</v>
      </c>
      <c r="S192" s="250">
        <f t="shared" si="57"/>
        <v>0</v>
      </c>
      <c r="T192" s="858">
        <f t="shared" si="58"/>
        <v>0</v>
      </c>
      <c r="U192" s="2908">
        <f t="shared" si="52"/>
        <v>0</v>
      </c>
      <c r="V192" s="2908">
        <f t="shared" si="53"/>
        <v>0</v>
      </c>
      <c r="W192" s="955"/>
      <c r="X192" s="2908">
        <f t="shared" si="54"/>
        <v>0</v>
      </c>
      <c r="Y192" s="2908">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7">
        <f t="shared" si="56"/>
        <v>0</v>
      </c>
      <c r="S193" s="250">
        <f t="shared" si="57"/>
        <v>0</v>
      </c>
      <c r="T193" s="858">
        <f t="shared" si="58"/>
        <v>0</v>
      </c>
      <c r="U193" s="2908">
        <f t="shared" si="52"/>
        <v>0</v>
      </c>
      <c r="V193" s="2908">
        <f t="shared" si="53"/>
        <v>0</v>
      </c>
      <c r="W193" s="955"/>
      <c r="X193" s="2908">
        <f t="shared" si="54"/>
        <v>0</v>
      </c>
      <c r="Y193" s="2908">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7">
        <f t="shared" si="56"/>
        <v>0</v>
      </c>
      <c r="S194" s="250">
        <f t="shared" si="57"/>
        <v>0</v>
      </c>
      <c r="T194" s="858">
        <f t="shared" si="58"/>
        <v>0</v>
      </c>
      <c r="U194" s="2908">
        <f t="shared" si="52"/>
        <v>0</v>
      </c>
      <c r="V194" s="2908">
        <f t="shared" si="53"/>
        <v>0</v>
      </c>
      <c r="W194" s="955"/>
      <c r="X194" s="2908">
        <f t="shared" si="54"/>
        <v>0</v>
      </c>
      <c r="Y194" s="2908">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7">
        <f t="shared" si="56"/>
        <v>0</v>
      </c>
      <c r="S195" s="250">
        <f t="shared" si="57"/>
        <v>0</v>
      </c>
      <c r="T195" s="858">
        <f t="shared" si="58"/>
        <v>0</v>
      </c>
      <c r="U195" s="2908">
        <f t="shared" si="52"/>
        <v>0</v>
      </c>
      <c r="V195" s="2908">
        <f t="shared" si="53"/>
        <v>0</v>
      </c>
      <c r="W195" s="955"/>
      <c r="X195" s="2908">
        <f t="shared" si="54"/>
        <v>0</v>
      </c>
      <c r="Y195" s="2908">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7">
        <f t="shared" si="56"/>
        <v>0</v>
      </c>
      <c r="S196" s="250">
        <f t="shared" si="57"/>
        <v>0</v>
      </c>
      <c r="T196" s="858">
        <f t="shared" si="58"/>
        <v>0</v>
      </c>
      <c r="U196" s="2908">
        <f t="shared" si="52"/>
        <v>0</v>
      </c>
      <c r="V196" s="2908">
        <f t="shared" si="53"/>
        <v>0</v>
      </c>
      <c r="W196" s="955"/>
      <c r="X196" s="2908">
        <f t="shared" si="54"/>
        <v>0</v>
      </c>
      <c r="Y196" s="2908">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7">
        <f t="shared" si="56"/>
        <v>0</v>
      </c>
      <c r="S197" s="250">
        <f t="shared" si="57"/>
        <v>0</v>
      </c>
      <c r="T197" s="858">
        <f t="shared" si="58"/>
        <v>0</v>
      </c>
      <c r="U197" s="2908">
        <f t="shared" si="52"/>
        <v>0</v>
      </c>
      <c r="V197" s="2908">
        <f t="shared" si="53"/>
        <v>0</v>
      </c>
      <c r="W197" s="955"/>
      <c r="X197" s="2908">
        <f t="shared" si="54"/>
        <v>0</v>
      </c>
      <c r="Y197" s="2908">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7">
        <f t="shared" si="56"/>
        <v>0</v>
      </c>
      <c r="S198" s="250">
        <f t="shared" si="57"/>
        <v>0</v>
      </c>
      <c r="T198" s="858">
        <f t="shared" si="58"/>
        <v>0</v>
      </c>
      <c r="U198" s="2908">
        <f t="shared" si="52"/>
        <v>0</v>
      </c>
      <c r="V198" s="2908">
        <f t="shared" si="53"/>
        <v>0</v>
      </c>
      <c r="W198" s="955"/>
      <c r="X198" s="2908">
        <f t="shared" si="54"/>
        <v>0</v>
      </c>
      <c r="Y198" s="2908">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7">
        <f t="shared" si="56"/>
        <v>0</v>
      </c>
      <c r="S199" s="250">
        <f t="shared" si="57"/>
        <v>0</v>
      </c>
      <c r="T199" s="858">
        <f t="shared" si="58"/>
        <v>0</v>
      </c>
      <c r="U199" s="2908">
        <f t="shared" si="52"/>
        <v>0</v>
      </c>
      <c r="V199" s="2908">
        <f t="shared" si="53"/>
        <v>0</v>
      </c>
      <c r="W199" s="955"/>
      <c r="X199" s="2908">
        <f t="shared" si="54"/>
        <v>0</v>
      </c>
      <c r="Y199" s="2908">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7">
        <f t="shared" si="56"/>
        <v>0</v>
      </c>
      <c r="S200" s="250">
        <f t="shared" si="57"/>
        <v>0</v>
      </c>
      <c r="T200" s="858">
        <f t="shared" si="58"/>
        <v>0</v>
      </c>
      <c r="U200" s="2908">
        <f t="shared" si="52"/>
        <v>0</v>
      </c>
      <c r="V200" s="2908">
        <f t="shared" si="53"/>
        <v>0</v>
      </c>
      <c r="W200" s="955"/>
      <c r="X200" s="2908">
        <f t="shared" si="54"/>
        <v>0</v>
      </c>
      <c r="Y200" s="2908">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7">
        <f t="shared" si="56"/>
        <v>0</v>
      </c>
      <c r="S201" s="250">
        <f t="shared" si="57"/>
        <v>0</v>
      </c>
      <c r="T201" s="858">
        <f t="shared" si="58"/>
        <v>0</v>
      </c>
      <c r="U201" s="2908">
        <f t="shared" si="52"/>
        <v>0</v>
      </c>
      <c r="V201" s="2908">
        <f t="shared" si="53"/>
        <v>0</v>
      </c>
      <c r="W201" s="955"/>
      <c r="X201" s="2908">
        <f t="shared" si="54"/>
        <v>0</v>
      </c>
      <c r="Y201" s="2908">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7">
        <f t="shared" si="56"/>
        <v>0</v>
      </c>
      <c r="S202" s="250">
        <f t="shared" si="57"/>
        <v>0</v>
      </c>
      <c r="T202" s="858">
        <f t="shared" si="58"/>
        <v>0</v>
      </c>
      <c r="U202" s="2908">
        <f t="shared" si="52"/>
        <v>0</v>
      </c>
      <c r="V202" s="2908">
        <f t="shared" si="53"/>
        <v>0</v>
      </c>
      <c r="W202" s="955"/>
      <c r="X202" s="2908">
        <f t="shared" si="54"/>
        <v>0</v>
      </c>
      <c r="Y202" s="2908">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7">
        <f t="shared" si="56"/>
        <v>0</v>
      </c>
      <c r="S203" s="250">
        <f t="shared" si="57"/>
        <v>0</v>
      </c>
      <c r="T203" s="858">
        <f t="shared" si="58"/>
        <v>0</v>
      </c>
      <c r="U203" s="2908">
        <f t="shared" si="52"/>
        <v>0</v>
      </c>
      <c r="V203" s="2908">
        <f t="shared" si="53"/>
        <v>0</v>
      </c>
      <c r="W203" s="955"/>
      <c r="X203" s="2908">
        <f t="shared" si="54"/>
        <v>0</v>
      </c>
      <c r="Y203" s="2908">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7">
        <f t="shared" si="56"/>
        <v>0</v>
      </c>
      <c r="S204" s="250">
        <f t="shared" si="57"/>
        <v>0</v>
      </c>
      <c r="T204" s="858">
        <f t="shared" si="58"/>
        <v>0</v>
      </c>
      <c r="U204" s="2908">
        <f t="shared" si="52"/>
        <v>0</v>
      </c>
      <c r="V204" s="2908">
        <f t="shared" si="53"/>
        <v>0</v>
      </c>
      <c r="W204" s="955"/>
      <c r="X204" s="2908">
        <f t="shared" si="54"/>
        <v>0</v>
      </c>
      <c r="Y204" s="2908">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7">
        <f t="shared" si="56"/>
        <v>0</v>
      </c>
      <c r="S205" s="250">
        <f t="shared" si="57"/>
        <v>0</v>
      </c>
      <c r="T205" s="858">
        <f t="shared" si="58"/>
        <v>0</v>
      </c>
      <c r="U205" s="2908">
        <f t="shared" si="52"/>
        <v>0</v>
      </c>
      <c r="V205" s="2908">
        <f t="shared" si="53"/>
        <v>0</v>
      </c>
      <c r="W205" s="955"/>
      <c r="X205" s="2908">
        <f t="shared" si="54"/>
        <v>0</v>
      </c>
      <c r="Y205" s="2908">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7">
        <f t="shared" si="56"/>
        <v>0</v>
      </c>
      <c r="S206" s="250">
        <f t="shared" si="57"/>
        <v>0</v>
      </c>
      <c r="T206" s="858">
        <f t="shared" si="58"/>
        <v>0</v>
      </c>
      <c r="U206" s="2908">
        <f t="shared" si="52"/>
        <v>0</v>
      </c>
      <c r="V206" s="2908">
        <f t="shared" si="53"/>
        <v>0</v>
      </c>
      <c r="W206" s="955"/>
      <c r="X206" s="2908">
        <f t="shared" si="54"/>
        <v>0</v>
      </c>
      <c r="Y206" s="2908">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7">
        <f t="shared" si="56"/>
        <v>0</v>
      </c>
      <c r="S207" s="250">
        <f t="shared" si="57"/>
        <v>0</v>
      </c>
      <c r="T207" s="858">
        <f t="shared" si="58"/>
        <v>0</v>
      </c>
      <c r="U207" s="2908">
        <f t="shared" si="52"/>
        <v>0</v>
      </c>
      <c r="V207" s="2908">
        <f t="shared" si="53"/>
        <v>0</v>
      </c>
      <c r="W207" s="955"/>
      <c r="X207" s="2908">
        <f t="shared" si="54"/>
        <v>0</v>
      </c>
      <c r="Y207" s="2908">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7">
        <f t="shared" si="56"/>
        <v>0</v>
      </c>
      <c r="S208" s="250">
        <f t="shared" si="57"/>
        <v>0</v>
      </c>
      <c r="T208" s="858">
        <f t="shared" si="58"/>
        <v>0</v>
      </c>
      <c r="U208" s="2908">
        <f t="shared" si="52"/>
        <v>0</v>
      </c>
      <c r="V208" s="2908">
        <f t="shared" si="53"/>
        <v>0</v>
      </c>
      <c r="W208" s="955"/>
      <c r="X208" s="2908">
        <f t="shared" si="54"/>
        <v>0</v>
      </c>
      <c r="Y208" s="2908">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7">
        <f t="shared" si="56"/>
        <v>0</v>
      </c>
      <c r="S209" s="250">
        <f t="shared" si="57"/>
        <v>0</v>
      </c>
      <c r="T209" s="858">
        <f t="shared" si="58"/>
        <v>0</v>
      </c>
      <c r="U209" s="2908">
        <f t="shared" si="52"/>
        <v>0</v>
      </c>
      <c r="V209" s="2908">
        <f t="shared" si="53"/>
        <v>0</v>
      </c>
      <c r="W209" s="955"/>
      <c r="X209" s="2908">
        <f t="shared" si="54"/>
        <v>0</v>
      </c>
      <c r="Y209" s="2908">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7">
        <f t="shared" si="56"/>
        <v>0</v>
      </c>
      <c r="S210" s="250">
        <f t="shared" si="57"/>
        <v>0</v>
      </c>
      <c r="T210" s="858">
        <f t="shared" si="58"/>
        <v>0</v>
      </c>
      <c r="U210" s="2908">
        <f t="shared" si="52"/>
        <v>0</v>
      </c>
      <c r="V210" s="2908">
        <f t="shared" si="53"/>
        <v>0</v>
      </c>
      <c r="W210" s="955"/>
      <c r="X210" s="2908">
        <f t="shared" si="54"/>
        <v>0</v>
      </c>
      <c r="Y210" s="2908">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7">
        <f t="shared" si="56"/>
        <v>0</v>
      </c>
      <c r="S211" s="250">
        <f t="shared" si="57"/>
        <v>0</v>
      </c>
      <c r="T211" s="858">
        <f t="shared" si="58"/>
        <v>0</v>
      </c>
      <c r="U211" s="2908">
        <f t="shared" si="52"/>
        <v>0</v>
      </c>
      <c r="V211" s="2908">
        <f t="shared" si="53"/>
        <v>0</v>
      </c>
      <c r="W211" s="955"/>
      <c r="X211" s="2908">
        <f t="shared" si="54"/>
        <v>0</v>
      </c>
      <c r="Y211" s="2908">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7">
        <f t="shared" si="56"/>
        <v>0</v>
      </c>
      <c r="S212" s="250">
        <f t="shared" si="57"/>
        <v>0</v>
      </c>
      <c r="T212" s="858">
        <f t="shared" si="58"/>
        <v>0</v>
      </c>
      <c r="U212" s="2908">
        <f t="shared" si="52"/>
        <v>0</v>
      </c>
      <c r="V212" s="2908">
        <f t="shared" si="53"/>
        <v>0</v>
      </c>
      <c r="W212" s="955"/>
      <c r="X212" s="2908">
        <f t="shared" si="54"/>
        <v>0</v>
      </c>
      <c r="Y212" s="2908">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7">
        <f t="shared" si="56"/>
        <v>0</v>
      </c>
      <c r="S213" s="250">
        <f t="shared" si="57"/>
        <v>0</v>
      </c>
      <c r="T213" s="858">
        <f t="shared" si="58"/>
        <v>0</v>
      </c>
      <c r="U213" s="2908">
        <f t="shared" si="52"/>
        <v>0</v>
      </c>
      <c r="V213" s="2908">
        <f t="shared" si="53"/>
        <v>0</v>
      </c>
      <c r="W213" s="955"/>
      <c r="X213" s="2908">
        <f t="shared" si="54"/>
        <v>0</v>
      </c>
      <c r="Y213" s="2908">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7">
        <f t="shared" si="56"/>
        <v>0</v>
      </c>
      <c r="S214" s="250">
        <f t="shared" si="57"/>
        <v>0</v>
      </c>
      <c r="T214" s="858">
        <f t="shared" si="58"/>
        <v>0</v>
      </c>
      <c r="U214" s="2908">
        <f t="shared" si="52"/>
        <v>0</v>
      </c>
      <c r="V214" s="2908">
        <f t="shared" si="53"/>
        <v>0</v>
      </c>
      <c r="W214" s="955"/>
      <c r="X214" s="2908">
        <f t="shared" si="54"/>
        <v>0</v>
      </c>
      <c r="Y214" s="2908">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7">
        <f t="shared" si="56"/>
        <v>0</v>
      </c>
      <c r="S215" s="250">
        <f t="shared" si="57"/>
        <v>0</v>
      </c>
      <c r="T215" s="858">
        <f t="shared" si="58"/>
        <v>0</v>
      </c>
      <c r="U215" s="2908">
        <f t="shared" si="52"/>
        <v>0</v>
      </c>
      <c r="V215" s="2908">
        <f t="shared" si="53"/>
        <v>0</v>
      </c>
      <c r="W215" s="955"/>
      <c r="X215" s="2908">
        <f t="shared" si="54"/>
        <v>0</v>
      </c>
      <c r="Y215" s="2908">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7">
        <f t="shared" si="56"/>
        <v>0</v>
      </c>
      <c r="S216" s="250">
        <f t="shared" si="57"/>
        <v>0</v>
      </c>
      <c r="T216" s="858">
        <f t="shared" si="58"/>
        <v>0</v>
      </c>
      <c r="U216" s="2908">
        <f t="shared" si="52"/>
        <v>0</v>
      </c>
      <c r="V216" s="2908">
        <f t="shared" si="53"/>
        <v>0</v>
      </c>
      <c r="W216" s="955"/>
      <c r="X216" s="2908">
        <f t="shared" si="54"/>
        <v>0</v>
      </c>
      <c r="Y216" s="2908">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7">
        <f t="shared" si="56"/>
        <v>0</v>
      </c>
      <c r="S217" s="250">
        <f t="shared" si="57"/>
        <v>0</v>
      </c>
      <c r="T217" s="858">
        <f t="shared" si="58"/>
        <v>0</v>
      </c>
      <c r="U217" s="2908">
        <f t="shared" si="52"/>
        <v>0</v>
      </c>
      <c r="V217" s="2908">
        <f t="shared" si="53"/>
        <v>0</v>
      </c>
      <c r="W217" s="955"/>
      <c r="X217" s="2908">
        <f t="shared" si="54"/>
        <v>0</v>
      </c>
      <c r="Y217" s="2908">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7">
        <f t="shared" si="56"/>
        <v>0</v>
      </c>
      <c r="S218" s="250">
        <f t="shared" si="57"/>
        <v>0</v>
      </c>
      <c r="T218" s="858">
        <f t="shared" si="58"/>
        <v>0</v>
      </c>
      <c r="U218" s="2908">
        <f t="shared" si="52"/>
        <v>0</v>
      </c>
      <c r="V218" s="2908">
        <f t="shared" si="53"/>
        <v>0</v>
      </c>
      <c r="W218" s="955"/>
      <c r="X218" s="2908">
        <f t="shared" si="54"/>
        <v>0</v>
      </c>
      <c r="Y218" s="2908">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7">
        <f t="shared" si="56"/>
        <v>0</v>
      </c>
      <c r="S219" s="250">
        <f t="shared" si="57"/>
        <v>0</v>
      </c>
      <c r="T219" s="858">
        <f t="shared" si="58"/>
        <v>0</v>
      </c>
      <c r="U219" s="2908">
        <f t="shared" si="52"/>
        <v>0</v>
      </c>
      <c r="V219" s="2908">
        <f t="shared" si="53"/>
        <v>0</v>
      </c>
      <c r="W219" s="955"/>
      <c r="X219" s="2908">
        <f t="shared" si="54"/>
        <v>0</v>
      </c>
      <c r="Y219" s="2908">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7">
        <f t="shared" si="56"/>
        <v>0</v>
      </c>
      <c r="S220" s="250">
        <f t="shared" si="57"/>
        <v>0</v>
      </c>
      <c r="T220" s="858">
        <f t="shared" si="58"/>
        <v>0</v>
      </c>
      <c r="U220" s="2908">
        <f t="shared" ref="U220:U283" si="67">ROUND(W220*B220,0)</f>
        <v>0</v>
      </c>
      <c r="V220" s="2908">
        <f t="shared" ref="V220:V283" si="68">ROUND(W220*B220/10000,0)</f>
        <v>0</v>
      </c>
      <c r="W220" s="955"/>
      <c r="X220" s="2908">
        <f t="shared" ref="X220:X283" si="69">ROUND(Z220*B220,0)</f>
        <v>0</v>
      </c>
      <c r="Y220" s="2908">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7">
        <f t="shared" ref="R221:R284" si="71">IF(B221="",0,ROUND($R$27*C221*E221*G221*I221*K221*M221*O221*Q221,0))</f>
        <v>0</v>
      </c>
      <c r="S221" s="250">
        <f t="shared" ref="S221:S284" si="72">ROUND(R221*B221,0)</f>
        <v>0</v>
      </c>
      <c r="T221" s="858">
        <f t="shared" ref="T221:T284" si="73">ROUND(R221*B221/10000,0)</f>
        <v>0</v>
      </c>
      <c r="U221" s="2908">
        <f t="shared" si="67"/>
        <v>0</v>
      </c>
      <c r="V221" s="2908">
        <f t="shared" si="68"/>
        <v>0</v>
      </c>
      <c r="W221" s="955"/>
      <c r="X221" s="2908">
        <f t="shared" si="69"/>
        <v>0</v>
      </c>
      <c r="Y221" s="2908">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7">
        <f t="shared" si="71"/>
        <v>0</v>
      </c>
      <c r="S222" s="250">
        <f t="shared" si="72"/>
        <v>0</v>
      </c>
      <c r="T222" s="858">
        <f t="shared" si="73"/>
        <v>0</v>
      </c>
      <c r="U222" s="2908">
        <f t="shared" si="67"/>
        <v>0</v>
      </c>
      <c r="V222" s="2908">
        <f t="shared" si="68"/>
        <v>0</v>
      </c>
      <c r="W222" s="955"/>
      <c r="X222" s="2908">
        <f t="shared" si="69"/>
        <v>0</v>
      </c>
      <c r="Y222" s="2908">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7">
        <f t="shared" si="71"/>
        <v>0</v>
      </c>
      <c r="S223" s="250">
        <f t="shared" si="72"/>
        <v>0</v>
      </c>
      <c r="T223" s="858">
        <f t="shared" si="73"/>
        <v>0</v>
      </c>
      <c r="U223" s="2908">
        <f t="shared" si="67"/>
        <v>0</v>
      </c>
      <c r="V223" s="2908">
        <f t="shared" si="68"/>
        <v>0</v>
      </c>
      <c r="W223" s="955"/>
      <c r="X223" s="2908">
        <f t="shared" si="69"/>
        <v>0</v>
      </c>
      <c r="Y223" s="2908">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7">
        <f t="shared" si="71"/>
        <v>0</v>
      </c>
      <c r="S224" s="250">
        <f t="shared" si="72"/>
        <v>0</v>
      </c>
      <c r="T224" s="858">
        <f t="shared" si="73"/>
        <v>0</v>
      </c>
      <c r="U224" s="2908">
        <f t="shared" si="67"/>
        <v>0</v>
      </c>
      <c r="V224" s="2908">
        <f t="shared" si="68"/>
        <v>0</v>
      </c>
      <c r="W224" s="955"/>
      <c r="X224" s="2908">
        <f t="shared" si="69"/>
        <v>0</v>
      </c>
      <c r="Y224" s="2908">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7">
        <f t="shared" si="71"/>
        <v>0</v>
      </c>
      <c r="S225" s="250">
        <f t="shared" si="72"/>
        <v>0</v>
      </c>
      <c r="T225" s="858">
        <f t="shared" si="73"/>
        <v>0</v>
      </c>
      <c r="U225" s="2908">
        <f t="shared" si="67"/>
        <v>0</v>
      </c>
      <c r="V225" s="2908">
        <f t="shared" si="68"/>
        <v>0</v>
      </c>
      <c r="W225" s="955"/>
      <c r="X225" s="2908">
        <f t="shared" si="69"/>
        <v>0</v>
      </c>
      <c r="Y225" s="2908">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7">
        <f t="shared" si="71"/>
        <v>0</v>
      </c>
      <c r="S226" s="250">
        <f t="shared" si="72"/>
        <v>0</v>
      </c>
      <c r="T226" s="858">
        <f t="shared" si="73"/>
        <v>0</v>
      </c>
      <c r="U226" s="2908">
        <f t="shared" si="67"/>
        <v>0</v>
      </c>
      <c r="V226" s="2908">
        <f t="shared" si="68"/>
        <v>0</v>
      </c>
      <c r="W226" s="955"/>
      <c r="X226" s="2908">
        <f t="shared" si="69"/>
        <v>0</v>
      </c>
      <c r="Y226" s="2908">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7">
        <f t="shared" si="71"/>
        <v>0</v>
      </c>
      <c r="S227" s="250">
        <f t="shared" si="72"/>
        <v>0</v>
      </c>
      <c r="T227" s="858">
        <f t="shared" si="73"/>
        <v>0</v>
      </c>
      <c r="U227" s="2908">
        <f t="shared" si="67"/>
        <v>0</v>
      </c>
      <c r="V227" s="2908">
        <f t="shared" si="68"/>
        <v>0</v>
      </c>
      <c r="W227" s="955"/>
      <c r="X227" s="2908">
        <f t="shared" si="69"/>
        <v>0</v>
      </c>
      <c r="Y227" s="2908">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7">
        <f t="shared" si="71"/>
        <v>0</v>
      </c>
      <c r="S228" s="250">
        <f t="shared" si="72"/>
        <v>0</v>
      </c>
      <c r="T228" s="858">
        <f t="shared" si="73"/>
        <v>0</v>
      </c>
      <c r="U228" s="2908">
        <f t="shared" si="67"/>
        <v>0</v>
      </c>
      <c r="V228" s="2908">
        <f t="shared" si="68"/>
        <v>0</v>
      </c>
      <c r="W228" s="955"/>
      <c r="X228" s="2908">
        <f t="shared" si="69"/>
        <v>0</v>
      </c>
      <c r="Y228" s="2908">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7">
        <f t="shared" si="71"/>
        <v>0</v>
      </c>
      <c r="S229" s="250">
        <f t="shared" si="72"/>
        <v>0</v>
      </c>
      <c r="T229" s="858">
        <f t="shared" si="73"/>
        <v>0</v>
      </c>
      <c r="U229" s="2908">
        <f t="shared" si="67"/>
        <v>0</v>
      </c>
      <c r="V229" s="2908">
        <f t="shared" si="68"/>
        <v>0</v>
      </c>
      <c r="W229" s="955"/>
      <c r="X229" s="2908">
        <f t="shared" si="69"/>
        <v>0</v>
      </c>
      <c r="Y229" s="2908">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7">
        <f t="shared" si="71"/>
        <v>0</v>
      </c>
      <c r="S230" s="250">
        <f t="shared" si="72"/>
        <v>0</v>
      </c>
      <c r="T230" s="858">
        <f t="shared" si="73"/>
        <v>0</v>
      </c>
      <c r="U230" s="2908">
        <f t="shared" si="67"/>
        <v>0</v>
      </c>
      <c r="V230" s="2908">
        <f t="shared" si="68"/>
        <v>0</v>
      </c>
      <c r="W230" s="955"/>
      <c r="X230" s="2908">
        <f t="shared" si="69"/>
        <v>0</v>
      </c>
      <c r="Y230" s="2908">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7">
        <f t="shared" si="71"/>
        <v>0</v>
      </c>
      <c r="S231" s="250">
        <f t="shared" si="72"/>
        <v>0</v>
      </c>
      <c r="T231" s="858">
        <f t="shared" si="73"/>
        <v>0</v>
      </c>
      <c r="U231" s="2908">
        <f t="shared" si="67"/>
        <v>0</v>
      </c>
      <c r="V231" s="2908">
        <f t="shared" si="68"/>
        <v>0</v>
      </c>
      <c r="W231" s="955"/>
      <c r="X231" s="2908">
        <f t="shared" si="69"/>
        <v>0</v>
      </c>
      <c r="Y231" s="2908">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7">
        <f t="shared" si="71"/>
        <v>0</v>
      </c>
      <c r="S232" s="250">
        <f t="shared" si="72"/>
        <v>0</v>
      </c>
      <c r="T232" s="858">
        <f t="shared" si="73"/>
        <v>0</v>
      </c>
      <c r="U232" s="2908">
        <f t="shared" si="67"/>
        <v>0</v>
      </c>
      <c r="V232" s="2908">
        <f t="shared" si="68"/>
        <v>0</v>
      </c>
      <c r="W232" s="955"/>
      <c r="X232" s="2908">
        <f t="shared" si="69"/>
        <v>0</v>
      </c>
      <c r="Y232" s="2908">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7">
        <f t="shared" si="71"/>
        <v>0</v>
      </c>
      <c r="S233" s="250">
        <f t="shared" si="72"/>
        <v>0</v>
      </c>
      <c r="T233" s="858">
        <f t="shared" si="73"/>
        <v>0</v>
      </c>
      <c r="U233" s="2908">
        <f t="shared" si="67"/>
        <v>0</v>
      </c>
      <c r="V233" s="2908">
        <f t="shared" si="68"/>
        <v>0</v>
      </c>
      <c r="W233" s="955"/>
      <c r="X233" s="2908">
        <f t="shared" si="69"/>
        <v>0</v>
      </c>
      <c r="Y233" s="2908">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7">
        <f t="shared" si="71"/>
        <v>0</v>
      </c>
      <c r="S234" s="250">
        <f t="shared" si="72"/>
        <v>0</v>
      </c>
      <c r="T234" s="858">
        <f t="shared" si="73"/>
        <v>0</v>
      </c>
      <c r="U234" s="2908">
        <f t="shared" si="67"/>
        <v>0</v>
      </c>
      <c r="V234" s="2908">
        <f t="shared" si="68"/>
        <v>0</v>
      </c>
      <c r="W234" s="955"/>
      <c r="X234" s="2908">
        <f t="shared" si="69"/>
        <v>0</v>
      </c>
      <c r="Y234" s="2908">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7">
        <f t="shared" si="71"/>
        <v>0</v>
      </c>
      <c r="S235" s="250">
        <f t="shared" si="72"/>
        <v>0</v>
      </c>
      <c r="T235" s="858">
        <f t="shared" si="73"/>
        <v>0</v>
      </c>
      <c r="U235" s="2908">
        <f t="shared" si="67"/>
        <v>0</v>
      </c>
      <c r="V235" s="2908">
        <f t="shared" si="68"/>
        <v>0</v>
      </c>
      <c r="W235" s="955"/>
      <c r="X235" s="2908">
        <f t="shared" si="69"/>
        <v>0</v>
      </c>
      <c r="Y235" s="2908">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7">
        <f t="shared" si="71"/>
        <v>0</v>
      </c>
      <c r="S236" s="250">
        <f t="shared" si="72"/>
        <v>0</v>
      </c>
      <c r="T236" s="858">
        <f t="shared" si="73"/>
        <v>0</v>
      </c>
      <c r="U236" s="2908">
        <f t="shared" si="67"/>
        <v>0</v>
      </c>
      <c r="V236" s="2908">
        <f t="shared" si="68"/>
        <v>0</v>
      </c>
      <c r="W236" s="955"/>
      <c r="X236" s="2908">
        <f t="shared" si="69"/>
        <v>0</v>
      </c>
      <c r="Y236" s="2908">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7">
        <f t="shared" si="71"/>
        <v>0</v>
      </c>
      <c r="S237" s="250">
        <f t="shared" si="72"/>
        <v>0</v>
      </c>
      <c r="T237" s="858">
        <f t="shared" si="73"/>
        <v>0</v>
      </c>
      <c r="U237" s="2908">
        <f t="shared" si="67"/>
        <v>0</v>
      </c>
      <c r="V237" s="2908">
        <f t="shared" si="68"/>
        <v>0</v>
      </c>
      <c r="W237" s="955"/>
      <c r="X237" s="2908">
        <f t="shared" si="69"/>
        <v>0</v>
      </c>
      <c r="Y237" s="2908">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7">
        <f t="shared" si="71"/>
        <v>0</v>
      </c>
      <c r="S238" s="250">
        <f t="shared" si="72"/>
        <v>0</v>
      </c>
      <c r="T238" s="858">
        <f t="shared" si="73"/>
        <v>0</v>
      </c>
      <c r="U238" s="2908">
        <f t="shared" si="67"/>
        <v>0</v>
      </c>
      <c r="V238" s="2908">
        <f t="shared" si="68"/>
        <v>0</v>
      </c>
      <c r="W238" s="955"/>
      <c r="X238" s="2908">
        <f t="shared" si="69"/>
        <v>0</v>
      </c>
      <c r="Y238" s="2908">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7">
        <f t="shared" si="71"/>
        <v>0</v>
      </c>
      <c r="S239" s="250">
        <f t="shared" si="72"/>
        <v>0</v>
      </c>
      <c r="T239" s="858">
        <f t="shared" si="73"/>
        <v>0</v>
      </c>
      <c r="U239" s="2908">
        <f t="shared" si="67"/>
        <v>0</v>
      </c>
      <c r="V239" s="2908">
        <f t="shared" si="68"/>
        <v>0</v>
      </c>
      <c r="W239" s="955"/>
      <c r="X239" s="2908">
        <f t="shared" si="69"/>
        <v>0</v>
      </c>
      <c r="Y239" s="2908">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7">
        <f t="shared" si="71"/>
        <v>0</v>
      </c>
      <c r="S240" s="250">
        <f t="shared" si="72"/>
        <v>0</v>
      </c>
      <c r="T240" s="858">
        <f t="shared" si="73"/>
        <v>0</v>
      </c>
      <c r="U240" s="2908">
        <f t="shared" si="67"/>
        <v>0</v>
      </c>
      <c r="V240" s="2908">
        <f t="shared" si="68"/>
        <v>0</v>
      </c>
      <c r="W240" s="955"/>
      <c r="X240" s="2908">
        <f t="shared" si="69"/>
        <v>0</v>
      </c>
      <c r="Y240" s="2908">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7">
        <f t="shared" si="71"/>
        <v>0</v>
      </c>
      <c r="S241" s="250">
        <f t="shared" si="72"/>
        <v>0</v>
      </c>
      <c r="T241" s="858">
        <f t="shared" si="73"/>
        <v>0</v>
      </c>
      <c r="U241" s="2908">
        <f t="shared" si="67"/>
        <v>0</v>
      </c>
      <c r="V241" s="2908">
        <f t="shared" si="68"/>
        <v>0</v>
      </c>
      <c r="W241" s="955"/>
      <c r="X241" s="2908">
        <f t="shared" si="69"/>
        <v>0</v>
      </c>
      <c r="Y241" s="2908">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7">
        <f t="shared" si="71"/>
        <v>0</v>
      </c>
      <c r="S242" s="250">
        <f t="shared" si="72"/>
        <v>0</v>
      </c>
      <c r="T242" s="858">
        <f t="shared" si="73"/>
        <v>0</v>
      </c>
      <c r="U242" s="2908">
        <f t="shared" si="67"/>
        <v>0</v>
      </c>
      <c r="V242" s="2908">
        <f t="shared" si="68"/>
        <v>0</v>
      </c>
      <c r="W242" s="955"/>
      <c r="X242" s="2908">
        <f t="shared" si="69"/>
        <v>0</v>
      </c>
      <c r="Y242" s="2908">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7">
        <f t="shared" si="71"/>
        <v>0</v>
      </c>
      <c r="S243" s="250">
        <f t="shared" si="72"/>
        <v>0</v>
      </c>
      <c r="T243" s="858">
        <f t="shared" si="73"/>
        <v>0</v>
      </c>
      <c r="U243" s="2908">
        <f t="shared" si="67"/>
        <v>0</v>
      </c>
      <c r="V243" s="2908">
        <f t="shared" si="68"/>
        <v>0</v>
      </c>
      <c r="W243" s="955"/>
      <c r="X243" s="2908">
        <f t="shared" si="69"/>
        <v>0</v>
      </c>
      <c r="Y243" s="2908">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7">
        <f t="shared" si="71"/>
        <v>0</v>
      </c>
      <c r="S244" s="250">
        <f t="shared" si="72"/>
        <v>0</v>
      </c>
      <c r="T244" s="858">
        <f t="shared" si="73"/>
        <v>0</v>
      </c>
      <c r="U244" s="2908">
        <f t="shared" si="67"/>
        <v>0</v>
      </c>
      <c r="V244" s="2908">
        <f t="shared" si="68"/>
        <v>0</v>
      </c>
      <c r="W244" s="955"/>
      <c r="X244" s="2908">
        <f t="shared" si="69"/>
        <v>0</v>
      </c>
      <c r="Y244" s="2908">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7">
        <f t="shared" si="71"/>
        <v>0</v>
      </c>
      <c r="S245" s="250">
        <f t="shared" si="72"/>
        <v>0</v>
      </c>
      <c r="T245" s="858">
        <f t="shared" si="73"/>
        <v>0</v>
      </c>
      <c r="U245" s="2908">
        <f t="shared" si="67"/>
        <v>0</v>
      </c>
      <c r="V245" s="2908">
        <f t="shared" si="68"/>
        <v>0</v>
      </c>
      <c r="W245" s="955"/>
      <c r="X245" s="2908">
        <f t="shared" si="69"/>
        <v>0</v>
      </c>
      <c r="Y245" s="2908">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7">
        <f t="shared" si="71"/>
        <v>0</v>
      </c>
      <c r="S246" s="250">
        <f t="shared" si="72"/>
        <v>0</v>
      </c>
      <c r="T246" s="858">
        <f t="shared" si="73"/>
        <v>0</v>
      </c>
      <c r="U246" s="2908">
        <f t="shared" si="67"/>
        <v>0</v>
      </c>
      <c r="V246" s="2908">
        <f t="shared" si="68"/>
        <v>0</v>
      </c>
      <c r="W246" s="955"/>
      <c r="X246" s="2908">
        <f t="shared" si="69"/>
        <v>0</v>
      </c>
      <c r="Y246" s="2908">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7">
        <f t="shared" si="71"/>
        <v>0</v>
      </c>
      <c r="S247" s="250">
        <f t="shared" si="72"/>
        <v>0</v>
      </c>
      <c r="T247" s="858">
        <f t="shared" si="73"/>
        <v>0</v>
      </c>
      <c r="U247" s="2908">
        <f t="shared" si="67"/>
        <v>0</v>
      </c>
      <c r="V247" s="2908">
        <f t="shared" si="68"/>
        <v>0</v>
      </c>
      <c r="W247" s="955"/>
      <c r="X247" s="2908">
        <f t="shared" si="69"/>
        <v>0</v>
      </c>
      <c r="Y247" s="2908">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7">
        <f t="shared" si="71"/>
        <v>0</v>
      </c>
      <c r="S248" s="250">
        <f t="shared" si="72"/>
        <v>0</v>
      </c>
      <c r="T248" s="858">
        <f t="shared" si="73"/>
        <v>0</v>
      </c>
      <c r="U248" s="2908">
        <f t="shared" si="67"/>
        <v>0</v>
      </c>
      <c r="V248" s="2908">
        <f t="shared" si="68"/>
        <v>0</v>
      </c>
      <c r="W248" s="955"/>
      <c r="X248" s="2908">
        <f t="shared" si="69"/>
        <v>0</v>
      </c>
      <c r="Y248" s="2908">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7">
        <f t="shared" si="71"/>
        <v>0</v>
      </c>
      <c r="S249" s="250">
        <f t="shared" si="72"/>
        <v>0</v>
      </c>
      <c r="T249" s="858">
        <f t="shared" si="73"/>
        <v>0</v>
      </c>
      <c r="U249" s="2908">
        <f t="shared" si="67"/>
        <v>0</v>
      </c>
      <c r="V249" s="2908">
        <f t="shared" si="68"/>
        <v>0</v>
      </c>
      <c r="W249" s="955"/>
      <c r="X249" s="2908">
        <f t="shared" si="69"/>
        <v>0</v>
      </c>
      <c r="Y249" s="2908">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7">
        <f t="shared" si="71"/>
        <v>0</v>
      </c>
      <c r="S250" s="250">
        <f t="shared" si="72"/>
        <v>0</v>
      </c>
      <c r="T250" s="858">
        <f t="shared" si="73"/>
        <v>0</v>
      </c>
      <c r="U250" s="2908">
        <f t="shared" si="67"/>
        <v>0</v>
      </c>
      <c r="V250" s="2908">
        <f t="shared" si="68"/>
        <v>0</v>
      </c>
      <c r="W250" s="955"/>
      <c r="X250" s="2908">
        <f t="shared" si="69"/>
        <v>0</v>
      </c>
      <c r="Y250" s="2908">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7">
        <f t="shared" si="71"/>
        <v>0</v>
      </c>
      <c r="S251" s="250">
        <f t="shared" si="72"/>
        <v>0</v>
      </c>
      <c r="T251" s="858">
        <f t="shared" si="73"/>
        <v>0</v>
      </c>
      <c r="U251" s="2908">
        <f t="shared" si="67"/>
        <v>0</v>
      </c>
      <c r="V251" s="2908">
        <f t="shared" si="68"/>
        <v>0</v>
      </c>
      <c r="W251" s="955"/>
      <c r="X251" s="2908">
        <f t="shared" si="69"/>
        <v>0</v>
      </c>
      <c r="Y251" s="2908">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7">
        <f t="shared" si="71"/>
        <v>0</v>
      </c>
      <c r="S252" s="250">
        <f t="shared" si="72"/>
        <v>0</v>
      </c>
      <c r="T252" s="858">
        <f t="shared" si="73"/>
        <v>0</v>
      </c>
      <c r="U252" s="2908">
        <f t="shared" si="67"/>
        <v>0</v>
      </c>
      <c r="V252" s="2908">
        <f t="shared" si="68"/>
        <v>0</v>
      </c>
      <c r="W252" s="955"/>
      <c r="X252" s="2908">
        <f t="shared" si="69"/>
        <v>0</v>
      </c>
      <c r="Y252" s="2908">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7">
        <f t="shared" si="71"/>
        <v>0</v>
      </c>
      <c r="S253" s="250">
        <f t="shared" si="72"/>
        <v>0</v>
      </c>
      <c r="T253" s="858">
        <f t="shared" si="73"/>
        <v>0</v>
      </c>
      <c r="U253" s="2908">
        <f t="shared" si="67"/>
        <v>0</v>
      </c>
      <c r="V253" s="2908">
        <f t="shared" si="68"/>
        <v>0</v>
      </c>
      <c r="W253" s="955"/>
      <c r="X253" s="2908">
        <f t="shared" si="69"/>
        <v>0</v>
      </c>
      <c r="Y253" s="2908">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7">
        <f t="shared" si="71"/>
        <v>0</v>
      </c>
      <c r="S254" s="250">
        <f t="shared" si="72"/>
        <v>0</v>
      </c>
      <c r="T254" s="858">
        <f t="shared" si="73"/>
        <v>0</v>
      </c>
      <c r="U254" s="2908">
        <f t="shared" si="67"/>
        <v>0</v>
      </c>
      <c r="V254" s="2908">
        <f t="shared" si="68"/>
        <v>0</v>
      </c>
      <c r="W254" s="955"/>
      <c r="X254" s="2908">
        <f t="shared" si="69"/>
        <v>0</v>
      </c>
      <c r="Y254" s="2908">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7">
        <f t="shared" si="71"/>
        <v>0</v>
      </c>
      <c r="S255" s="250">
        <f t="shared" si="72"/>
        <v>0</v>
      </c>
      <c r="T255" s="858">
        <f t="shared" si="73"/>
        <v>0</v>
      </c>
      <c r="U255" s="2908">
        <f t="shared" si="67"/>
        <v>0</v>
      </c>
      <c r="V255" s="2908">
        <f t="shared" si="68"/>
        <v>0</v>
      </c>
      <c r="W255" s="955"/>
      <c r="X255" s="2908">
        <f t="shared" si="69"/>
        <v>0</v>
      </c>
      <c r="Y255" s="2908">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7">
        <f t="shared" si="71"/>
        <v>0</v>
      </c>
      <c r="S256" s="250">
        <f t="shared" si="72"/>
        <v>0</v>
      </c>
      <c r="T256" s="858">
        <f t="shared" si="73"/>
        <v>0</v>
      </c>
      <c r="U256" s="2908">
        <f t="shared" si="67"/>
        <v>0</v>
      </c>
      <c r="V256" s="2908">
        <f t="shared" si="68"/>
        <v>0</v>
      </c>
      <c r="W256" s="955"/>
      <c r="X256" s="2908">
        <f t="shared" si="69"/>
        <v>0</v>
      </c>
      <c r="Y256" s="2908">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7">
        <f t="shared" si="71"/>
        <v>0</v>
      </c>
      <c r="S257" s="250">
        <f t="shared" si="72"/>
        <v>0</v>
      </c>
      <c r="T257" s="858">
        <f t="shared" si="73"/>
        <v>0</v>
      </c>
      <c r="U257" s="2908">
        <f t="shared" si="67"/>
        <v>0</v>
      </c>
      <c r="V257" s="2908">
        <f t="shared" si="68"/>
        <v>0</v>
      </c>
      <c r="W257" s="955"/>
      <c r="X257" s="2908">
        <f t="shared" si="69"/>
        <v>0</v>
      </c>
      <c r="Y257" s="2908">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7">
        <f t="shared" si="71"/>
        <v>0</v>
      </c>
      <c r="S258" s="250">
        <f t="shared" si="72"/>
        <v>0</v>
      </c>
      <c r="T258" s="858">
        <f t="shared" si="73"/>
        <v>0</v>
      </c>
      <c r="U258" s="2908">
        <f t="shared" si="67"/>
        <v>0</v>
      </c>
      <c r="V258" s="2908">
        <f t="shared" si="68"/>
        <v>0</v>
      </c>
      <c r="W258" s="955"/>
      <c r="X258" s="2908">
        <f t="shared" si="69"/>
        <v>0</v>
      </c>
      <c r="Y258" s="2908">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7">
        <f t="shared" si="71"/>
        <v>0</v>
      </c>
      <c r="S259" s="250">
        <f t="shared" si="72"/>
        <v>0</v>
      </c>
      <c r="T259" s="858">
        <f t="shared" si="73"/>
        <v>0</v>
      </c>
      <c r="U259" s="2908">
        <f t="shared" si="67"/>
        <v>0</v>
      </c>
      <c r="V259" s="2908">
        <f t="shared" si="68"/>
        <v>0</v>
      </c>
      <c r="W259" s="955"/>
      <c r="X259" s="2908">
        <f t="shared" si="69"/>
        <v>0</v>
      </c>
      <c r="Y259" s="2908">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7">
        <f t="shared" si="71"/>
        <v>0</v>
      </c>
      <c r="S260" s="250">
        <f t="shared" si="72"/>
        <v>0</v>
      </c>
      <c r="T260" s="858">
        <f t="shared" si="73"/>
        <v>0</v>
      </c>
      <c r="U260" s="2908">
        <f t="shared" si="67"/>
        <v>0</v>
      </c>
      <c r="V260" s="2908">
        <f t="shared" si="68"/>
        <v>0</v>
      </c>
      <c r="W260" s="955"/>
      <c r="X260" s="2908">
        <f t="shared" si="69"/>
        <v>0</v>
      </c>
      <c r="Y260" s="2908">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7">
        <f t="shared" si="71"/>
        <v>0</v>
      </c>
      <c r="S261" s="250">
        <f t="shared" si="72"/>
        <v>0</v>
      </c>
      <c r="T261" s="858">
        <f t="shared" si="73"/>
        <v>0</v>
      </c>
      <c r="U261" s="2908">
        <f t="shared" si="67"/>
        <v>0</v>
      </c>
      <c r="V261" s="2908">
        <f t="shared" si="68"/>
        <v>0</v>
      </c>
      <c r="W261" s="955"/>
      <c r="X261" s="2908">
        <f t="shared" si="69"/>
        <v>0</v>
      </c>
      <c r="Y261" s="2908">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7">
        <f t="shared" si="71"/>
        <v>0</v>
      </c>
      <c r="S262" s="250">
        <f t="shared" si="72"/>
        <v>0</v>
      </c>
      <c r="T262" s="858">
        <f t="shared" si="73"/>
        <v>0</v>
      </c>
      <c r="U262" s="2908">
        <f t="shared" si="67"/>
        <v>0</v>
      </c>
      <c r="V262" s="2908">
        <f t="shared" si="68"/>
        <v>0</v>
      </c>
      <c r="W262" s="955"/>
      <c r="X262" s="2908">
        <f t="shared" si="69"/>
        <v>0</v>
      </c>
      <c r="Y262" s="2908">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7">
        <f t="shared" si="71"/>
        <v>0</v>
      </c>
      <c r="S263" s="250">
        <f t="shared" si="72"/>
        <v>0</v>
      </c>
      <c r="T263" s="858">
        <f t="shared" si="73"/>
        <v>0</v>
      </c>
      <c r="U263" s="2908">
        <f t="shared" si="67"/>
        <v>0</v>
      </c>
      <c r="V263" s="2908">
        <f t="shared" si="68"/>
        <v>0</v>
      </c>
      <c r="W263" s="955"/>
      <c r="X263" s="2908">
        <f t="shared" si="69"/>
        <v>0</v>
      </c>
      <c r="Y263" s="2908">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7">
        <f t="shared" si="71"/>
        <v>0</v>
      </c>
      <c r="S264" s="250">
        <f t="shared" si="72"/>
        <v>0</v>
      </c>
      <c r="T264" s="858">
        <f t="shared" si="73"/>
        <v>0</v>
      </c>
      <c r="U264" s="2908">
        <f t="shared" si="67"/>
        <v>0</v>
      </c>
      <c r="V264" s="2908">
        <f t="shared" si="68"/>
        <v>0</v>
      </c>
      <c r="W264" s="955"/>
      <c r="X264" s="2908">
        <f t="shared" si="69"/>
        <v>0</v>
      </c>
      <c r="Y264" s="2908">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7">
        <f t="shared" si="71"/>
        <v>0</v>
      </c>
      <c r="S265" s="250">
        <f t="shared" si="72"/>
        <v>0</v>
      </c>
      <c r="T265" s="858">
        <f t="shared" si="73"/>
        <v>0</v>
      </c>
      <c r="U265" s="2908">
        <f t="shared" si="67"/>
        <v>0</v>
      </c>
      <c r="V265" s="2908">
        <f t="shared" si="68"/>
        <v>0</v>
      </c>
      <c r="W265" s="955"/>
      <c r="X265" s="2908">
        <f t="shared" si="69"/>
        <v>0</v>
      </c>
      <c r="Y265" s="2908">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7">
        <f t="shared" si="71"/>
        <v>0</v>
      </c>
      <c r="S266" s="250">
        <f t="shared" si="72"/>
        <v>0</v>
      </c>
      <c r="T266" s="858">
        <f t="shared" si="73"/>
        <v>0</v>
      </c>
      <c r="U266" s="2908">
        <f t="shared" si="67"/>
        <v>0</v>
      </c>
      <c r="V266" s="2908">
        <f t="shared" si="68"/>
        <v>0</v>
      </c>
      <c r="W266" s="955"/>
      <c r="X266" s="2908">
        <f t="shared" si="69"/>
        <v>0</v>
      </c>
      <c r="Y266" s="2908">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7">
        <f t="shared" si="71"/>
        <v>0</v>
      </c>
      <c r="S267" s="250">
        <f t="shared" si="72"/>
        <v>0</v>
      </c>
      <c r="T267" s="858">
        <f t="shared" si="73"/>
        <v>0</v>
      </c>
      <c r="U267" s="2908">
        <f t="shared" si="67"/>
        <v>0</v>
      </c>
      <c r="V267" s="2908">
        <f t="shared" si="68"/>
        <v>0</v>
      </c>
      <c r="W267" s="955"/>
      <c r="X267" s="2908">
        <f t="shared" si="69"/>
        <v>0</v>
      </c>
      <c r="Y267" s="2908">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7">
        <f t="shared" si="71"/>
        <v>0</v>
      </c>
      <c r="S268" s="250">
        <f t="shared" si="72"/>
        <v>0</v>
      </c>
      <c r="T268" s="858">
        <f t="shared" si="73"/>
        <v>0</v>
      </c>
      <c r="U268" s="2908">
        <f t="shared" si="67"/>
        <v>0</v>
      </c>
      <c r="V268" s="2908">
        <f t="shared" si="68"/>
        <v>0</v>
      </c>
      <c r="W268" s="955"/>
      <c r="X268" s="2908">
        <f t="shared" si="69"/>
        <v>0</v>
      </c>
      <c r="Y268" s="2908">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7">
        <f t="shared" si="71"/>
        <v>0</v>
      </c>
      <c r="S269" s="250">
        <f t="shared" si="72"/>
        <v>0</v>
      </c>
      <c r="T269" s="858">
        <f t="shared" si="73"/>
        <v>0</v>
      </c>
      <c r="U269" s="2908">
        <f t="shared" si="67"/>
        <v>0</v>
      </c>
      <c r="V269" s="2908">
        <f t="shared" si="68"/>
        <v>0</v>
      </c>
      <c r="W269" s="955"/>
      <c r="X269" s="2908">
        <f t="shared" si="69"/>
        <v>0</v>
      </c>
      <c r="Y269" s="2908">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7">
        <f t="shared" si="71"/>
        <v>0</v>
      </c>
      <c r="S270" s="250">
        <f t="shared" si="72"/>
        <v>0</v>
      </c>
      <c r="T270" s="858">
        <f t="shared" si="73"/>
        <v>0</v>
      </c>
      <c r="U270" s="2908">
        <f t="shared" si="67"/>
        <v>0</v>
      </c>
      <c r="V270" s="2908">
        <f t="shared" si="68"/>
        <v>0</v>
      </c>
      <c r="W270" s="955"/>
      <c r="X270" s="2908">
        <f t="shared" si="69"/>
        <v>0</v>
      </c>
      <c r="Y270" s="2908">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7">
        <f t="shared" si="71"/>
        <v>0</v>
      </c>
      <c r="S271" s="250">
        <f t="shared" si="72"/>
        <v>0</v>
      </c>
      <c r="T271" s="858">
        <f t="shared" si="73"/>
        <v>0</v>
      </c>
      <c r="U271" s="2908">
        <f t="shared" si="67"/>
        <v>0</v>
      </c>
      <c r="V271" s="2908">
        <f t="shared" si="68"/>
        <v>0</v>
      </c>
      <c r="W271" s="955"/>
      <c r="X271" s="2908">
        <f t="shared" si="69"/>
        <v>0</v>
      </c>
      <c r="Y271" s="2908">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7">
        <f t="shared" si="71"/>
        <v>0</v>
      </c>
      <c r="S272" s="250">
        <f t="shared" si="72"/>
        <v>0</v>
      </c>
      <c r="T272" s="858">
        <f t="shared" si="73"/>
        <v>0</v>
      </c>
      <c r="U272" s="2908">
        <f t="shared" si="67"/>
        <v>0</v>
      </c>
      <c r="V272" s="2908">
        <f t="shared" si="68"/>
        <v>0</v>
      </c>
      <c r="W272" s="955"/>
      <c r="X272" s="2908">
        <f t="shared" si="69"/>
        <v>0</v>
      </c>
      <c r="Y272" s="2908">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7">
        <f t="shared" si="71"/>
        <v>0</v>
      </c>
      <c r="S273" s="250">
        <f t="shared" si="72"/>
        <v>0</v>
      </c>
      <c r="T273" s="858">
        <f t="shared" si="73"/>
        <v>0</v>
      </c>
      <c r="U273" s="2908">
        <f t="shared" si="67"/>
        <v>0</v>
      </c>
      <c r="V273" s="2908">
        <f t="shared" si="68"/>
        <v>0</v>
      </c>
      <c r="W273" s="955"/>
      <c r="X273" s="2908">
        <f t="shared" si="69"/>
        <v>0</v>
      </c>
      <c r="Y273" s="2908">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7">
        <f t="shared" si="71"/>
        <v>0</v>
      </c>
      <c r="S274" s="250">
        <f t="shared" si="72"/>
        <v>0</v>
      </c>
      <c r="T274" s="858">
        <f t="shared" si="73"/>
        <v>0</v>
      </c>
      <c r="U274" s="2908">
        <f t="shared" si="67"/>
        <v>0</v>
      </c>
      <c r="V274" s="2908">
        <f t="shared" si="68"/>
        <v>0</v>
      </c>
      <c r="W274" s="955"/>
      <c r="X274" s="2908">
        <f t="shared" si="69"/>
        <v>0</v>
      </c>
      <c r="Y274" s="2908">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7">
        <f t="shared" si="71"/>
        <v>0</v>
      </c>
      <c r="S275" s="250">
        <f t="shared" si="72"/>
        <v>0</v>
      </c>
      <c r="T275" s="858">
        <f t="shared" si="73"/>
        <v>0</v>
      </c>
      <c r="U275" s="2908">
        <f t="shared" si="67"/>
        <v>0</v>
      </c>
      <c r="V275" s="2908">
        <f t="shared" si="68"/>
        <v>0</v>
      </c>
      <c r="W275" s="955"/>
      <c r="X275" s="2908">
        <f t="shared" si="69"/>
        <v>0</v>
      </c>
      <c r="Y275" s="2908">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7">
        <f t="shared" si="71"/>
        <v>0</v>
      </c>
      <c r="S276" s="250">
        <f t="shared" si="72"/>
        <v>0</v>
      </c>
      <c r="T276" s="858">
        <f t="shared" si="73"/>
        <v>0</v>
      </c>
      <c r="U276" s="2908">
        <f t="shared" si="67"/>
        <v>0</v>
      </c>
      <c r="V276" s="2908">
        <f t="shared" si="68"/>
        <v>0</v>
      </c>
      <c r="W276" s="955"/>
      <c r="X276" s="2908">
        <f t="shared" si="69"/>
        <v>0</v>
      </c>
      <c r="Y276" s="2908">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7">
        <f t="shared" si="71"/>
        <v>0</v>
      </c>
      <c r="S277" s="250">
        <f t="shared" si="72"/>
        <v>0</v>
      </c>
      <c r="T277" s="858">
        <f t="shared" si="73"/>
        <v>0</v>
      </c>
      <c r="U277" s="2908">
        <f t="shared" si="67"/>
        <v>0</v>
      </c>
      <c r="V277" s="2908">
        <f t="shared" si="68"/>
        <v>0</v>
      </c>
      <c r="W277" s="955"/>
      <c r="X277" s="2908">
        <f t="shared" si="69"/>
        <v>0</v>
      </c>
      <c r="Y277" s="2908">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7">
        <f t="shared" si="71"/>
        <v>0</v>
      </c>
      <c r="S278" s="250">
        <f t="shared" si="72"/>
        <v>0</v>
      </c>
      <c r="T278" s="858">
        <f t="shared" si="73"/>
        <v>0</v>
      </c>
      <c r="U278" s="2908">
        <f t="shared" si="67"/>
        <v>0</v>
      </c>
      <c r="V278" s="2908">
        <f t="shared" si="68"/>
        <v>0</v>
      </c>
      <c r="W278" s="955"/>
      <c r="X278" s="2908">
        <f t="shared" si="69"/>
        <v>0</v>
      </c>
      <c r="Y278" s="2908">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7">
        <f t="shared" si="71"/>
        <v>0</v>
      </c>
      <c r="S279" s="250">
        <f t="shared" si="72"/>
        <v>0</v>
      </c>
      <c r="T279" s="858">
        <f t="shared" si="73"/>
        <v>0</v>
      </c>
      <c r="U279" s="2908">
        <f t="shared" si="67"/>
        <v>0</v>
      </c>
      <c r="V279" s="2908">
        <f t="shared" si="68"/>
        <v>0</v>
      </c>
      <c r="W279" s="955"/>
      <c r="X279" s="2908">
        <f t="shared" si="69"/>
        <v>0</v>
      </c>
      <c r="Y279" s="2908">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7">
        <f t="shared" si="71"/>
        <v>0</v>
      </c>
      <c r="S280" s="250">
        <f t="shared" si="72"/>
        <v>0</v>
      </c>
      <c r="T280" s="858">
        <f t="shared" si="73"/>
        <v>0</v>
      </c>
      <c r="U280" s="2908">
        <f t="shared" si="67"/>
        <v>0</v>
      </c>
      <c r="V280" s="2908">
        <f t="shared" si="68"/>
        <v>0</v>
      </c>
      <c r="W280" s="955"/>
      <c r="X280" s="2908">
        <f t="shared" si="69"/>
        <v>0</v>
      </c>
      <c r="Y280" s="2908">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7">
        <f t="shared" si="71"/>
        <v>0</v>
      </c>
      <c r="S281" s="250">
        <f t="shared" si="72"/>
        <v>0</v>
      </c>
      <c r="T281" s="858">
        <f t="shared" si="73"/>
        <v>0</v>
      </c>
      <c r="U281" s="2908">
        <f t="shared" si="67"/>
        <v>0</v>
      </c>
      <c r="V281" s="2908">
        <f t="shared" si="68"/>
        <v>0</v>
      </c>
      <c r="W281" s="955"/>
      <c r="X281" s="2908">
        <f t="shared" si="69"/>
        <v>0</v>
      </c>
      <c r="Y281" s="2908">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7">
        <f t="shared" si="71"/>
        <v>0</v>
      </c>
      <c r="S282" s="250">
        <f t="shared" si="72"/>
        <v>0</v>
      </c>
      <c r="T282" s="858">
        <f t="shared" si="73"/>
        <v>0</v>
      </c>
      <c r="U282" s="2908">
        <f t="shared" si="67"/>
        <v>0</v>
      </c>
      <c r="V282" s="2908">
        <f t="shared" si="68"/>
        <v>0</v>
      </c>
      <c r="W282" s="955"/>
      <c r="X282" s="2908">
        <f t="shared" si="69"/>
        <v>0</v>
      </c>
      <c r="Y282" s="2908">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7">
        <f t="shared" si="71"/>
        <v>0</v>
      </c>
      <c r="S283" s="250">
        <f t="shared" si="72"/>
        <v>0</v>
      </c>
      <c r="T283" s="858">
        <f t="shared" si="73"/>
        <v>0</v>
      </c>
      <c r="U283" s="2908">
        <f t="shared" si="67"/>
        <v>0</v>
      </c>
      <c r="V283" s="2908">
        <f t="shared" si="68"/>
        <v>0</v>
      </c>
      <c r="W283" s="955"/>
      <c r="X283" s="2908">
        <f t="shared" si="69"/>
        <v>0</v>
      </c>
      <c r="Y283" s="2908">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7">
        <f t="shared" si="71"/>
        <v>0</v>
      </c>
      <c r="S284" s="250">
        <f t="shared" si="72"/>
        <v>0</v>
      </c>
      <c r="T284" s="858">
        <f t="shared" si="73"/>
        <v>0</v>
      </c>
      <c r="U284" s="2908">
        <f t="shared" ref="U284:U347" si="82">ROUND(W284*B284,0)</f>
        <v>0</v>
      </c>
      <c r="V284" s="2908">
        <f t="shared" ref="V284:V347" si="83">ROUND(W284*B284/10000,0)</f>
        <v>0</v>
      </c>
      <c r="W284" s="955"/>
      <c r="X284" s="2908">
        <f t="shared" ref="X284:X347" si="84">ROUND(Z284*B284,0)</f>
        <v>0</v>
      </c>
      <c r="Y284" s="2908">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7">
        <f t="shared" ref="R285:R348" si="86">IF(B285="",0,ROUND($R$27*C285*E285*G285*I285*K285*M285*O285*Q285,0))</f>
        <v>0</v>
      </c>
      <c r="S285" s="250">
        <f t="shared" ref="S285:S348" si="87">ROUND(R285*B285,0)</f>
        <v>0</v>
      </c>
      <c r="T285" s="858">
        <f t="shared" ref="T285:T348" si="88">ROUND(R285*B285/10000,0)</f>
        <v>0</v>
      </c>
      <c r="U285" s="2908">
        <f t="shared" si="82"/>
        <v>0</v>
      </c>
      <c r="V285" s="2908">
        <f t="shared" si="83"/>
        <v>0</v>
      </c>
      <c r="W285" s="955"/>
      <c r="X285" s="2908">
        <f t="shared" si="84"/>
        <v>0</v>
      </c>
      <c r="Y285" s="2908">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7">
        <f t="shared" si="86"/>
        <v>0</v>
      </c>
      <c r="S286" s="250">
        <f t="shared" si="87"/>
        <v>0</v>
      </c>
      <c r="T286" s="858">
        <f t="shared" si="88"/>
        <v>0</v>
      </c>
      <c r="U286" s="2908">
        <f t="shared" si="82"/>
        <v>0</v>
      </c>
      <c r="V286" s="2908">
        <f t="shared" si="83"/>
        <v>0</v>
      </c>
      <c r="W286" s="955"/>
      <c r="X286" s="2908">
        <f t="shared" si="84"/>
        <v>0</v>
      </c>
      <c r="Y286" s="2908">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7">
        <f t="shared" si="86"/>
        <v>0</v>
      </c>
      <c r="S287" s="250">
        <f t="shared" si="87"/>
        <v>0</v>
      </c>
      <c r="T287" s="858">
        <f t="shared" si="88"/>
        <v>0</v>
      </c>
      <c r="U287" s="2908">
        <f t="shared" si="82"/>
        <v>0</v>
      </c>
      <c r="V287" s="2908">
        <f t="shared" si="83"/>
        <v>0</v>
      </c>
      <c r="W287" s="955"/>
      <c r="X287" s="2908">
        <f t="shared" si="84"/>
        <v>0</v>
      </c>
      <c r="Y287" s="2908">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7">
        <f t="shared" si="86"/>
        <v>0</v>
      </c>
      <c r="S288" s="250">
        <f t="shared" si="87"/>
        <v>0</v>
      </c>
      <c r="T288" s="858">
        <f t="shared" si="88"/>
        <v>0</v>
      </c>
      <c r="U288" s="2908">
        <f t="shared" si="82"/>
        <v>0</v>
      </c>
      <c r="V288" s="2908">
        <f t="shared" si="83"/>
        <v>0</v>
      </c>
      <c r="W288" s="955"/>
      <c r="X288" s="2908">
        <f t="shared" si="84"/>
        <v>0</v>
      </c>
      <c r="Y288" s="2908">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7">
        <f t="shared" si="86"/>
        <v>0</v>
      </c>
      <c r="S289" s="250">
        <f t="shared" si="87"/>
        <v>0</v>
      </c>
      <c r="T289" s="858">
        <f t="shared" si="88"/>
        <v>0</v>
      </c>
      <c r="U289" s="2908">
        <f t="shared" si="82"/>
        <v>0</v>
      </c>
      <c r="V289" s="2908">
        <f t="shared" si="83"/>
        <v>0</v>
      </c>
      <c r="W289" s="955"/>
      <c r="X289" s="2908">
        <f t="shared" si="84"/>
        <v>0</v>
      </c>
      <c r="Y289" s="2908">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7">
        <f t="shared" si="86"/>
        <v>0</v>
      </c>
      <c r="S290" s="250">
        <f t="shared" si="87"/>
        <v>0</v>
      </c>
      <c r="T290" s="858">
        <f t="shared" si="88"/>
        <v>0</v>
      </c>
      <c r="U290" s="2908">
        <f t="shared" si="82"/>
        <v>0</v>
      </c>
      <c r="V290" s="2908">
        <f t="shared" si="83"/>
        <v>0</v>
      </c>
      <c r="W290" s="955"/>
      <c r="X290" s="2908">
        <f t="shared" si="84"/>
        <v>0</v>
      </c>
      <c r="Y290" s="2908">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7">
        <f t="shared" si="86"/>
        <v>0</v>
      </c>
      <c r="S291" s="250">
        <f t="shared" si="87"/>
        <v>0</v>
      </c>
      <c r="T291" s="858">
        <f t="shared" si="88"/>
        <v>0</v>
      </c>
      <c r="U291" s="2908">
        <f t="shared" si="82"/>
        <v>0</v>
      </c>
      <c r="V291" s="2908">
        <f t="shared" si="83"/>
        <v>0</v>
      </c>
      <c r="W291" s="955"/>
      <c r="X291" s="2908">
        <f t="shared" si="84"/>
        <v>0</v>
      </c>
      <c r="Y291" s="2908">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7">
        <f t="shared" si="86"/>
        <v>0</v>
      </c>
      <c r="S292" s="250">
        <f t="shared" si="87"/>
        <v>0</v>
      </c>
      <c r="T292" s="858">
        <f t="shared" si="88"/>
        <v>0</v>
      </c>
      <c r="U292" s="2908">
        <f t="shared" si="82"/>
        <v>0</v>
      </c>
      <c r="V292" s="2908">
        <f t="shared" si="83"/>
        <v>0</v>
      </c>
      <c r="W292" s="955"/>
      <c r="X292" s="2908">
        <f t="shared" si="84"/>
        <v>0</v>
      </c>
      <c r="Y292" s="2908">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7">
        <f t="shared" si="86"/>
        <v>0</v>
      </c>
      <c r="S293" s="250">
        <f t="shared" si="87"/>
        <v>0</v>
      </c>
      <c r="T293" s="858">
        <f t="shared" si="88"/>
        <v>0</v>
      </c>
      <c r="U293" s="2908">
        <f t="shared" si="82"/>
        <v>0</v>
      </c>
      <c r="V293" s="2908">
        <f t="shared" si="83"/>
        <v>0</v>
      </c>
      <c r="W293" s="955"/>
      <c r="X293" s="2908">
        <f t="shared" si="84"/>
        <v>0</v>
      </c>
      <c r="Y293" s="2908">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7">
        <f t="shared" si="86"/>
        <v>0</v>
      </c>
      <c r="S294" s="250">
        <f t="shared" si="87"/>
        <v>0</v>
      </c>
      <c r="T294" s="858">
        <f t="shared" si="88"/>
        <v>0</v>
      </c>
      <c r="U294" s="2908">
        <f t="shared" si="82"/>
        <v>0</v>
      </c>
      <c r="V294" s="2908">
        <f t="shared" si="83"/>
        <v>0</v>
      </c>
      <c r="W294" s="955"/>
      <c r="X294" s="2908">
        <f t="shared" si="84"/>
        <v>0</v>
      </c>
      <c r="Y294" s="2908">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7">
        <f t="shared" si="86"/>
        <v>0</v>
      </c>
      <c r="S295" s="250">
        <f t="shared" si="87"/>
        <v>0</v>
      </c>
      <c r="T295" s="858">
        <f t="shared" si="88"/>
        <v>0</v>
      </c>
      <c r="U295" s="2908">
        <f t="shared" si="82"/>
        <v>0</v>
      </c>
      <c r="V295" s="2908">
        <f t="shared" si="83"/>
        <v>0</v>
      </c>
      <c r="W295" s="955"/>
      <c r="X295" s="2908">
        <f t="shared" si="84"/>
        <v>0</v>
      </c>
      <c r="Y295" s="2908">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7">
        <f t="shared" si="86"/>
        <v>0</v>
      </c>
      <c r="S296" s="250">
        <f t="shared" si="87"/>
        <v>0</v>
      </c>
      <c r="T296" s="858">
        <f t="shared" si="88"/>
        <v>0</v>
      </c>
      <c r="U296" s="2908">
        <f t="shared" si="82"/>
        <v>0</v>
      </c>
      <c r="V296" s="2908">
        <f t="shared" si="83"/>
        <v>0</v>
      </c>
      <c r="W296" s="955"/>
      <c r="X296" s="2908">
        <f t="shared" si="84"/>
        <v>0</v>
      </c>
      <c r="Y296" s="2908">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7">
        <f t="shared" si="86"/>
        <v>0</v>
      </c>
      <c r="S297" s="250">
        <f t="shared" si="87"/>
        <v>0</v>
      </c>
      <c r="T297" s="858">
        <f t="shared" si="88"/>
        <v>0</v>
      </c>
      <c r="U297" s="2908">
        <f t="shared" si="82"/>
        <v>0</v>
      </c>
      <c r="V297" s="2908">
        <f t="shared" si="83"/>
        <v>0</v>
      </c>
      <c r="W297" s="955"/>
      <c r="X297" s="2908">
        <f t="shared" si="84"/>
        <v>0</v>
      </c>
      <c r="Y297" s="2908">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7">
        <f t="shared" si="86"/>
        <v>0</v>
      </c>
      <c r="S298" s="250">
        <f t="shared" si="87"/>
        <v>0</v>
      </c>
      <c r="T298" s="858">
        <f t="shared" si="88"/>
        <v>0</v>
      </c>
      <c r="U298" s="2908">
        <f t="shared" si="82"/>
        <v>0</v>
      </c>
      <c r="V298" s="2908">
        <f t="shared" si="83"/>
        <v>0</v>
      </c>
      <c r="W298" s="955"/>
      <c r="X298" s="2908">
        <f t="shared" si="84"/>
        <v>0</v>
      </c>
      <c r="Y298" s="2908">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7">
        <f t="shared" si="86"/>
        <v>0</v>
      </c>
      <c r="S299" s="250">
        <f t="shared" si="87"/>
        <v>0</v>
      </c>
      <c r="T299" s="858">
        <f t="shared" si="88"/>
        <v>0</v>
      </c>
      <c r="U299" s="2908">
        <f t="shared" si="82"/>
        <v>0</v>
      </c>
      <c r="V299" s="2908">
        <f t="shared" si="83"/>
        <v>0</v>
      </c>
      <c r="W299" s="955"/>
      <c r="X299" s="2908">
        <f t="shared" si="84"/>
        <v>0</v>
      </c>
      <c r="Y299" s="2908">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7">
        <f t="shared" si="86"/>
        <v>0</v>
      </c>
      <c r="S300" s="250">
        <f t="shared" si="87"/>
        <v>0</v>
      </c>
      <c r="T300" s="858">
        <f t="shared" si="88"/>
        <v>0</v>
      </c>
      <c r="U300" s="2908">
        <f t="shared" si="82"/>
        <v>0</v>
      </c>
      <c r="V300" s="2908">
        <f t="shared" si="83"/>
        <v>0</v>
      </c>
      <c r="W300" s="955"/>
      <c r="X300" s="2908">
        <f t="shared" si="84"/>
        <v>0</v>
      </c>
      <c r="Y300" s="2908">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7">
        <f t="shared" si="86"/>
        <v>0</v>
      </c>
      <c r="S301" s="250">
        <f t="shared" si="87"/>
        <v>0</v>
      </c>
      <c r="T301" s="858">
        <f t="shared" si="88"/>
        <v>0</v>
      </c>
      <c r="U301" s="2908">
        <f t="shared" si="82"/>
        <v>0</v>
      </c>
      <c r="V301" s="2908">
        <f t="shared" si="83"/>
        <v>0</v>
      </c>
      <c r="W301" s="955"/>
      <c r="X301" s="2908">
        <f t="shared" si="84"/>
        <v>0</v>
      </c>
      <c r="Y301" s="2908">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7">
        <f t="shared" si="86"/>
        <v>0</v>
      </c>
      <c r="S302" s="250">
        <f t="shared" si="87"/>
        <v>0</v>
      </c>
      <c r="T302" s="858">
        <f t="shared" si="88"/>
        <v>0</v>
      </c>
      <c r="U302" s="2908">
        <f t="shared" si="82"/>
        <v>0</v>
      </c>
      <c r="V302" s="2908">
        <f t="shared" si="83"/>
        <v>0</v>
      </c>
      <c r="W302" s="955"/>
      <c r="X302" s="2908">
        <f t="shared" si="84"/>
        <v>0</v>
      </c>
      <c r="Y302" s="2908">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7">
        <f t="shared" si="86"/>
        <v>0</v>
      </c>
      <c r="S303" s="250">
        <f t="shared" si="87"/>
        <v>0</v>
      </c>
      <c r="T303" s="858">
        <f t="shared" si="88"/>
        <v>0</v>
      </c>
      <c r="U303" s="2908">
        <f t="shared" si="82"/>
        <v>0</v>
      </c>
      <c r="V303" s="2908">
        <f t="shared" si="83"/>
        <v>0</v>
      </c>
      <c r="W303" s="955"/>
      <c r="X303" s="2908">
        <f t="shared" si="84"/>
        <v>0</v>
      </c>
      <c r="Y303" s="2908">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7">
        <f t="shared" si="86"/>
        <v>0</v>
      </c>
      <c r="S304" s="250">
        <f t="shared" si="87"/>
        <v>0</v>
      </c>
      <c r="T304" s="858">
        <f t="shared" si="88"/>
        <v>0</v>
      </c>
      <c r="U304" s="2908">
        <f t="shared" si="82"/>
        <v>0</v>
      </c>
      <c r="V304" s="2908">
        <f t="shared" si="83"/>
        <v>0</v>
      </c>
      <c r="W304" s="955"/>
      <c r="X304" s="2908">
        <f t="shared" si="84"/>
        <v>0</v>
      </c>
      <c r="Y304" s="2908">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7">
        <f t="shared" si="86"/>
        <v>0</v>
      </c>
      <c r="S305" s="250">
        <f t="shared" si="87"/>
        <v>0</v>
      </c>
      <c r="T305" s="858">
        <f t="shared" si="88"/>
        <v>0</v>
      </c>
      <c r="U305" s="2908">
        <f t="shared" si="82"/>
        <v>0</v>
      </c>
      <c r="V305" s="2908">
        <f t="shared" si="83"/>
        <v>0</v>
      </c>
      <c r="W305" s="955"/>
      <c r="X305" s="2908">
        <f t="shared" si="84"/>
        <v>0</v>
      </c>
      <c r="Y305" s="2908">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7">
        <f t="shared" si="86"/>
        <v>0</v>
      </c>
      <c r="S306" s="250">
        <f t="shared" si="87"/>
        <v>0</v>
      </c>
      <c r="T306" s="858">
        <f t="shared" si="88"/>
        <v>0</v>
      </c>
      <c r="U306" s="2908">
        <f t="shared" si="82"/>
        <v>0</v>
      </c>
      <c r="V306" s="2908">
        <f t="shared" si="83"/>
        <v>0</v>
      </c>
      <c r="W306" s="955"/>
      <c r="X306" s="2908">
        <f t="shared" si="84"/>
        <v>0</v>
      </c>
      <c r="Y306" s="2908">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7">
        <f t="shared" si="86"/>
        <v>0</v>
      </c>
      <c r="S307" s="250">
        <f t="shared" si="87"/>
        <v>0</v>
      </c>
      <c r="T307" s="858">
        <f t="shared" si="88"/>
        <v>0</v>
      </c>
      <c r="U307" s="2908">
        <f t="shared" si="82"/>
        <v>0</v>
      </c>
      <c r="V307" s="2908">
        <f t="shared" si="83"/>
        <v>0</v>
      </c>
      <c r="W307" s="955"/>
      <c r="X307" s="2908">
        <f t="shared" si="84"/>
        <v>0</v>
      </c>
      <c r="Y307" s="2908">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7">
        <f t="shared" si="86"/>
        <v>0</v>
      </c>
      <c r="S308" s="250">
        <f t="shared" si="87"/>
        <v>0</v>
      </c>
      <c r="T308" s="858">
        <f t="shared" si="88"/>
        <v>0</v>
      </c>
      <c r="U308" s="2908">
        <f t="shared" si="82"/>
        <v>0</v>
      </c>
      <c r="V308" s="2908">
        <f t="shared" si="83"/>
        <v>0</v>
      </c>
      <c r="W308" s="955"/>
      <c r="X308" s="2908">
        <f t="shared" si="84"/>
        <v>0</v>
      </c>
      <c r="Y308" s="2908">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7">
        <f t="shared" si="86"/>
        <v>0</v>
      </c>
      <c r="S309" s="250">
        <f t="shared" si="87"/>
        <v>0</v>
      </c>
      <c r="T309" s="858">
        <f t="shared" si="88"/>
        <v>0</v>
      </c>
      <c r="U309" s="2908">
        <f t="shared" si="82"/>
        <v>0</v>
      </c>
      <c r="V309" s="2908">
        <f t="shared" si="83"/>
        <v>0</v>
      </c>
      <c r="W309" s="955"/>
      <c r="X309" s="2908">
        <f t="shared" si="84"/>
        <v>0</v>
      </c>
      <c r="Y309" s="2908">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7">
        <f t="shared" si="86"/>
        <v>0</v>
      </c>
      <c r="S310" s="250">
        <f t="shared" si="87"/>
        <v>0</v>
      </c>
      <c r="T310" s="858">
        <f t="shared" si="88"/>
        <v>0</v>
      </c>
      <c r="U310" s="2908">
        <f t="shared" si="82"/>
        <v>0</v>
      </c>
      <c r="V310" s="2908">
        <f t="shared" si="83"/>
        <v>0</v>
      </c>
      <c r="W310" s="955"/>
      <c r="X310" s="2908">
        <f t="shared" si="84"/>
        <v>0</v>
      </c>
      <c r="Y310" s="2908">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7">
        <f t="shared" si="86"/>
        <v>0</v>
      </c>
      <c r="S311" s="250">
        <f t="shared" si="87"/>
        <v>0</v>
      </c>
      <c r="T311" s="858">
        <f t="shared" si="88"/>
        <v>0</v>
      </c>
      <c r="U311" s="2908">
        <f t="shared" si="82"/>
        <v>0</v>
      </c>
      <c r="V311" s="2908">
        <f t="shared" si="83"/>
        <v>0</v>
      </c>
      <c r="W311" s="955"/>
      <c r="X311" s="2908">
        <f t="shared" si="84"/>
        <v>0</v>
      </c>
      <c r="Y311" s="2908">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7">
        <f t="shared" si="86"/>
        <v>0</v>
      </c>
      <c r="S312" s="250">
        <f t="shared" si="87"/>
        <v>0</v>
      </c>
      <c r="T312" s="858">
        <f t="shared" si="88"/>
        <v>0</v>
      </c>
      <c r="U312" s="2908">
        <f t="shared" si="82"/>
        <v>0</v>
      </c>
      <c r="V312" s="2908">
        <f t="shared" si="83"/>
        <v>0</v>
      </c>
      <c r="W312" s="955"/>
      <c r="X312" s="2908">
        <f t="shared" si="84"/>
        <v>0</v>
      </c>
      <c r="Y312" s="2908">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7">
        <f t="shared" si="86"/>
        <v>0</v>
      </c>
      <c r="S313" s="250">
        <f t="shared" si="87"/>
        <v>0</v>
      </c>
      <c r="T313" s="858">
        <f t="shared" si="88"/>
        <v>0</v>
      </c>
      <c r="U313" s="2908">
        <f t="shared" si="82"/>
        <v>0</v>
      </c>
      <c r="V313" s="2908">
        <f t="shared" si="83"/>
        <v>0</v>
      </c>
      <c r="W313" s="955"/>
      <c r="X313" s="2908">
        <f t="shared" si="84"/>
        <v>0</v>
      </c>
      <c r="Y313" s="2908">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7">
        <f t="shared" si="86"/>
        <v>0</v>
      </c>
      <c r="S314" s="250">
        <f t="shared" si="87"/>
        <v>0</v>
      </c>
      <c r="T314" s="858">
        <f t="shared" si="88"/>
        <v>0</v>
      </c>
      <c r="U314" s="2908">
        <f t="shared" si="82"/>
        <v>0</v>
      </c>
      <c r="V314" s="2908">
        <f t="shared" si="83"/>
        <v>0</v>
      </c>
      <c r="W314" s="955"/>
      <c r="X314" s="2908">
        <f t="shared" si="84"/>
        <v>0</v>
      </c>
      <c r="Y314" s="2908">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7">
        <f t="shared" si="86"/>
        <v>0</v>
      </c>
      <c r="S315" s="250">
        <f t="shared" si="87"/>
        <v>0</v>
      </c>
      <c r="T315" s="858">
        <f t="shared" si="88"/>
        <v>0</v>
      </c>
      <c r="U315" s="2908">
        <f t="shared" si="82"/>
        <v>0</v>
      </c>
      <c r="V315" s="2908">
        <f t="shared" si="83"/>
        <v>0</v>
      </c>
      <c r="W315" s="955"/>
      <c r="X315" s="2908">
        <f t="shared" si="84"/>
        <v>0</v>
      </c>
      <c r="Y315" s="2908">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7">
        <f t="shared" si="86"/>
        <v>0</v>
      </c>
      <c r="S316" s="250">
        <f t="shared" si="87"/>
        <v>0</v>
      </c>
      <c r="T316" s="858">
        <f t="shared" si="88"/>
        <v>0</v>
      </c>
      <c r="U316" s="2908">
        <f t="shared" si="82"/>
        <v>0</v>
      </c>
      <c r="V316" s="2908">
        <f t="shared" si="83"/>
        <v>0</v>
      </c>
      <c r="W316" s="955"/>
      <c r="X316" s="2908">
        <f t="shared" si="84"/>
        <v>0</v>
      </c>
      <c r="Y316" s="2908">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7">
        <f t="shared" si="86"/>
        <v>0</v>
      </c>
      <c r="S317" s="250">
        <f t="shared" si="87"/>
        <v>0</v>
      </c>
      <c r="T317" s="858">
        <f t="shared" si="88"/>
        <v>0</v>
      </c>
      <c r="U317" s="2908">
        <f t="shared" si="82"/>
        <v>0</v>
      </c>
      <c r="V317" s="2908">
        <f t="shared" si="83"/>
        <v>0</v>
      </c>
      <c r="W317" s="955"/>
      <c r="X317" s="2908">
        <f t="shared" si="84"/>
        <v>0</v>
      </c>
      <c r="Y317" s="2908">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7">
        <f t="shared" si="86"/>
        <v>0</v>
      </c>
      <c r="S318" s="250">
        <f t="shared" si="87"/>
        <v>0</v>
      </c>
      <c r="T318" s="858">
        <f t="shared" si="88"/>
        <v>0</v>
      </c>
      <c r="U318" s="2908">
        <f t="shared" si="82"/>
        <v>0</v>
      </c>
      <c r="V318" s="2908">
        <f t="shared" si="83"/>
        <v>0</v>
      </c>
      <c r="W318" s="955"/>
      <c r="X318" s="2908">
        <f t="shared" si="84"/>
        <v>0</v>
      </c>
      <c r="Y318" s="2908">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7">
        <f t="shared" si="86"/>
        <v>0</v>
      </c>
      <c r="S319" s="250">
        <f t="shared" si="87"/>
        <v>0</v>
      </c>
      <c r="T319" s="858">
        <f t="shared" si="88"/>
        <v>0</v>
      </c>
      <c r="U319" s="2908">
        <f t="shared" si="82"/>
        <v>0</v>
      </c>
      <c r="V319" s="2908">
        <f t="shared" si="83"/>
        <v>0</v>
      </c>
      <c r="W319" s="955"/>
      <c r="X319" s="2908">
        <f t="shared" si="84"/>
        <v>0</v>
      </c>
      <c r="Y319" s="2908">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7">
        <f t="shared" si="86"/>
        <v>0</v>
      </c>
      <c r="S320" s="250">
        <f t="shared" si="87"/>
        <v>0</v>
      </c>
      <c r="T320" s="858">
        <f t="shared" si="88"/>
        <v>0</v>
      </c>
      <c r="U320" s="2908">
        <f t="shared" si="82"/>
        <v>0</v>
      </c>
      <c r="V320" s="2908">
        <f t="shared" si="83"/>
        <v>0</v>
      </c>
      <c r="W320" s="955"/>
      <c r="X320" s="2908">
        <f t="shared" si="84"/>
        <v>0</v>
      </c>
      <c r="Y320" s="2908">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7">
        <f t="shared" si="86"/>
        <v>0</v>
      </c>
      <c r="S321" s="250">
        <f t="shared" si="87"/>
        <v>0</v>
      </c>
      <c r="T321" s="858">
        <f t="shared" si="88"/>
        <v>0</v>
      </c>
      <c r="U321" s="2908">
        <f t="shared" si="82"/>
        <v>0</v>
      </c>
      <c r="V321" s="2908">
        <f t="shared" si="83"/>
        <v>0</v>
      </c>
      <c r="W321" s="955"/>
      <c r="X321" s="2908">
        <f t="shared" si="84"/>
        <v>0</v>
      </c>
      <c r="Y321" s="2908">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7">
        <f t="shared" si="86"/>
        <v>0</v>
      </c>
      <c r="S322" s="250">
        <f t="shared" si="87"/>
        <v>0</v>
      </c>
      <c r="T322" s="858">
        <f t="shared" si="88"/>
        <v>0</v>
      </c>
      <c r="U322" s="2908">
        <f t="shared" si="82"/>
        <v>0</v>
      </c>
      <c r="V322" s="2908">
        <f t="shared" si="83"/>
        <v>0</v>
      </c>
      <c r="W322" s="955"/>
      <c r="X322" s="2908">
        <f t="shared" si="84"/>
        <v>0</v>
      </c>
      <c r="Y322" s="2908">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7">
        <f t="shared" si="86"/>
        <v>0</v>
      </c>
      <c r="S323" s="250">
        <f t="shared" si="87"/>
        <v>0</v>
      </c>
      <c r="T323" s="858">
        <f t="shared" si="88"/>
        <v>0</v>
      </c>
      <c r="U323" s="2908">
        <f t="shared" si="82"/>
        <v>0</v>
      </c>
      <c r="V323" s="2908">
        <f t="shared" si="83"/>
        <v>0</v>
      </c>
      <c r="W323" s="955"/>
      <c r="X323" s="2908">
        <f t="shared" si="84"/>
        <v>0</v>
      </c>
      <c r="Y323" s="2908">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7">
        <f t="shared" si="86"/>
        <v>0</v>
      </c>
      <c r="S324" s="250">
        <f t="shared" si="87"/>
        <v>0</v>
      </c>
      <c r="T324" s="858">
        <f t="shared" si="88"/>
        <v>0</v>
      </c>
      <c r="U324" s="2908">
        <f t="shared" si="82"/>
        <v>0</v>
      </c>
      <c r="V324" s="2908">
        <f t="shared" si="83"/>
        <v>0</v>
      </c>
      <c r="W324" s="955"/>
      <c r="X324" s="2908">
        <f t="shared" si="84"/>
        <v>0</v>
      </c>
      <c r="Y324" s="2908">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7">
        <f t="shared" si="86"/>
        <v>0</v>
      </c>
      <c r="S325" s="250">
        <f t="shared" si="87"/>
        <v>0</v>
      </c>
      <c r="T325" s="858">
        <f t="shared" si="88"/>
        <v>0</v>
      </c>
      <c r="U325" s="2908">
        <f t="shared" si="82"/>
        <v>0</v>
      </c>
      <c r="V325" s="2908">
        <f t="shared" si="83"/>
        <v>0</v>
      </c>
      <c r="W325" s="955"/>
      <c r="X325" s="2908">
        <f t="shared" si="84"/>
        <v>0</v>
      </c>
      <c r="Y325" s="2908">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7">
        <f t="shared" si="86"/>
        <v>0</v>
      </c>
      <c r="S326" s="250">
        <f t="shared" si="87"/>
        <v>0</v>
      </c>
      <c r="T326" s="858">
        <f t="shared" si="88"/>
        <v>0</v>
      </c>
      <c r="U326" s="2908">
        <f t="shared" si="82"/>
        <v>0</v>
      </c>
      <c r="V326" s="2908">
        <f t="shared" si="83"/>
        <v>0</v>
      </c>
      <c r="W326" s="955"/>
      <c r="X326" s="2908">
        <f t="shared" si="84"/>
        <v>0</v>
      </c>
      <c r="Y326" s="2908">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7">
        <f t="shared" si="86"/>
        <v>0</v>
      </c>
      <c r="S327" s="250">
        <f t="shared" si="87"/>
        <v>0</v>
      </c>
      <c r="T327" s="858">
        <f t="shared" si="88"/>
        <v>0</v>
      </c>
      <c r="U327" s="2908">
        <f t="shared" si="82"/>
        <v>0</v>
      </c>
      <c r="V327" s="2908">
        <f t="shared" si="83"/>
        <v>0</v>
      </c>
      <c r="W327" s="955"/>
      <c r="X327" s="2908">
        <f t="shared" si="84"/>
        <v>0</v>
      </c>
      <c r="Y327" s="2908">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7">
        <f t="shared" si="86"/>
        <v>0</v>
      </c>
      <c r="S328" s="250">
        <f t="shared" si="87"/>
        <v>0</v>
      </c>
      <c r="T328" s="858">
        <f t="shared" si="88"/>
        <v>0</v>
      </c>
      <c r="U328" s="2908">
        <f t="shared" si="82"/>
        <v>0</v>
      </c>
      <c r="V328" s="2908">
        <f t="shared" si="83"/>
        <v>0</v>
      </c>
      <c r="W328" s="955"/>
      <c r="X328" s="2908">
        <f t="shared" si="84"/>
        <v>0</v>
      </c>
      <c r="Y328" s="2908">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7">
        <f t="shared" si="86"/>
        <v>0</v>
      </c>
      <c r="S329" s="250">
        <f t="shared" si="87"/>
        <v>0</v>
      </c>
      <c r="T329" s="858">
        <f t="shared" si="88"/>
        <v>0</v>
      </c>
      <c r="U329" s="2908">
        <f t="shared" si="82"/>
        <v>0</v>
      </c>
      <c r="V329" s="2908">
        <f t="shared" si="83"/>
        <v>0</v>
      </c>
      <c r="W329" s="955"/>
      <c r="X329" s="2908">
        <f t="shared" si="84"/>
        <v>0</v>
      </c>
      <c r="Y329" s="2908">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7">
        <f t="shared" si="86"/>
        <v>0</v>
      </c>
      <c r="S330" s="250">
        <f t="shared" si="87"/>
        <v>0</v>
      </c>
      <c r="T330" s="858">
        <f t="shared" si="88"/>
        <v>0</v>
      </c>
      <c r="U330" s="2908">
        <f t="shared" si="82"/>
        <v>0</v>
      </c>
      <c r="V330" s="2908">
        <f t="shared" si="83"/>
        <v>0</v>
      </c>
      <c r="W330" s="955"/>
      <c r="X330" s="2908">
        <f t="shared" si="84"/>
        <v>0</v>
      </c>
      <c r="Y330" s="2908">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7">
        <f t="shared" si="86"/>
        <v>0</v>
      </c>
      <c r="S331" s="250">
        <f t="shared" si="87"/>
        <v>0</v>
      </c>
      <c r="T331" s="858">
        <f t="shared" si="88"/>
        <v>0</v>
      </c>
      <c r="U331" s="2908">
        <f t="shared" si="82"/>
        <v>0</v>
      </c>
      <c r="V331" s="2908">
        <f t="shared" si="83"/>
        <v>0</v>
      </c>
      <c r="W331" s="955"/>
      <c r="X331" s="2908">
        <f t="shared" si="84"/>
        <v>0</v>
      </c>
      <c r="Y331" s="2908">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7">
        <f t="shared" si="86"/>
        <v>0</v>
      </c>
      <c r="S332" s="250">
        <f t="shared" si="87"/>
        <v>0</v>
      </c>
      <c r="T332" s="858">
        <f t="shared" si="88"/>
        <v>0</v>
      </c>
      <c r="U332" s="2908">
        <f t="shared" si="82"/>
        <v>0</v>
      </c>
      <c r="V332" s="2908">
        <f t="shared" si="83"/>
        <v>0</v>
      </c>
      <c r="W332" s="955"/>
      <c r="X332" s="2908">
        <f t="shared" si="84"/>
        <v>0</v>
      </c>
      <c r="Y332" s="2908">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7">
        <f t="shared" si="86"/>
        <v>0</v>
      </c>
      <c r="S333" s="250">
        <f t="shared" si="87"/>
        <v>0</v>
      </c>
      <c r="T333" s="858">
        <f t="shared" si="88"/>
        <v>0</v>
      </c>
      <c r="U333" s="2908">
        <f t="shared" si="82"/>
        <v>0</v>
      </c>
      <c r="V333" s="2908">
        <f t="shared" si="83"/>
        <v>0</v>
      </c>
      <c r="W333" s="955"/>
      <c r="X333" s="2908">
        <f t="shared" si="84"/>
        <v>0</v>
      </c>
      <c r="Y333" s="2908">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7">
        <f t="shared" si="86"/>
        <v>0</v>
      </c>
      <c r="S334" s="250">
        <f t="shared" si="87"/>
        <v>0</v>
      </c>
      <c r="T334" s="858">
        <f t="shared" si="88"/>
        <v>0</v>
      </c>
      <c r="U334" s="2908">
        <f t="shared" si="82"/>
        <v>0</v>
      </c>
      <c r="V334" s="2908">
        <f t="shared" si="83"/>
        <v>0</v>
      </c>
      <c r="W334" s="955"/>
      <c r="X334" s="2908">
        <f t="shared" si="84"/>
        <v>0</v>
      </c>
      <c r="Y334" s="2908">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7">
        <f t="shared" si="86"/>
        <v>0</v>
      </c>
      <c r="S335" s="250">
        <f t="shared" si="87"/>
        <v>0</v>
      </c>
      <c r="T335" s="858">
        <f t="shared" si="88"/>
        <v>0</v>
      </c>
      <c r="U335" s="2908">
        <f t="shared" si="82"/>
        <v>0</v>
      </c>
      <c r="V335" s="2908">
        <f t="shared" si="83"/>
        <v>0</v>
      </c>
      <c r="W335" s="955"/>
      <c r="X335" s="2908">
        <f t="shared" si="84"/>
        <v>0</v>
      </c>
      <c r="Y335" s="2908">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7">
        <f t="shared" si="86"/>
        <v>0</v>
      </c>
      <c r="S336" s="250">
        <f t="shared" si="87"/>
        <v>0</v>
      </c>
      <c r="T336" s="858">
        <f t="shared" si="88"/>
        <v>0</v>
      </c>
      <c r="U336" s="2908">
        <f t="shared" si="82"/>
        <v>0</v>
      </c>
      <c r="V336" s="2908">
        <f t="shared" si="83"/>
        <v>0</v>
      </c>
      <c r="W336" s="955"/>
      <c r="X336" s="2908">
        <f t="shared" si="84"/>
        <v>0</v>
      </c>
      <c r="Y336" s="2908">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7">
        <f t="shared" si="86"/>
        <v>0</v>
      </c>
      <c r="S337" s="250">
        <f t="shared" si="87"/>
        <v>0</v>
      </c>
      <c r="T337" s="858">
        <f t="shared" si="88"/>
        <v>0</v>
      </c>
      <c r="U337" s="2908">
        <f t="shared" si="82"/>
        <v>0</v>
      </c>
      <c r="V337" s="2908">
        <f t="shared" si="83"/>
        <v>0</v>
      </c>
      <c r="W337" s="955"/>
      <c r="X337" s="2908">
        <f t="shared" si="84"/>
        <v>0</v>
      </c>
      <c r="Y337" s="2908">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7">
        <f t="shared" si="86"/>
        <v>0</v>
      </c>
      <c r="S338" s="250">
        <f t="shared" si="87"/>
        <v>0</v>
      </c>
      <c r="T338" s="858">
        <f t="shared" si="88"/>
        <v>0</v>
      </c>
      <c r="U338" s="2908">
        <f t="shared" si="82"/>
        <v>0</v>
      </c>
      <c r="V338" s="2908">
        <f t="shared" si="83"/>
        <v>0</v>
      </c>
      <c r="W338" s="955"/>
      <c r="X338" s="2908">
        <f t="shared" si="84"/>
        <v>0</v>
      </c>
      <c r="Y338" s="2908">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7">
        <f t="shared" si="86"/>
        <v>0</v>
      </c>
      <c r="S339" s="250">
        <f t="shared" si="87"/>
        <v>0</v>
      </c>
      <c r="T339" s="858">
        <f t="shared" si="88"/>
        <v>0</v>
      </c>
      <c r="U339" s="2908">
        <f t="shared" si="82"/>
        <v>0</v>
      </c>
      <c r="V339" s="2908">
        <f t="shared" si="83"/>
        <v>0</v>
      </c>
      <c r="W339" s="955"/>
      <c r="X339" s="2908">
        <f t="shared" si="84"/>
        <v>0</v>
      </c>
      <c r="Y339" s="2908">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7">
        <f t="shared" si="86"/>
        <v>0</v>
      </c>
      <c r="S340" s="250">
        <f t="shared" si="87"/>
        <v>0</v>
      </c>
      <c r="T340" s="858">
        <f t="shared" si="88"/>
        <v>0</v>
      </c>
      <c r="U340" s="2908">
        <f t="shared" si="82"/>
        <v>0</v>
      </c>
      <c r="V340" s="2908">
        <f t="shared" si="83"/>
        <v>0</v>
      </c>
      <c r="W340" s="955"/>
      <c r="X340" s="2908">
        <f t="shared" si="84"/>
        <v>0</v>
      </c>
      <c r="Y340" s="2908">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7">
        <f t="shared" si="86"/>
        <v>0</v>
      </c>
      <c r="S341" s="250">
        <f t="shared" si="87"/>
        <v>0</v>
      </c>
      <c r="T341" s="858">
        <f t="shared" si="88"/>
        <v>0</v>
      </c>
      <c r="U341" s="2908">
        <f t="shared" si="82"/>
        <v>0</v>
      </c>
      <c r="V341" s="2908">
        <f t="shared" si="83"/>
        <v>0</v>
      </c>
      <c r="W341" s="955"/>
      <c r="X341" s="2908">
        <f t="shared" si="84"/>
        <v>0</v>
      </c>
      <c r="Y341" s="2908">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7">
        <f t="shared" si="86"/>
        <v>0</v>
      </c>
      <c r="S342" s="250">
        <f t="shared" si="87"/>
        <v>0</v>
      </c>
      <c r="T342" s="858">
        <f t="shared" si="88"/>
        <v>0</v>
      </c>
      <c r="U342" s="2908">
        <f t="shared" si="82"/>
        <v>0</v>
      </c>
      <c r="V342" s="2908">
        <f t="shared" si="83"/>
        <v>0</v>
      </c>
      <c r="W342" s="955"/>
      <c r="X342" s="2908">
        <f t="shared" si="84"/>
        <v>0</v>
      </c>
      <c r="Y342" s="2908">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7">
        <f t="shared" si="86"/>
        <v>0</v>
      </c>
      <c r="S343" s="250">
        <f t="shared" si="87"/>
        <v>0</v>
      </c>
      <c r="T343" s="858">
        <f t="shared" si="88"/>
        <v>0</v>
      </c>
      <c r="U343" s="2908">
        <f t="shared" si="82"/>
        <v>0</v>
      </c>
      <c r="V343" s="2908">
        <f t="shared" si="83"/>
        <v>0</v>
      </c>
      <c r="W343" s="955"/>
      <c r="X343" s="2908">
        <f t="shared" si="84"/>
        <v>0</v>
      </c>
      <c r="Y343" s="2908">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7">
        <f t="shared" si="86"/>
        <v>0</v>
      </c>
      <c r="S344" s="250">
        <f t="shared" si="87"/>
        <v>0</v>
      </c>
      <c r="T344" s="858">
        <f t="shared" si="88"/>
        <v>0</v>
      </c>
      <c r="U344" s="2908">
        <f t="shared" si="82"/>
        <v>0</v>
      </c>
      <c r="V344" s="2908">
        <f t="shared" si="83"/>
        <v>0</v>
      </c>
      <c r="W344" s="955"/>
      <c r="X344" s="2908">
        <f t="shared" si="84"/>
        <v>0</v>
      </c>
      <c r="Y344" s="2908">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7">
        <f t="shared" si="86"/>
        <v>0</v>
      </c>
      <c r="S345" s="250">
        <f t="shared" si="87"/>
        <v>0</v>
      </c>
      <c r="T345" s="858">
        <f t="shared" si="88"/>
        <v>0</v>
      </c>
      <c r="U345" s="2908">
        <f t="shared" si="82"/>
        <v>0</v>
      </c>
      <c r="V345" s="2908">
        <f t="shared" si="83"/>
        <v>0</v>
      </c>
      <c r="W345" s="955"/>
      <c r="X345" s="2908">
        <f t="shared" si="84"/>
        <v>0</v>
      </c>
      <c r="Y345" s="2908">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7">
        <f t="shared" si="86"/>
        <v>0</v>
      </c>
      <c r="S346" s="250">
        <f t="shared" si="87"/>
        <v>0</v>
      </c>
      <c r="T346" s="858">
        <f t="shared" si="88"/>
        <v>0</v>
      </c>
      <c r="U346" s="2908">
        <f t="shared" si="82"/>
        <v>0</v>
      </c>
      <c r="V346" s="2908">
        <f t="shared" si="83"/>
        <v>0</v>
      </c>
      <c r="W346" s="955"/>
      <c r="X346" s="2908">
        <f t="shared" si="84"/>
        <v>0</v>
      </c>
      <c r="Y346" s="2908">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7">
        <f t="shared" si="86"/>
        <v>0</v>
      </c>
      <c r="S347" s="250">
        <f t="shared" si="87"/>
        <v>0</v>
      </c>
      <c r="T347" s="858">
        <f t="shared" si="88"/>
        <v>0</v>
      </c>
      <c r="U347" s="2908">
        <f t="shared" si="82"/>
        <v>0</v>
      </c>
      <c r="V347" s="2908">
        <f t="shared" si="83"/>
        <v>0</v>
      </c>
      <c r="W347" s="955"/>
      <c r="X347" s="2908">
        <f t="shared" si="84"/>
        <v>0</v>
      </c>
      <c r="Y347" s="2908">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7">
        <f t="shared" si="86"/>
        <v>0</v>
      </c>
      <c r="S348" s="250">
        <f t="shared" si="87"/>
        <v>0</v>
      </c>
      <c r="T348" s="858">
        <f t="shared" si="88"/>
        <v>0</v>
      </c>
      <c r="U348" s="2908">
        <f t="shared" ref="U348:U411" si="97">ROUND(W348*B348,0)</f>
        <v>0</v>
      </c>
      <c r="V348" s="2908">
        <f t="shared" ref="V348:V411" si="98">ROUND(W348*B348/10000,0)</f>
        <v>0</v>
      </c>
      <c r="W348" s="955"/>
      <c r="X348" s="2908">
        <f t="shared" ref="X348:X411" si="99">ROUND(Z348*B348,0)</f>
        <v>0</v>
      </c>
      <c r="Y348" s="2908">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7">
        <f t="shared" ref="R349:R412" si="101">IF(B349="",0,ROUND($R$27*C349*E349*G349*I349*K349*M349*O349*Q349,0))</f>
        <v>0</v>
      </c>
      <c r="S349" s="250">
        <f t="shared" ref="S349:S412" si="102">ROUND(R349*B349,0)</f>
        <v>0</v>
      </c>
      <c r="T349" s="858">
        <f t="shared" ref="T349:T412" si="103">ROUND(R349*B349/10000,0)</f>
        <v>0</v>
      </c>
      <c r="U349" s="2908">
        <f t="shared" si="97"/>
        <v>0</v>
      </c>
      <c r="V349" s="2908">
        <f t="shared" si="98"/>
        <v>0</v>
      </c>
      <c r="W349" s="955"/>
      <c r="X349" s="2908">
        <f t="shared" si="99"/>
        <v>0</v>
      </c>
      <c r="Y349" s="2908">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7">
        <f t="shared" si="101"/>
        <v>0</v>
      </c>
      <c r="S350" s="250">
        <f t="shared" si="102"/>
        <v>0</v>
      </c>
      <c r="T350" s="858">
        <f t="shared" si="103"/>
        <v>0</v>
      </c>
      <c r="U350" s="2908">
        <f t="shared" si="97"/>
        <v>0</v>
      </c>
      <c r="V350" s="2908">
        <f t="shared" si="98"/>
        <v>0</v>
      </c>
      <c r="W350" s="955"/>
      <c r="X350" s="2908">
        <f t="shared" si="99"/>
        <v>0</v>
      </c>
      <c r="Y350" s="2908">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7">
        <f t="shared" si="101"/>
        <v>0</v>
      </c>
      <c r="S351" s="250">
        <f t="shared" si="102"/>
        <v>0</v>
      </c>
      <c r="T351" s="858">
        <f t="shared" si="103"/>
        <v>0</v>
      </c>
      <c r="U351" s="2908">
        <f t="shared" si="97"/>
        <v>0</v>
      </c>
      <c r="V351" s="2908">
        <f t="shared" si="98"/>
        <v>0</v>
      </c>
      <c r="W351" s="955"/>
      <c r="X351" s="2908">
        <f t="shared" si="99"/>
        <v>0</v>
      </c>
      <c r="Y351" s="2908">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7">
        <f t="shared" si="101"/>
        <v>0</v>
      </c>
      <c r="S352" s="250">
        <f t="shared" si="102"/>
        <v>0</v>
      </c>
      <c r="T352" s="858">
        <f t="shared" si="103"/>
        <v>0</v>
      </c>
      <c r="U352" s="2908">
        <f t="shared" si="97"/>
        <v>0</v>
      </c>
      <c r="V352" s="2908">
        <f t="shared" si="98"/>
        <v>0</v>
      </c>
      <c r="W352" s="955"/>
      <c r="X352" s="2908">
        <f t="shared" si="99"/>
        <v>0</v>
      </c>
      <c r="Y352" s="2908">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7">
        <f t="shared" si="101"/>
        <v>0</v>
      </c>
      <c r="S353" s="250">
        <f t="shared" si="102"/>
        <v>0</v>
      </c>
      <c r="T353" s="858">
        <f t="shared" si="103"/>
        <v>0</v>
      </c>
      <c r="U353" s="2908">
        <f t="shared" si="97"/>
        <v>0</v>
      </c>
      <c r="V353" s="2908">
        <f t="shared" si="98"/>
        <v>0</v>
      </c>
      <c r="W353" s="955"/>
      <c r="X353" s="2908">
        <f t="shared" si="99"/>
        <v>0</v>
      </c>
      <c r="Y353" s="2908">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7">
        <f t="shared" si="101"/>
        <v>0</v>
      </c>
      <c r="S354" s="250">
        <f t="shared" si="102"/>
        <v>0</v>
      </c>
      <c r="T354" s="858">
        <f t="shared" si="103"/>
        <v>0</v>
      </c>
      <c r="U354" s="2908">
        <f t="shared" si="97"/>
        <v>0</v>
      </c>
      <c r="V354" s="2908">
        <f t="shared" si="98"/>
        <v>0</v>
      </c>
      <c r="W354" s="955"/>
      <c r="X354" s="2908">
        <f t="shared" si="99"/>
        <v>0</v>
      </c>
      <c r="Y354" s="2908">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7">
        <f t="shared" si="101"/>
        <v>0</v>
      </c>
      <c r="S355" s="250">
        <f t="shared" si="102"/>
        <v>0</v>
      </c>
      <c r="T355" s="858">
        <f t="shared" si="103"/>
        <v>0</v>
      </c>
      <c r="U355" s="2908">
        <f t="shared" si="97"/>
        <v>0</v>
      </c>
      <c r="V355" s="2908">
        <f t="shared" si="98"/>
        <v>0</v>
      </c>
      <c r="W355" s="955"/>
      <c r="X355" s="2908">
        <f t="shared" si="99"/>
        <v>0</v>
      </c>
      <c r="Y355" s="2908">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7">
        <f t="shared" si="101"/>
        <v>0</v>
      </c>
      <c r="S356" s="250">
        <f t="shared" si="102"/>
        <v>0</v>
      </c>
      <c r="T356" s="858">
        <f t="shared" si="103"/>
        <v>0</v>
      </c>
      <c r="U356" s="2908">
        <f t="shared" si="97"/>
        <v>0</v>
      </c>
      <c r="V356" s="2908">
        <f t="shared" si="98"/>
        <v>0</v>
      </c>
      <c r="W356" s="955"/>
      <c r="X356" s="2908">
        <f t="shared" si="99"/>
        <v>0</v>
      </c>
      <c r="Y356" s="2908">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7">
        <f t="shared" si="101"/>
        <v>0</v>
      </c>
      <c r="S357" s="250">
        <f t="shared" si="102"/>
        <v>0</v>
      </c>
      <c r="T357" s="858">
        <f t="shared" si="103"/>
        <v>0</v>
      </c>
      <c r="U357" s="2908">
        <f t="shared" si="97"/>
        <v>0</v>
      </c>
      <c r="V357" s="2908">
        <f t="shared" si="98"/>
        <v>0</v>
      </c>
      <c r="W357" s="955"/>
      <c r="X357" s="2908">
        <f t="shared" si="99"/>
        <v>0</v>
      </c>
      <c r="Y357" s="2908">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7">
        <f t="shared" si="101"/>
        <v>0</v>
      </c>
      <c r="S358" s="250">
        <f t="shared" si="102"/>
        <v>0</v>
      </c>
      <c r="T358" s="858">
        <f t="shared" si="103"/>
        <v>0</v>
      </c>
      <c r="U358" s="2908">
        <f t="shared" si="97"/>
        <v>0</v>
      </c>
      <c r="V358" s="2908">
        <f t="shared" si="98"/>
        <v>0</v>
      </c>
      <c r="W358" s="955"/>
      <c r="X358" s="2908">
        <f t="shared" si="99"/>
        <v>0</v>
      </c>
      <c r="Y358" s="2908">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7">
        <f t="shared" si="101"/>
        <v>0</v>
      </c>
      <c r="S359" s="250">
        <f t="shared" si="102"/>
        <v>0</v>
      </c>
      <c r="T359" s="858">
        <f t="shared" si="103"/>
        <v>0</v>
      </c>
      <c r="U359" s="2908">
        <f t="shared" si="97"/>
        <v>0</v>
      </c>
      <c r="V359" s="2908">
        <f t="shared" si="98"/>
        <v>0</v>
      </c>
      <c r="W359" s="955"/>
      <c r="X359" s="2908">
        <f t="shared" si="99"/>
        <v>0</v>
      </c>
      <c r="Y359" s="2908">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7">
        <f t="shared" si="101"/>
        <v>0</v>
      </c>
      <c r="S360" s="250">
        <f t="shared" si="102"/>
        <v>0</v>
      </c>
      <c r="T360" s="858">
        <f t="shared" si="103"/>
        <v>0</v>
      </c>
      <c r="U360" s="2908">
        <f t="shared" si="97"/>
        <v>0</v>
      </c>
      <c r="V360" s="2908">
        <f t="shared" si="98"/>
        <v>0</v>
      </c>
      <c r="W360" s="955"/>
      <c r="X360" s="2908">
        <f t="shared" si="99"/>
        <v>0</v>
      </c>
      <c r="Y360" s="2908">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7">
        <f t="shared" si="101"/>
        <v>0</v>
      </c>
      <c r="S361" s="250">
        <f t="shared" si="102"/>
        <v>0</v>
      </c>
      <c r="T361" s="858">
        <f t="shared" si="103"/>
        <v>0</v>
      </c>
      <c r="U361" s="2908">
        <f t="shared" si="97"/>
        <v>0</v>
      </c>
      <c r="V361" s="2908">
        <f t="shared" si="98"/>
        <v>0</v>
      </c>
      <c r="W361" s="955"/>
      <c r="X361" s="2908">
        <f t="shared" si="99"/>
        <v>0</v>
      </c>
      <c r="Y361" s="2908">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7">
        <f t="shared" si="101"/>
        <v>0</v>
      </c>
      <c r="S362" s="250">
        <f t="shared" si="102"/>
        <v>0</v>
      </c>
      <c r="T362" s="858">
        <f t="shared" si="103"/>
        <v>0</v>
      </c>
      <c r="U362" s="2908">
        <f t="shared" si="97"/>
        <v>0</v>
      </c>
      <c r="V362" s="2908">
        <f t="shared" si="98"/>
        <v>0</v>
      </c>
      <c r="W362" s="955"/>
      <c r="X362" s="2908">
        <f t="shared" si="99"/>
        <v>0</v>
      </c>
      <c r="Y362" s="2908">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7">
        <f t="shared" si="101"/>
        <v>0</v>
      </c>
      <c r="S363" s="250">
        <f t="shared" si="102"/>
        <v>0</v>
      </c>
      <c r="T363" s="858">
        <f t="shared" si="103"/>
        <v>0</v>
      </c>
      <c r="U363" s="2908">
        <f t="shared" si="97"/>
        <v>0</v>
      </c>
      <c r="V363" s="2908">
        <f t="shared" si="98"/>
        <v>0</v>
      </c>
      <c r="W363" s="955"/>
      <c r="X363" s="2908">
        <f t="shared" si="99"/>
        <v>0</v>
      </c>
      <c r="Y363" s="2908">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7">
        <f t="shared" si="101"/>
        <v>0</v>
      </c>
      <c r="S364" s="250">
        <f t="shared" si="102"/>
        <v>0</v>
      </c>
      <c r="T364" s="858">
        <f t="shared" si="103"/>
        <v>0</v>
      </c>
      <c r="U364" s="2908">
        <f t="shared" si="97"/>
        <v>0</v>
      </c>
      <c r="V364" s="2908">
        <f t="shared" si="98"/>
        <v>0</v>
      </c>
      <c r="W364" s="955"/>
      <c r="X364" s="2908">
        <f t="shared" si="99"/>
        <v>0</v>
      </c>
      <c r="Y364" s="2908">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7">
        <f t="shared" si="101"/>
        <v>0</v>
      </c>
      <c r="S365" s="250">
        <f t="shared" si="102"/>
        <v>0</v>
      </c>
      <c r="T365" s="858">
        <f t="shared" si="103"/>
        <v>0</v>
      </c>
      <c r="U365" s="2908">
        <f t="shared" si="97"/>
        <v>0</v>
      </c>
      <c r="V365" s="2908">
        <f t="shared" si="98"/>
        <v>0</v>
      </c>
      <c r="W365" s="955"/>
      <c r="X365" s="2908">
        <f t="shared" si="99"/>
        <v>0</v>
      </c>
      <c r="Y365" s="2908">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7">
        <f t="shared" si="101"/>
        <v>0</v>
      </c>
      <c r="S366" s="250">
        <f t="shared" si="102"/>
        <v>0</v>
      </c>
      <c r="T366" s="858">
        <f t="shared" si="103"/>
        <v>0</v>
      </c>
      <c r="U366" s="2908">
        <f t="shared" si="97"/>
        <v>0</v>
      </c>
      <c r="V366" s="2908">
        <f t="shared" si="98"/>
        <v>0</v>
      </c>
      <c r="W366" s="955"/>
      <c r="X366" s="2908">
        <f t="shared" si="99"/>
        <v>0</v>
      </c>
      <c r="Y366" s="2908">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7">
        <f t="shared" si="101"/>
        <v>0</v>
      </c>
      <c r="S367" s="250">
        <f t="shared" si="102"/>
        <v>0</v>
      </c>
      <c r="T367" s="858">
        <f t="shared" si="103"/>
        <v>0</v>
      </c>
      <c r="U367" s="2908">
        <f t="shared" si="97"/>
        <v>0</v>
      </c>
      <c r="V367" s="2908">
        <f t="shared" si="98"/>
        <v>0</v>
      </c>
      <c r="W367" s="955"/>
      <c r="X367" s="2908">
        <f t="shared" si="99"/>
        <v>0</v>
      </c>
      <c r="Y367" s="2908">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7">
        <f t="shared" si="101"/>
        <v>0</v>
      </c>
      <c r="S368" s="250">
        <f t="shared" si="102"/>
        <v>0</v>
      </c>
      <c r="T368" s="858">
        <f t="shared" si="103"/>
        <v>0</v>
      </c>
      <c r="U368" s="2908">
        <f t="shared" si="97"/>
        <v>0</v>
      </c>
      <c r="V368" s="2908">
        <f t="shared" si="98"/>
        <v>0</v>
      </c>
      <c r="W368" s="955"/>
      <c r="X368" s="2908">
        <f t="shared" si="99"/>
        <v>0</v>
      </c>
      <c r="Y368" s="2908">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7">
        <f t="shared" si="101"/>
        <v>0</v>
      </c>
      <c r="S369" s="250">
        <f t="shared" si="102"/>
        <v>0</v>
      </c>
      <c r="T369" s="858">
        <f t="shared" si="103"/>
        <v>0</v>
      </c>
      <c r="U369" s="2908">
        <f t="shared" si="97"/>
        <v>0</v>
      </c>
      <c r="V369" s="2908">
        <f t="shared" si="98"/>
        <v>0</v>
      </c>
      <c r="W369" s="955"/>
      <c r="X369" s="2908">
        <f t="shared" si="99"/>
        <v>0</v>
      </c>
      <c r="Y369" s="2908">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7">
        <f t="shared" si="101"/>
        <v>0</v>
      </c>
      <c r="S370" s="250">
        <f t="shared" si="102"/>
        <v>0</v>
      </c>
      <c r="T370" s="858">
        <f t="shared" si="103"/>
        <v>0</v>
      </c>
      <c r="U370" s="2908">
        <f t="shared" si="97"/>
        <v>0</v>
      </c>
      <c r="V370" s="2908">
        <f t="shared" si="98"/>
        <v>0</v>
      </c>
      <c r="W370" s="955"/>
      <c r="X370" s="2908">
        <f t="shared" si="99"/>
        <v>0</v>
      </c>
      <c r="Y370" s="2908">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7">
        <f t="shared" si="101"/>
        <v>0</v>
      </c>
      <c r="S371" s="250">
        <f t="shared" si="102"/>
        <v>0</v>
      </c>
      <c r="T371" s="858">
        <f t="shared" si="103"/>
        <v>0</v>
      </c>
      <c r="U371" s="2908">
        <f t="shared" si="97"/>
        <v>0</v>
      </c>
      <c r="V371" s="2908">
        <f t="shared" si="98"/>
        <v>0</v>
      </c>
      <c r="W371" s="955"/>
      <c r="X371" s="2908">
        <f t="shared" si="99"/>
        <v>0</v>
      </c>
      <c r="Y371" s="2908">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7">
        <f t="shared" si="101"/>
        <v>0</v>
      </c>
      <c r="S372" s="250">
        <f t="shared" si="102"/>
        <v>0</v>
      </c>
      <c r="T372" s="858">
        <f t="shared" si="103"/>
        <v>0</v>
      </c>
      <c r="U372" s="2908">
        <f t="shared" si="97"/>
        <v>0</v>
      </c>
      <c r="V372" s="2908">
        <f t="shared" si="98"/>
        <v>0</v>
      </c>
      <c r="W372" s="955"/>
      <c r="X372" s="2908">
        <f t="shared" si="99"/>
        <v>0</v>
      </c>
      <c r="Y372" s="2908">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7">
        <f t="shared" si="101"/>
        <v>0</v>
      </c>
      <c r="S373" s="250">
        <f t="shared" si="102"/>
        <v>0</v>
      </c>
      <c r="T373" s="858">
        <f t="shared" si="103"/>
        <v>0</v>
      </c>
      <c r="U373" s="2908">
        <f t="shared" si="97"/>
        <v>0</v>
      </c>
      <c r="V373" s="2908">
        <f t="shared" si="98"/>
        <v>0</v>
      </c>
      <c r="W373" s="955"/>
      <c r="X373" s="2908">
        <f t="shared" si="99"/>
        <v>0</v>
      </c>
      <c r="Y373" s="2908">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7">
        <f t="shared" si="101"/>
        <v>0</v>
      </c>
      <c r="S374" s="250">
        <f t="shared" si="102"/>
        <v>0</v>
      </c>
      <c r="T374" s="858">
        <f t="shared" si="103"/>
        <v>0</v>
      </c>
      <c r="U374" s="2908">
        <f t="shared" si="97"/>
        <v>0</v>
      </c>
      <c r="V374" s="2908">
        <f t="shared" si="98"/>
        <v>0</v>
      </c>
      <c r="W374" s="955"/>
      <c r="X374" s="2908">
        <f t="shared" si="99"/>
        <v>0</v>
      </c>
      <c r="Y374" s="2908">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7">
        <f t="shared" si="101"/>
        <v>0</v>
      </c>
      <c r="S375" s="250">
        <f t="shared" si="102"/>
        <v>0</v>
      </c>
      <c r="T375" s="858">
        <f t="shared" si="103"/>
        <v>0</v>
      </c>
      <c r="U375" s="2908">
        <f t="shared" si="97"/>
        <v>0</v>
      </c>
      <c r="V375" s="2908">
        <f t="shared" si="98"/>
        <v>0</v>
      </c>
      <c r="W375" s="955"/>
      <c r="X375" s="2908">
        <f t="shared" si="99"/>
        <v>0</v>
      </c>
      <c r="Y375" s="2908">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7">
        <f t="shared" si="101"/>
        <v>0</v>
      </c>
      <c r="S376" s="250">
        <f t="shared" si="102"/>
        <v>0</v>
      </c>
      <c r="T376" s="858">
        <f t="shared" si="103"/>
        <v>0</v>
      </c>
      <c r="U376" s="2908">
        <f t="shared" si="97"/>
        <v>0</v>
      </c>
      <c r="V376" s="2908">
        <f t="shared" si="98"/>
        <v>0</v>
      </c>
      <c r="W376" s="955"/>
      <c r="X376" s="2908">
        <f t="shared" si="99"/>
        <v>0</v>
      </c>
      <c r="Y376" s="2908">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7">
        <f t="shared" si="101"/>
        <v>0</v>
      </c>
      <c r="S377" s="250">
        <f t="shared" si="102"/>
        <v>0</v>
      </c>
      <c r="T377" s="858">
        <f t="shared" si="103"/>
        <v>0</v>
      </c>
      <c r="U377" s="2908">
        <f t="shared" si="97"/>
        <v>0</v>
      </c>
      <c r="V377" s="2908">
        <f t="shared" si="98"/>
        <v>0</v>
      </c>
      <c r="W377" s="955"/>
      <c r="X377" s="2908">
        <f t="shared" si="99"/>
        <v>0</v>
      </c>
      <c r="Y377" s="2908">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7">
        <f t="shared" si="101"/>
        <v>0</v>
      </c>
      <c r="S378" s="250">
        <f t="shared" si="102"/>
        <v>0</v>
      </c>
      <c r="T378" s="858">
        <f t="shared" si="103"/>
        <v>0</v>
      </c>
      <c r="U378" s="2908">
        <f t="shared" si="97"/>
        <v>0</v>
      </c>
      <c r="V378" s="2908">
        <f t="shared" si="98"/>
        <v>0</v>
      </c>
      <c r="W378" s="955"/>
      <c r="X378" s="2908">
        <f t="shared" si="99"/>
        <v>0</v>
      </c>
      <c r="Y378" s="2908">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7">
        <f t="shared" si="101"/>
        <v>0</v>
      </c>
      <c r="S379" s="250">
        <f t="shared" si="102"/>
        <v>0</v>
      </c>
      <c r="T379" s="858">
        <f t="shared" si="103"/>
        <v>0</v>
      </c>
      <c r="U379" s="2908">
        <f t="shared" si="97"/>
        <v>0</v>
      </c>
      <c r="V379" s="2908">
        <f t="shared" si="98"/>
        <v>0</v>
      </c>
      <c r="W379" s="955"/>
      <c r="X379" s="2908">
        <f t="shared" si="99"/>
        <v>0</v>
      </c>
      <c r="Y379" s="2908">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7">
        <f t="shared" si="101"/>
        <v>0</v>
      </c>
      <c r="S380" s="250">
        <f t="shared" si="102"/>
        <v>0</v>
      </c>
      <c r="T380" s="858">
        <f t="shared" si="103"/>
        <v>0</v>
      </c>
      <c r="U380" s="2908">
        <f t="shared" si="97"/>
        <v>0</v>
      </c>
      <c r="V380" s="2908">
        <f t="shared" si="98"/>
        <v>0</v>
      </c>
      <c r="W380" s="955"/>
      <c r="X380" s="2908">
        <f t="shared" si="99"/>
        <v>0</v>
      </c>
      <c r="Y380" s="2908">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7">
        <f t="shared" si="101"/>
        <v>0</v>
      </c>
      <c r="S381" s="250">
        <f t="shared" si="102"/>
        <v>0</v>
      </c>
      <c r="T381" s="858">
        <f t="shared" si="103"/>
        <v>0</v>
      </c>
      <c r="U381" s="2908">
        <f t="shared" si="97"/>
        <v>0</v>
      </c>
      <c r="V381" s="2908">
        <f t="shared" si="98"/>
        <v>0</v>
      </c>
      <c r="W381" s="955"/>
      <c r="X381" s="2908">
        <f t="shared" si="99"/>
        <v>0</v>
      </c>
      <c r="Y381" s="2908">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7">
        <f t="shared" si="101"/>
        <v>0</v>
      </c>
      <c r="S382" s="250">
        <f t="shared" si="102"/>
        <v>0</v>
      </c>
      <c r="T382" s="858">
        <f t="shared" si="103"/>
        <v>0</v>
      </c>
      <c r="U382" s="2908">
        <f t="shared" si="97"/>
        <v>0</v>
      </c>
      <c r="V382" s="2908">
        <f t="shared" si="98"/>
        <v>0</v>
      </c>
      <c r="W382" s="955"/>
      <c r="X382" s="2908">
        <f t="shared" si="99"/>
        <v>0</v>
      </c>
      <c r="Y382" s="2908">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7">
        <f t="shared" si="101"/>
        <v>0</v>
      </c>
      <c r="S383" s="250">
        <f t="shared" si="102"/>
        <v>0</v>
      </c>
      <c r="T383" s="858">
        <f t="shared" si="103"/>
        <v>0</v>
      </c>
      <c r="U383" s="2908">
        <f t="shared" si="97"/>
        <v>0</v>
      </c>
      <c r="V383" s="2908">
        <f t="shared" si="98"/>
        <v>0</v>
      </c>
      <c r="W383" s="955"/>
      <c r="X383" s="2908">
        <f t="shared" si="99"/>
        <v>0</v>
      </c>
      <c r="Y383" s="2908">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7">
        <f t="shared" si="101"/>
        <v>0</v>
      </c>
      <c r="S384" s="250">
        <f t="shared" si="102"/>
        <v>0</v>
      </c>
      <c r="T384" s="858">
        <f t="shared" si="103"/>
        <v>0</v>
      </c>
      <c r="U384" s="2908">
        <f t="shared" si="97"/>
        <v>0</v>
      </c>
      <c r="V384" s="2908">
        <f t="shared" si="98"/>
        <v>0</v>
      </c>
      <c r="W384" s="955"/>
      <c r="X384" s="2908">
        <f t="shared" si="99"/>
        <v>0</v>
      </c>
      <c r="Y384" s="2908">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7">
        <f t="shared" si="101"/>
        <v>0</v>
      </c>
      <c r="S385" s="250">
        <f t="shared" si="102"/>
        <v>0</v>
      </c>
      <c r="T385" s="858">
        <f t="shared" si="103"/>
        <v>0</v>
      </c>
      <c r="U385" s="2908">
        <f t="shared" si="97"/>
        <v>0</v>
      </c>
      <c r="V385" s="2908">
        <f t="shared" si="98"/>
        <v>0</v>
      </c>
      <c r="W385" s="955"/>
      <c r="X385" s="2908">
        <f t="shared" si="99"/>
        <v>0</v>
      </c>
      <c r="Y385" s="2908">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7">
        <f t="shared" si="101"/>
        <v>0</v>
      </c>
      <c r="S386" s="250">
        <f t="shared" si="102"/>
        <v>0</v>
      </c>
      <c r="T386" s="858">
        <f t="shared" si="103"/>
        <v>0</v>
      </c>
      <c r="U386" s="2908">
        <f t="shared" si="97"/>
        <v>0</v>
      </c>
      <c r="V386" s="2908">
        <f t="shared" si="98"/>
        <v>0</v>
      </c>
      <c r="W386" s="955"/>
      <c r="X386" s="2908">
        <f t="shared" si="99"/>
        <v>0</v>
      </c>
      <c r="Y386" s="2908">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7">
        <f t="shared" si="101"/>
        <v>0</v>
      </c>
      <c r="S387" s="250">
        <f t="shared" si="102"/>
        <v>0</v>
      </c>
      <c r="T387" s="858">
        <f t="shared" si="103"/>
        <v>0</v>
      </c>
      <c r="U387" s="2908">
        <f t="shared" si="97"/>
        <v>0</v>
      </c>
      <c r="V387" s="2908">
        <f t="shared" si="98"/>
        <v>0</v>
      </c>
      <c r="W387" s="955"/>
      <c r="X387" s="2908">
        <f t="shared" si="99"/>
        <v>0</v>
      </c>
      <c r="Y387" s="2908">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7">
        <f t="shared" si="101"/>
        <v>0</v>
      </c>
      <c r="S388" s="250">
        <f t="shared" si="102"/>
        <v>0</v>
      </c>
      <c r="T388" s="858">
        <f t="shared" si="103"/>
        <v>0</v>
      </c>
      <c r="U388" s="2908">
        <f t="shared" si="97"/>
        <v>0</v>
      </c>
      <c r="V388" s="2908">
        <f t="shared" si="98"/>
        <v>0</v>
      </c>
      <c r="W388" s="955"/>
      <c r="X388" s="2908">
        <f t="shared" si="99"/>
        <v>0</v>
      </c>
      <c r="Y388" s="2908">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7">
        <f t="shared" si="101"/>
        <v>0</v>
      </c>
      <c r="S389" s="250">
        <f t="shared" si="102"/>
        <v>0</v>
      </c>
      <c r="T389" s="858">
        <f t="shared" si="103"/>
        <v>0</v>
      </c>
      <c r="U389" s="2908">
        <f t="shared" si="97"/>
        <v>0</v>
      </c>
      <c r="V389" s="2908">
        <f t="shared" si="98"/>
        <v>0</v>
      </c>
      <c r="W389" s="955"/>
      <c r="X389" s="2908">
        <f t="shared" si="99"/>
        <v>0</v>
      </c>
      <c r="Y389" s="2908">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7">
        <f t="shared" si="101"/>
        <v>0</v>
      </c>
      <c r="S390" s="250">
        <f t="shared" si="102"/>
        <v>0</v>
      </c>
      <c r="T390" s="858">
        <f t="shared" si="103"/>
        <v>0</v>
      </c>
      <c r="U390" s="2908">
        <f t="shared" si="97"/>
        <v>0</v>
      </c>
      <c r="V390" s="2908">
        <f t="shared" si="98"/>
        <v>0</v>
      </c>
      <c r="W390" s="955"/>
      <c r="X390" s="2908">
        <f t="shared" si="99"/>
        <v>0</v>
      </c>
      <c r="Y390" s="2908">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7">
        <f t="shared" si="101"/>
        <v>0</v>
      </c>
      <c r="S391" s="250">
        <f t="shared" si="102"/>
        <v>0</v>
      </c>
      <c r="T391" s="858">
        <f t="shared" si="103"/>
        <v>0</v>
      </c>
      <c r="U391" s="2908">
        <f t="shared" si="97"/>
        <v>0</v>
      </c>
      <c r="V391" s="2908">
        <f t="shared" si="98"/>
        <v>0</v>
      </c>
      <c r="W391" s="955"/>
      <c r="X391" s="2908">
        <f t="shared" si="99"/>
        <v>0</v>
      </c>
      <c r="Y391" s="2908">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7">
        <f t="shared" si="101"/>
        <v>0</v>
      </c>
      <c r="S392" s="250">
        <f t="shared" si="102"/>
        <v>0</v>
      </c>
      <c r="T392" s="858">
        <f t="shared" si="103"/>
        <v>0</v>
      </c>
      <c r="U392" s="2908">
        <f t="shared" si="97"/>
        <v>0</v>
      </c>
      <c r="V392" s="2908">
        <f t="shared" si="98"/>
        <v>0</v>
      </c>
      <c r="W392" s="955"/>
      <c r="X392" s="2908">
        <f t="shared" si="99"/>
        <v>0</v>
      </c>
      <c r="Y392" s="2908">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7">
        <f t="shared" si="101"/>
        <v>0</v>
      </c>
      <c r="S393" s="250">
        <f t="shared" si="102"/>
        <v>0</v>
      </c>
      <c r="T393" s="858">
        <f t="shared" si="103"/>
        <v>0</v>
      </c>
      <c r="U393" s="2908">
        <f t="shared" si="97"/>
        <v>0</v>
      </c>
      <c r="V393" s="2908">
        <f t="shared" si="98"/>
        <v>0</v>
      </c>
      <c r="W393" s="955"/>
      <c r="X393" s="2908">
        <f t="shared" si="99"/>
        <v>0</v>
      </c>
      <c r="Y393" s="2908">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7">
        <f t="shared" si="101"/>
        <v>0</v>
      </c>
      <c r="S394" s="250">
        <f t="shared" si="102"/>
        <v>0</v>
      </c>
      <c r="T394" s="858">
        <f t="shared" si="103"/>
        <v>0</v>
      </c>
      <c r="U394" s="2908">
        <f t="shared" si="97"/>
        <v>0</v>
      </c>
      <c r="V394" s="2908">
        <f t="shared" si="98"/>
        <v>0</v>
      </c>
      <c r="W394" s="955"/>
      <c r="X394" s="2908">
        <f t="shared" si="99"/>
        <v>0</v>
      </c>
      <c r="Y394" s="2908">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7">
        <f t="shared" si="101"/>
        <v>0</v>
      </c>
      <c r="S395" s="250">
        <f t="shared" si="102"/>
        <v>0</v>
      </c>
      <c r="T395" s="858">
        <f t="shared" si="103"/>
        <v>0</v>
      </c>
      <c r="U395" s="2908">
        <f t="shared" si="97"/>
        <v>0</v>
      </c>
      <c r="V395" s="2908">
        <f t="shared" si="98"/>
        <v>0</v>
      </c>
      <c r="W395" s="955"/>
      <c r="X395" s="2908">
        <f t="shared" si="99"/>
        <v>0</v>
      </c>
      <c r="Y395" s="2908">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7">
        <f t="shared" si="101"/>
        <v>0</v>
      </c>
      <c r="S396" s="250">
        <f t="shared" si="102"/>
        <v>0</v>
      </c>
      <c r="T396" s="858">
        <f t="shared" si="103"/>
        <v>0</v>
      </c>
      <c r="U396" s="2908">
        <f t="shared" si="97"/>
        <v>0</v>
      </c>
      <c r="V396" s="2908">
        <f t="shared" si="98"/>
        <v>0</v>
      </c>
      <c r="W396" s="955"/>
      <c r="X396" s="2908">
        <f t="shared" si="99"/>
        <v>0</v>
      </c>
      <c r="Y396" s="2908">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7">
        <f t="shared" si="101"/>
        <v>0</v>
      </c>
      <c r="S397" s="250">
        <f t="shared" si="102"/>
        <v>0</v>
      </c>
      <c r="T397" s="858">
        <f t="shared" si="103"/>
        <v>0</v>
      </c>
      <c r="U397" s="2908">
        <f t="shared" si="97"/>
        <v>0</v>
      </c>
      <c r="V397" s="2908">
        <f t="shared" si="98"/>
        <v>0</v>
      </c>
      <c r="W397" s="955"/>
      <c r="X397" s="2908">
        <f t="shared" si="99"/>
        <v>0</v>
      </c>
      <c r="Y397" s="2908">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7">
        <f t="shared" si="101"/>
        <v>0</v>
      </c>
      <c r="S398" s="250">
        <f t="shared" si="102"/>
        <v>0</v>
      </c>
      <c r="T398" s="858">
        <f t="shared" si="103"/>
        <v>0</v>
      </c>
      <c r="U398" s="2908">
        <f t="shared" si="97"/>
        <v>0</v>
      </c>
      <c r="V398" s="2908">
        <f t="shared" si="98"/>
        <v>0</v>
      </c>
      <c r="W398" s="955"/>
      <c r="X398" s="2908">
        <f t="shared" si="99"/>
        <v>0</v>
      </c>
      <c r="Y398" s="2908">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7">
        <f t="shared" si="101"/>
        <v>0</v>
      </c>
      <c r="S399" s="250">
        <f t="shared" si="102"/>
        <v>0</v>
      </c>
      <c r="T399" s="858">
        <f t="shared" si="103"/>
        <v>0</v>
      </c>
      <c r="U399" s="2908">
        <f t="shared" si="97"/>
        <v>0</v>
      </c>
      <c r="V399" s="2908">
        <f t="shared" si="98"/>
        <v>0</v>
      </c>
      <c r="W399" s="955"/>
      <c r="X399" s="2908">
        <f t="shared" si="99"/>
        <v>0</v>
      </c>
      <c r="Y399" s="2908">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7">
        <f t="shared" si="101"/>
        <v>0</v>
      </c>
      <c r="S400" s="250">
        <f t="shared" si="102"/>
        <v>0</v>
      </c>
      <c r="T400" s="858">
        <f t="shared" si="103"/>
        <v>0</v>
      </c>
      <c r="U400" s="2908">
        <f t="shared" si="97"/>
        <v>0</v>
      </c>
      <c r="V400" s="2908">
        <f t="shared" si="98"/>
        <v>0</v>
      </c>
      <c r="W400" s="955"/>
      <c r="X400" s="2908">
        <f t="shared" si="99"/>
        <v>0</v>
      </c>
      <c r="Y400" s="2908">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7">
        <f t="shared" si="101"/>
        <v>0</v>
      </c>
      <c r="S401" s="250">
        <f t="shared" si="102"/>
        <v>0</v>
      </c>
      <c r="T401" s="858">
        <f t="shared" si="103"/>
        <v>0</v>
      </c>
      <c r="U401" s="2908">
        <f t="shared" si="97"/>
        <v>0</v>
      </c>
      <c r="V401" s="2908">
        <f t="shared" si="98"/>
        <v>0</v>
      </c>
      <c r="W401" s="955"/>
      <c r="X401" s="2908">
        <f t="shared" si="99"/>
        <v>0</v>
      </c>
      <c r="Y401" s="2908">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7">
        <f t="shared" si="101"/>
        <v>0</v>
      </c>
      <c r="S402" s="250">
        <f t="shared" si="102"/>
        <v>0</v>
      </c>
      <c r="T402" s="858">
        <f t="shared" si="103"/>
        <v>0</v>
      </c>
      <c r="U402" s="2908">
        <f t="shared" si="97"/>
        <v>0</v>
      </c>
      <c r="V402" s="2908">
        <f t="shared" si="98"/>
        <v>0</v>
      </c>
      <c r="W402" s="955"/>
      <c r="X402" s="2908">
        <f t="shared" si="99"/>
        <v>0</v>
      </c>
      <c r="Y402" s="2908">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7">
        <f t="shared" si="101"/>
        <v>0</v>
      </c>
      <c r="S403" s="250">
        <f t="shared" si="102"/>
        <v>0</v>
      </c>
      <c r="T403" s="858">
        <f t="shared" si="103"/>
        <v>0</v>
      </c>
      <c r="U403" s="2908">
        <f t="shared" si="97"/>
        <v>0</v>
      </c>
      <c r="V403" s="2908">
        <f t="shared" si="98"/>
        <v>0</v>
      </c>
      <c r="W403" s="955"/>
      <c r="X403" s="2908">
        <f t="shared" si="99"/>
        <v>0</v>
      </c>
      <c r="Y403" s="2908">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7">
        <f t="shared" si="101"/>
        <v>0</v>
      </c>
      <c r="S404" s="250">
        <f t="shared" si="102"/>
        <v>0</v>
      </c>
      <c r="T404" s="858">
        <f t="shared" si="103"/>
        <v>0</v>
      </c>
      <c r="U404" s="2908">
        <f t="shared" si="97"/>
        <v>0</v>
      </c>
      <c r="V404" s="2908">
        <f t="shared" si="98"/>
        <v>0</v>
      </c>
      <c r="W404" s="955"/>
      <c r="X404" s="2908">
        <f t="shared" si="99"/>
        <v>0</v>
      </c>
      <c r="Y404" s="2908">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7">
        <f t="shared" si="101"/>
        <v>0</v>
      </c>
      <c r="S405" s="250">
        <f t="shared" si="102"/>
        <v>0</v>
      </c>
      <c r="T405" s="858">
        <f t="shared" si="103"/>
        <v>0</v>
      </c>
      <c r="U405" s="2908">
        <f t="shared" si="97"/>
        <v>0</v>
      </c>
      <c r="V405" s="2908">
        <f t="shared" si="98"/>
        <v>0</v>
      </c>
      <c r="W405" s="955"/>
      <c r="X405" s="2908">
        <f t="shared" si="99"/>
        <v>0</v>
      </c>
      <c r="Y405" s="2908">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7">
        <f t="shared" si="101"/>
        <v>0</v>
      </c>
      <c r="S406" s="250">
        <f t="shared" si="102"/>
        <v>0</v>
      </c>
      <c r="T406" s="858">
        <f t="shared" si="103"/>
        <v>0</v>
      </c>
      <c r="U406" s="2908">
        <f t="shared" si="97"/>
        <v>0</v>
      </c>
      <c r="V406" s="2908">
        <f t="shared" si="98"/>
        <v>0</v>
      </c>
      <c r="W406" s="955"/>
      <c r="X406" s="2908">
        <f t="shared" si="99"/>
        <v>0</v>
      </c>
      <c r="Y406" s="2908">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7">
        <f t="shared" si="101"/>
        <v>0</v>
      </c>
      <c r="S407" s="250">
        <f t="shared" si="102"/>
        <v>0</v>
      </c>
      <c r="T407" s="858">
        <f t="shared" si="103"/>
        <v>0</v>
      </c>
      <c r="U407" s="2908">
        <f t="shared" si="97"/>
        <v>0</v>
      </c>
      <c r="V407" s="2908">
        <f t="shared" si="98"/>
        <v>0</v>
      </c>
      <c r="W407" s="955"/>
      <c r="X407" s="2908">
        <f t="shared" si="99"/>
        <v>0</v>
      </c>
      <c r="Y407" s="2908">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7">
        <f t="shared" si="101"/>
        <v>0</v>
      </c>
      <c r="S408" s="250">
        <f t="shared" si="102"/>
        <v>0</v>
      </c>
      <c r="T408" s="858">
        <f t="shared" si="103"/>
        <v>0</v>
      </c>
      <c r="U408" s="2908">
        <f t="shared" si="97"/>
        <v>0</v>
      </c>
      <c r="V408" s="2908">
        <f t="shared" si="98"/>
        <v>0</v>
      </c>
      <c r="W408" s="955"/>
      <c r="X408" s="2908">
        <f t="shared" si="99"/>
        <v>0</v>
      </c>
      <c r="Y408" s="2908">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7">
        <f t="shared" si="101"/>
        <v>0</v>
      </c>
      <c r="S409" s="250">
        <f t="shared" si="102"/>
        <v>0</v>
      </c>
      <c r="T409" s="858">
        <f t="shared" si="103"/>
        <v>0</v>
      </c>
      <c r="U409" s="2908">
        <f t="shared" si="97"/>
        <v>0</v>
      </c>
      <c r="V409" s="2908">
        <f t="shared" si="98"/>
        <v>0</v>
      </c>
      <c r="W409" s="955"/>
      <c r="X409" s="2908">
        <f t="shared" si="99"/>
        <v>0</v>
      </c>
      <c r="Y409" s="2908">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7">
        <f t="shared" si="101"/>
        <v>0</v>
      </c>
      <c r="S410" s="250">
        <f t="shared" si="102"/>
        <v>0</v>
      </c>
      <c r="T410" s="858">
        <f t="shared" si="103"/>
        <v>0</v>
      </c>
      <c r="U410" s="2908">
        <f t="shared" si="97"/>
        <v>0</v>
      </c>
      <c r="V410" s="2908">
        <f t="shared" si="98"/>
        <v>0</v>
      </c>
      <c r="W410" s="955"/>
      <c r="X410" s="2908">
        <f t="shared" si="99"/>
        <v>0</v>
      </c>
      <c r="Y410" s="2908">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7">
        <f t="shared" si="101"/>
        <v>0</v>
      </c>
      <c r="S411" s="250">
        <f t="shared" si="102"/>
        <v>0</v>
      </c>
      <c r="T411" s="858">
        <f t="shared" si="103"/>
        <v>0</v>
      </c>
      <c r="U411" s="2908">
        <f t="shared" si="97"/>
        <v>0</v>
      </c>
      <c r="V411" s="2908">
        <f t="shared" si="98"/>
        <v>0</v>
      </c>
      <c r="W411" s="955"/>
      <c r="X411" s="2908">
        <f t="shared" si="99"/>
        <v>0</v>
      </c>
      <c r="Y411" s="2908">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7">
        <f t="shared" si="101"/>
        <v>0</v>
      </c>
      <c r="S412" s="250">
        <f t="shared" si="102"/>
        <v>0</v>
      </c>
      <c r="T412" s="858">
        <f t="shared" si="103"/>
        <v>0</v>
      </c>
      <c r="U412" s="2908">
        <f t="shared" ref="U412:U475" si="112">ROUND(W412*B412,0)</f>
        <v>0</v>
      </c>
      <c r="V412" s="2908">
        <f t="shared" ref="V412:V475" si="113">ROUND(W412*B412/10000,0)</f>
        <v>0</v>
      </c>
      <c r="W412" s="955"/>
      <c r="X412" s="2908">
        <f t="shared" ref="X412:X475" si="114">ROUND(Z412*B412,0)</f>
        <v>0</v>
      </c>
      <c r="Y412" s="2908">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7">
        <f t="shared" ref="R413:R476" si="116">IF(B413="",0,ROUND($R$27*C413*E413*G413*I413*K413*M413*O413*Q413,0))</f>
        <v>0</v>
      </c>
      <c r="S413" s="250">
        <f t="shared" ref="S413:S476" si="117">ROUND(R413*B413,0)</f>
        <v>0</v>
      </c>
      <c r="T413" s="858">
        <f t="shared" ref="T413:T476" si="118">ROUND(R413*B413/10000,0)</f>
        <v>0</v>
      </c>
      <c r="U413" s="2908">
        <f t="shared" si="112"/>
        <v>0</v>
      </c>
      <c r="V413" s="2908">
        <f t="shared" si="113"/>
        <v>0</v>
      </c>
      <c r="W413" s="955"/>
      <c r="X413" s="2908">
        <f t="shared" si="114"/>
        <v>0</v>
      </c>
      <c r="Y413" s="2908">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7">
        <f t="shared" si="116"/>
        <v>0</v>
      </c>
      <c r="S414" s="250">
        <f t="shared" si="117"/>
        <v>0</v>
      </c>
      <c r="T414" s="858">
        <f t="shared" si="118"/>
        <v>0</v>
      </c>
      <c r="U414" s="2908">
        <f t="shared" si="112"/>
        <v>0</v>
      </c>
      <c r="V414" s="2908">
        <f t="shared" si="113"/>
        <v>0</v>
      </c>
      <c r="W414" s="955"/>
      <c r="X414" s="2908">
        <f t="shared" si="114"/>
        <v>0</v>
      </c>
      <c r="Y414" s="2908">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7">
        <f t="shared" si="116"/>
        <v>0</v>
      </c>
      <c r="S415" s="250">
        <f t="shared" si="117"/>
        <v>0</v>
      </c>
      <c r="T415" s="858">
        <f t="shared" si="118"/>
        <v>0</v>
      </c>
      <c r="U415" s="2908">
        <f t="shared" si="112"/>
        <v>0</v>
      </c>
      <c r="V415" s="2908">
        <f t="shared" si="113"/>
        <v>0</v>
      </c>
      <c r="W415" s="955"/>
      <c r="X415" s="2908">
        <f t="shared" si="114"/>
        <v>0</v>
      </c>
      <c r="Y415" s="2908">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7">
        <f t="shared" si="116"/>
        <v>0</v>
      </c>
      <c r="S416" s="250">
        <f t="shared" si="117"/>
        <v>0</v>
      </c>
      <c r="T416" s="858">
        <f t="shared" si="118"/>
        <v>0</v>
      </c>
      <c r="U416" s="2908">
        <f t="shared" si="112"/>
        <v>0</v>
      </c>
      <c r="V416" s="2908">
        <f t="shared" si="113"/>
        <v>0</v>
      </c>
      <c r="W416" s="955"/>
      <c r="X416" s="2908">
        <f t="shared" si="114"/>
        <v>0</v>
      </c>
      <c r="Y416" s="2908">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7">
        <f t="shared" si="116"/>
        <v>0</v>
      </c>
      <c r="S417" s="250">
        <f t="shared" si="117"/>
        <v>0</v>
      </c>
      <c r="T417" s="858">
        <f t="shared" si="118"/>
        <v>0</v>
      </c>
      <c r="U417" s="2908">
        <f t="shared" si="112"/>
        <v>0</v>
      </c>
      <c r="V417" s="2908">
        <f t="shared" si="113"/>
        <v>0</v>
      </c>
      <c r="W417" s="955"/>
      <c r="X417" s="2908">
        <f t="shared" si="114"/>
        <v>0</v>
      </c>
      <c r="Y417" s="2908">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7">
        <f t="shared" si="116"/>
        <v>0</v>
      </c>
      <c r="S418" s="250">
        <f t="shared" si="117"/>
        <v>0</v>
      </c>
      <c r="T418" s="858">
        <f t="shared" si="118"/>
        <v>0</v>
      </c>
      <c r="U418" s="2908">
        <f t="shared" si="112"/>
        <v>0</v>
      </c>
      <c r="V418" s="2908">
        <f t="shared" si="113"/>
        <v>0</v>
      </c>
      <c r="W418" s="955"/>
      <c r="X418" s="2908">
        <f t="shared" si="114"/>
        <v>0</v>
      </c>
      <c r="Y418" s="2908">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7">
        <f t="shared" si="116"/>
        <v>0</v>
      </c>
      <c r="S419" s="250">
        <f t="shared" si="117"/>
        <v>0</v>
      </c>
      <c r="T419" s="858">
        <f t="shared" si="118"/>
        <v>0</v>
      </c>
      <c r="U419" s="2908">
        <f t="shared" si="112"/>
        <v>0</v>
      </c>
      <c r="V419" s="2908">
        <f t="shared" si="113"/>
        <v>0</v>
      </c>
      <c r="W419" s="955"/>
      <c r="X419" s="2908">
        <f t="shared" si="114"/>
        <v>0</v>
      </c>
      <c r="Y419" s="2908">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7">
        <f t="shared" si="116"/>
        <v>0</v>
      </c>
      <c r="S420" s="250">
        <f t="shared" si="117"/>
        <v>0</v>
      </c>
      <c r="T420" s="858">
        <f t="shared" si="118"/>
        <v>0</v>
      </c>
      <c r="U420" s="2908">
        <f t="shared" si="112"/>
        <v>0</v>
      </c>
      <c r="V420" s="2908">
        <f t="shared" si="113"/>
        <v>0</v>
      </c>
      <c r="W420" s="955"/>
      <c r="X420" s="2908">
        <f t="shared" si="114"/>
        <v>0</v>
      </c>
      <c r="Y420" s="2908">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7">
        <f t="shared" si="116"/>
        <v>0</v>
      </c>
      <c r="S421" s="250">
        <f t="shared" si="117"/>
        <v>0</v>
      </c>
      <c r="T421" s="858">
        <f t="shared" si="118"/>
        <v>0</v>
      </c>
      <c r="U421" s="2908">
        <f t="shared" si="112"/>
        <v>0</v>
      </c>
      <c r="V421" s="2908">
        <f t="shared" si="113"/>
        <v>0</v>
      </c>
      <c r="W421" s="955"/>
      <c r="X421" s="2908">
        <f t="shared" si="114"/>
        <v>0</v>
      </c>
      <c r="Y421" s="2908">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7">
        <f t="shared" si="116"/>
        <v>0</v>
      </c>
      <c r="S422" s="250">
        <f t="shared" si="117"/>
        <v>0</v>
      </c>
      <c r="T422" s="858">
        <f t="shared" si="118"/>
        <v>0</v>
      </c>
      <c r="U422" s="2908">
        <f t="shared" si="112"/>
        <v>0</v>
      </c>
      <c r="V422" s="2908">
        <f t="shared" si="113"/>
        <v>0</v>
      </c>
      <c r="W422" s="955"/>
      <c r="X422" s="2908">
        <f t="shared" si="114"/>
        <v>0</v>
      </c>
      <c r="Y422" s="2908">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7">
        <f t="shared" si="116"/>
        <v>0</v>
      </c>
      <c r="S423" s="250">
        <f t="shared" si="117"/>
        <v>0</v>
      </c>
      <c r="T423" s="858">
        <f t="shared" si="118"/>
        <v>0</v>
      </c>
      <c r="U423" s="2908">
        <f t="shared" si="112"/>
        <v>0</v>
      </c>
      <c r="V423" s="2908">
        <f t="shared" si="113"/>
        <v>0</v>
      </c>
      <c r="W423" s="955"/>
      <c r="X423" s="2908">
        <f t="shared" si="114"/>
        <v>0</v>
      </c>
      <c r="Y423" s="2908">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7">
        <f t="shared" si="116"/>
        <v>0</v>
      </c>
      <c r="S424" s="250">
        <f t="shared" si="117"/>
        <v>0</v>
      </c>
      <c r="T424" s="858">
        <f t="shared" si="118"/>
        <v>0</v>
      </c>
      <c r="U424" s="2908">
        <f t="shared" si="112"/>
        <v>0</v>
      </c>
      <c r="V424" s="2908">
        <f t="shared" si="113"/>
        <v>0</v>
      </c>
      <c r="W424" s="955"/>
      <c r="X424" s="2908">
        <f t="shared" si="114"/>
        <v>0</v>
      </c>
      <c r="Y424" s="2908">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7">
        <f t="shared" si="116"/>
        <v>0</v>
      </c>
      <c r="S425" s="250">
        <f t="shared" si="117"/>
        <v>0</v>
      </c>
      <c r="T425" s="858">
        <f t="shared" si="118"/>
        <v>0</v>
      </c>
      <c r="U425" s="2908">
        <f t="shared" si="112"/>
        <v>0</v>
      </c>
      <c r="V425" s="2908">
        <f t="shared" si="113"/>
        <v>0</v>
      </c>
      <c r="W425" s="955"/>
      <c r="X425" s="2908">
        <f t="shared" si="114"/>
        <v>0</v>
      </c>
      <c r="Y425" s="2908">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7">
        <f t="shared" si="116"/>
        <v>0</v>
      </c>
      <c r="S426" s="250">
        <f t="shared" si="117"/>
        <v>0</v>
      </c>
      <c r="T426" s="858">
        <f t="shared" si="118"/>
        <v>0</v>
      </c>
      <c r="U426" s="2908">
        <f t="shared" si="112"/>
        <v>0</v>
      </c>
      <c r="V426" s="2908">
        <f t="shared" si="113"/>
        <v>0</v>
      </c>
      <c r="W426" s="955"/>
      <c r="X426" s="2908">
        <f t="shared" si="114"/>
        <v>0</v>
      </c>
      <c r="Y426" s="2908">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7">
        <f t="shared" si="116"/>
        <v>0</v>
      </c>
      <c r="S427" s="250">
        <f t="shared" si="117"/>
        <v>0</v>
      </c>
      <c r="T427" s="858">
        <f t="shared" si="118"/>
        <v>0</v>
      </c>
      <c r="U427" s="2908">
        <f t="shared" si="112"/>
        <v>0</v>
      </c>
      <c r="V427" s="2908">
        <f t="shared" si="113"/>
        <v>0</v>
      </c>
      <c r="W427" s="955"/>
      <c r="X427" s="2908">
        <f t="shared" si="114"/>
        <v>0</v>
      </c>
      <c r="Y427" s="2908">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7">
        <f t="shared" si="116"/>
        <v>0</v>
      </c>
      <c r="S428" s="250">
        <f t="shared" si="117"/>
        <v>0</v>
      </c>
      <c r="T428" s="858">
        <f t="shared" si="118"/>
        <v>0</v>
      </c>
      <c r="U428" s="2908">
        <f t="shared" si="112"/>
        <v>0</v>
      </c>
      <c r="V428" s="2908">
        <f t="shared" si="113"/>
        <v>0</v>
      </c>
      <c r="W428" s="955"/>
      <c r="X428" s="2908">
        <f t="shared" si="114"/>
        <v>0</v>
      </c>
      <c r="Y428" s="2908">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7">
        <f t="shared" si="116"/>
        <v>0</v>
      </c>
      <c r="S429" s="250">
        <f t="shared" si="117"/>
        <v>0</v>
      </c>
      <c r="T429" s="858">
        <f t="shared" si="118"/>
        <v>0</v>
      </c>
      <c r="U429" s="2908">
        <f t="shared" si="112"/>
        <v>0</v>
      </c>
      <c r="V429" s="2908">
        <f t="shared" si="113"/>
        <v>0</v>
      </c>
      <c r="W429" s="955"/>
      <c r="X429" s="2908">
        <f t="shared" si="114"/>
        <v>0</v>
      </c>
      <c r="Y429" s="2908">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7">
        <f t="shared" si="116"/>
        <v>0</v>
      </c>
      <c r="S430" s="250">
        <f t="shared" si="117"/>
        <v>0</v>
      </c>
      <c r="T430" s="858">
        <f t="shared" si="118"/>
        <v>0</v>
      </c>
      <c r="U430" s="2908">
        <f t="shared" si="112"/>
        <v>0</v>
      </c>
      <c r="V430" s="2908">
        <f t="shared" si="113"/>
        <v>0</v>
      </c>
      <c r="W430" s="955"/>
      <c r="X430" s="2908">
        <f t="shared" si="114"/>
        <v>0</v>
      </c>
      <c r="Y430" s="2908">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7">
        <f t="shared" si="116"/>
        <v>0</v>
      </c>
      <c r="S431" s="250">
        <f t="shared" si="117"/>
        <v>0</v>
      </c>
      <c r="T431" s="858">
        <f t="shared" si="118"/>
        <v>0</v>
      </c>
      <c r="U431" s="2908">
        <f t="shared" si="112"/>
        <v>0</v>
      </c>
      <c r="V431" s="2908">
        <f t="shared" si="113"/>
        <v>0</v>
      </c>
      <c r="W431" s="955"/>
      <c r="X431" s="2908">
        <f t="shared" si="114"/>
        <v>0</v>
      </c>
      <c r="Y431" s="2908">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7">
        <f t="shared" si="116"/>
        <v>0</v>
      </c>
      <c r="S432" s="250">
        <f t="shared" si="117"/>
        <v>0</v>
      </c>
      <c r="T432" s="858">
        <f t="shared" si="118"/>
        <v>0</v>
      </c>
      <c r="U432" s="2908">
        <f t="shared" si="112"/>
        <v>0</v>
      </c>
      <c r="V432" s="2908">
        <f t="shared" si="113"/>
        <v>0</v>
      </c>
      <c r="W432" s="955"/>
      <c r="X432" s="2908">
        <f t="shared" si="114"/>
        <v>0</v>
      </c>
      <c r="Y432" s="2908">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7">
        <f t="shared" si="116"/>
        <v>0</v>
      </c>
      <c r="S433" s="250">
        <f t="shared" si="117"/>
        <v>0</v>
      </c>
      <c r="T433" s="858">
        <f t="shared" si="118"/>
        <v>0</v>
      </c>
      <c r="U433" s="2908">
        <f t="shared" si="112"/>
        <v>0</v>
      </c>
      <c r="V433" s="2908">
        <f t="shared" si="113"/>
        <v>0</v>
      </c>
      <c r="W433" s="955"/>
      <c r="X433" s="2908">
        <f t="shared" si="114"/>
        <v>0</v>
      </c>
      <c r="Y433" s="2908">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7">
        <f t="shared" si="116"/>
        <v>0</v>
      </c>
      <c r="S434" s="250">
        <f t="shared" si="117"/>
        <v>0</v>
      </c>
      <c r="T434" s="858">
        <f t="shared" si="118"/>
        <v>0</v>
      </c>
      <c r="U434" s="2908">
        <f t="shared" si="112"/>
        <v>0</v>
      </c>
      <c r="V434" s="2908">
        <f t="shared" si="113"/>
        <v>0</v>
      </c>
      <c r="W434" s="955"/>
      <c r="X434" s="2908">
        <f t="shared" si="114"/>
        <v>0</v>
      </c>
      <c r="Y434" s="2908">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7">
        <f t="shared" si="116"/>
        <v>0</v>
      </c>
      <c r="S435" s="250">
        <f t="shared" si="117"/>
        <v>0</v>
      </c>
      <c r="T435" s="858">
        <f t="shared" si="118"/>
        <v>0</v>
      </c>
      <c r="U435" s="2908">
        <f t="shared" si="112"/>
        <v>0</v>
      </c>
      <c r="V435" s="2908">
        <f t="shared" si="113"/>
        <v>0</v>
      </c>
      <c r="W435" s="955"/>
      <c r="X435" s="2908">
        <f t="shared" si="114"/>
        <v>0</v>
      </c>
      <c r="Y435" s="2908">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7">
        <f t="shared" si="116"/>
        <v>0</v>
      </c>
      <c r="S436" s="250">
        <f t="shared" si="117"/>
        <v>0</v>
      </c>
      <c r="T436" s="858">
        <f t="shared" si="118"/>
        <v>0</v>
      </c>
      <c r="U436" s="2908">
        <f t="shared" si="112"/>
        <v>0</v>
      </c>
      <c r="V436" s="2908">
        <f t="shared" si="113"/>
        <v>0</v>
      </c>
      <c r="W436" s="955"/>
      <c r="X436" s="2908">
        <f t="shared" si="114"/>
        <v>0</v>
      </c>
      <c r="Y436" s="2908">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7">
        <f t="shared" si="116"/>
        <v>0</v>
      </c>
      <c r="S437" s="250">
        <f t="shared" si="117"/>
        <v>0</v>
      </c>
      <c r="T437" s="858">
        <f t="shared" si="118"/>
        <v>0</v>
      </c>
      <c r="U437" s="2908">
        <f t="shared" si="112"/>
        <v>0</v>
      </c>
      <c r="V437" s="2908">
        <f t="shared" si="113"/>
        <v>0</v>
      </c>
      <c r="W437" s="955"/>
      <c r="X437" s="2908">
        <f t="shared" si="114"/>
        <v>0</v>
      </c>
      <c r="Y437" s="2908">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7">
        <f t="shared" si="116"/>
        <v>0</v>
      </c>
      <c r="S438" s="250">
        <f t="shared" si="117"/>
        <v>0</v>
      </c>
      <c r="T438" s="858">
        <f t="shared" si="118"/>
        <v>0</v>
      </c>
      <c r="U438" s="2908">
        <f t="shared" si="112"/>
        <v>0</v>
      </c>
      <c r="V438" s="2908">
        <f t="shared" si="113"/>
        <v>0</v>
      </c>
      <c r="W438" s="955"/>
      <c r="X438" s="2908">
        <f t="shared" si="114"/>
        <v>0</v>
      </c>
      <c r="Y438" s="2908">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7">
        <f t="shared" si="116"/>
        <v>0</v>
      </c>
      <c r="S439" s="250">
        <f t="shared" si="117"/>
        <v>0</v>
      </c>
      <c r="T439" s="858">
        <f t="shared" si="118"/>
        <v>0</v>
      </c>
      <c r="U439" s="2908">
        <f t="shared" si="112"/>
        <v>0</v>
      </c>
      <c r="V439" s="2908">
        <f t="shared" si="113"/>
        <v>0</v>
      </c>
      <c r="W439" s="955"/>
      <c r="X439" s="2908">
        <f t="shared" si="114"/>
        <v>0</v>
      </c>
      <c r="Y439" s="2908">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7">
        <f t="shared" si="116"/>
        <v>0</v>
      </c>
      <c r="S440" s="250">
        <f t="shared" si="117"/>
        <v>0</v>
      </c>
      <c r="T440" s="858">
        <f t="shared" si="118"/>
        <v>0</v>
      </c>
      <c r="U440" s="2908">
        <f t="shared" si="112"/>
        <v>0</v>
      </c>
      <c r="V440" s="2908">
        <f t="shared" si="113"/>
        <v>0</v>
      </c>
      <c r="W440" s="955"/>
      <c r="X440" s="2908">
        <f t="shared" si="114"/>
        <v>0</v>
      </c>
      <c r="Y440" s="2908">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7">
        <f t="shared" si="116"/>
        <v>0</v>
      </c>
      <c r="S441" s="250">
        <f t="shared" si="117"/>
        <v>0</v>
      </c>
      <c r="T441" s="858">
        <f t="shared" si="118"/>
        <v>0</v>
      </c>
      <c r="U441" s="2908">
        <f t="shared" si="112"/>
        <v>0</v>
      </c>
      <c r="V441" s="2908">
        <f t="shared" si="113"/>
        <v>0</v>
      </c>
      <c r="W441" s="955"/>
      <c r="X441" s="2908">
        <f t="shared" si="114"/>
        <v>0</v>
      </c>
      <c r="Y441" s="2908">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7">
        <f t="shared" si="116"/>
        <v>0</v>
      </c>
      <c r="S442" s="250">
        <f t="shared" si="117"/>
        <v>0</v>
      </c>
      <c r="T442" s="858">
        <f t="shared" si="118"/>
        <v>0</v>
      </c>
      <c r="U442" s="2908">
        <f t="shared" si="112"/>
        <v>0</v>
      </c>
      <c r="V442" s="2908">
        <f t="shared" si="113"/>
        <v>0</v>
      </c>
      <c r="W442" s="955"/>
      <c r="X442" s="2908">
        <f t="shared" si="114"/>
        <v>0</v>
      </c>
      <c r="Y442" s="2908">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7">
        <f t="shared" si="116"/>
        <v>0</v>
      </c>
      <c r="S443" s="250">
        <f t="shared" si="117"/>
        <v>0</v>
      </c>
      <c r="T443" s="858">
        <f t="shared" si="118"/>
        <v>0</v>
      </c>
      <c r="U443" s="2908">
        <f t="shared" si="112"/>
        <v>0</v>
      </c>
      <c r="V443" s="2908">
        <f t="shared" si="113"/>
        <v>0</v>
      </c>
      <c r="W443" s="955"/>
      <c r="X443" s="2908">
        <f t="shared" si="114"/>
        <v>0</v>
      </c>
      <c r="Y443" s="2908">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7">
        <f t="shared" si="116"/>
        <v>0</v>
      </c>
      <c r="S444" s="250">
        <f t="shared" si="117"/>
        <v>0</v>
      </c>
      <c r="T444" s="858">
        <f t="shared" si="118"/>
        <v>0</v>
      </c>
      <c r="U444" s="2908">
        <f t="shared" si="112"/>
        <v>0</v>
      </c>
      <c r="V444" s="2908">
        <f t="shared" si="113"/>
        <v>0</v>
      </c>
      <c r="W444" s="955"/>
      <c r="X444" s="2908">
        <f t="shared" si="114"/>
        <v>0</v>
      </c>
      <c r="Y444" s="2908">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7">
        <f t="shared" si="116"/>
        <v>0</v>
      </c>
      <c r="S445" s="250">
        <f t="shared" si="117"/>
        <v>0</v>
      </c>
      <c r="T445" s="858">
        <f t="shared" si="118"/>
        <v>0</v>
      </c>
      <c r="U445" s="2908">
        <f t="shared" si="112"/>
        <v>0</v>
      </c>
      <c r="V445" s="2908">
        <f t="shared" si="113"/>
        <v>0</v>
      </c>
      <c r="W445" s="955"/>
      <c r="X445" s="2908">
        <f t="shared" si="114"/>
        <v>0</v>
      </c>
      <c r="Y445" s="2908">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7">
        <f t="shared" si="116"/>
        <v>0</v>
      </c>
      <c r="S446" s="250">
        <f t="shared" si="117"/>
        <v>0</v>
      </c>
      <c r="T446" s="858">
        <f t="shared" si="118"/>
        <v>0</v>
      </c>
      <c r="U446" s="2908">
        <f t="shared" si="112"/>
        <v>0</v>
      </c>
      <c r="V446" s="2908">
        <f t="shared" si="113"/>
        <v>0</v>
      </c>
      <c r="W446" s="955"/>
      <c r="X446" s="2908">
        <f t="shared" si="114"/>
        <v>0</v>
      </c>
      <c r="Y446" s="2908">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7">
        <f t="shared" si="116"/>
        <v>0</v>
      </c>
      <c r="S447" s="250">
        <f t="shared" si="117"/>
        <v>0</v>
      </c>
      <c r="T447" s="858">
        <f t="shared" si="118"/>
        <v>0</v>
      </c>
      <c r="U447" s="2908">
        <f t="shared" si="112"/>
        <v>0</v>
      </c>
      <c r="V447" s="2908">
        <f t="shared" si="113"/>
        <v>0</v>
      </c>
      <c r="W447" s="955"/>
      <c r="X447" s="2908">
        <f t="shared" si="114"/>
        <v>0</v>
      </c>
      <c r="Y447" s="2908">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7">
        <f t="shared" si="116"/>
        <v>0</v>
      </c>
      <c r="S448" s="250">
        <f t="shared" si="117"/>
        <v>0</v>
      </c>
      <c r="T448" s="858">
        <f t="shared" si="118"/>
        <v>0</v>
      </c>
      <c r="U448" s="2908">
        <f t="shared" si="112"/>
        <v>0</v>
      </c>
      <c r="V448" s="2908">
        <f t="shared" si="113"/>
        <v>0</v>
      </c>
      <c r="W448" s="955"/>
      <c r="X448" s="2908">
        <f t="shared" si="114"/>
        <v>0</v>
      </c>
      <c r="Y448" s="2908">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7">
        <f t="shared" si="116"/>
        <v>0</v>
      </c>
      <c r="S449" s="250">
        <f t="shared" si="117"/>
        <v>0</v>
      </c>
      <c r="T449" s="858">
        <f t="shared" si="118"/>
        <v>0</v>
      </c>
      <c r="U449" s="2908">
        <f t="shared" si="112"/>
        <v>0</v>
      </c>
      <c r="V449" s="2908">
        <f t="shared" si="113"/>
        <v>0</v>
      </c>
      <c r="W449" s="955"/>
      <c r="X449" s="2908">
        <f t="shared" si="114"/>
        <v>0</v>
      </c>
      <c r="Y449" s="2908">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7">
        <f t="shared" si="116"/>
        <v>0</v>
      </c>
      <c r="S450" s="250">
        <f t="shared" si="117"/>
        <v>0</v>
      </c>
      <c r="T450" s="858">
        <f t="shared" si="118"/>
        <v>0</v>
      </c>
      <c r="U450" s="2908">
        <f t="shared" si="112"/>
        <v>0</v>
      </c>
      <c r="V450" s="2908">
        <f t="shared" si="113"/>
        <v>0</v>
      </c>
      <c r="W450" s="955"/>
      <c r="X450" s="2908">
        <f t="shared" si="114"/>
        <v>0</v>
      </c>
      <c r="Y450" s="2908">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7">
        <f t="shared" si="116"/>
        <v>0</v>
      </c>
      <c r="S451" s="250">
        <f t="shared" si="117"/>
        <v>0</v>
      </c>
      <c r="T451" s="858">
        <f t="shared" si="118"/>
        <v>0</v>
      </c>
      <c r="U451" s="2908">
        <f t="shared" si="112"/>
        <v>0</v>
      </c>
      <c r="V451" s="2908">
        <f t="shared" si="113"/>
        <v>0</v>
      </c>
      <c r="W451" s="955"/>
      <c r="X451" s="2908">
        <f t="shared" si="114"/>
        <v>0</v>
      </c>
      <c r="Y451" s="2908">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7">
        <f t="shared" si="116"/>
        <v>0</v>
      </c>
      <c r="S452" s="250">
        <f t="shared" si="117"/>
        <v>0</v>
      </c>
      <c r="T452" s="858">
        <f t="shared" si="118"/>
        <v>0</v>
      </c>
      <c r="U452" s="2908">
        <f t="shared" si="112"/>
        <v>0</v>
      </c>
      <c r="V452" s="2908">
        <f t="shared" si="113"/>
        <v>0</v>
      </c>
      <c r="W452" s="955"/>
      <c r="X452" s="2908">
        <f t="shared" si="114"/>
        <v>0</v>
      </c>
      <c r="Y452" s="2908">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7">
        <f t="shared" si="116"/>
        <v>0</v>
      </c>
      <c r="S453" s="250">
        <f t="shared" si="117"/>
        <v>0</v>
      </c>
      <c r="T453" s="858">
        <f t="shared" si="118"/>
        <v>0</v>
      </c>
      <c r="U453" s="2908">
        <f t="shared" si="112"/>
        <v>0</v>
      </c>
      <c r="V453" s="2908">
        <f t="shared" si="113"/>
        <v>0</v>
      </c>
      <c r="W453" s="955"/>
      <c r="X453" s="2908">
        <f t="shared" si="114"/>
        <v>0</v>
      </c>
      <c r="Y453" s="2908">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7">
        <f t="shared" si="116"/>
        <v>0</v>
      </c>
      <c r="S454" s="250">
        <f t="shared" si="117"/>
        <v>0</v>
      </c>
      <c r="T454" s="858">
        <f t="shared" si="118"/>
        <v>0</v>
      </c>
      <c r="U454" s="2908">
        <f t="shared" si="112"/>
        <v>0</v>
      </c>
      <c r="V454" s="2908">
        <f t="shared" si="113"/>
        <v>0</v>
      </c>
      <c r="W454" s="955"/>
      <c r="X454" s="2908">
        <f t="shared" si="114"/>
        <v>0</v>
      </c>
      <c r="Y454" s="2908">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7">
        <f t="shared" si="116"/>
        <v>0</v>
      </c>
      <c r="S455" s="250">
        <f t="shared" si="117"/>
        <v>0</v>
      </c>
      <c r="T455" s="858">
        <f t="shared" si="118"/>
        <v>0</v>
      </c>
      <c r="U455" s="2908">
        <f t="shared" si="112"/>
        <v>0</v>
      </c>
      <c r="V455" s="2908">
        <f t="shared" si="113"/>
        <v>0</v>
      </c>
      <c r="W455" s="955"/>
      <c r="X455" s="2908">
        <f t="shared" si="114"/>
        <v>0</v>
      </c>
      <c r="Y455" s="2908">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7">
        <f t="shared" si="116"/>
        <v>0</v>
      </c>
      <c r="S456" s="250">
        <f t="shared" si="117"/>
        <v>0</v>
      </c>
      <c r="T456" s="858">
        <f t="shared" si="118"/>
        <v>0</v>
      </c>
      <c r="U456" s="2908">
        <f t="shared" si="112"/>
        <v>0</v>
      </c>
      <c r="V456" s="2908">
        <f t="shared" si="113"/>
        <v>0</v>
      </c>
      <c r="W456" s="955"/>
      <c r="X456" s="2908">
        <f t="shared" si="114"/>
        <v>0</v>
      </c>
      <c r="Y456" s="2908">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7">
        <f t="shared" si="116"/>
        <v>0</v>
      </c>
      <c r="S457" s="250">
        <f t="shared" si="117"/>
        <v>0</v>
      </c>
      <c r="T457" s="858">
        <f t="shared" si="118"/>
        <v>0</v>
      </c>
      <c r="U457" s="2908">
        <f t="shared" si="112"/>
        <v>0</v>
      </c>
      <c r="V457" s="2908">
        <f t="shared" si="113"/>
        <v>0</v>
      </c>
      <c r="W457" s="955"/>
      <c r="X457" s="2908">
        <f t="shared" si="114"/>
        <v>0</v>
      </c>
      <c r="Y457" s="2908">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7">
        <f t="shared" si="116"/>
        <v>0</v>
      </c>
      <c r="S458" s="250">
        <f t="shared" si="117"/>
        <v>0</v>
      </c>
      <c r="T458" s="858">
        <f t="shared" si="118"/>
        <v>0</v>
      </c>
      <c r="U458" s="2908">
        <f t="shared" si="112"/>
        <v>0</v>
      </c>
      <c r="V458" s="2908">
        <f t="shared" si="113"/>
        <v>0</v>
      </c>
      <c r="W458" s="955"/>
      <c r="X458" s="2908">
        <f t="shared" si="114"/>
        <v>0</v>
      </c>
      <c r="Y458" s="2908">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7">
        <f t="shared" si="116"/>
        <v>0</v>
      </c>
      <c r="S459" s="250">
        <f t="shared" si="117"/>
        <v>0</v>
      </c>
      <c r="T459" s="858">
        <f t="shared" si="118"/>
        <v>0</v>
      </c>
      <c r="U459" s="2908">
        <f t="shared" si="112"/>
        <v>0</v>
      </c>
      <c r="V459" s="2908">
        <f t="shared" si="113"/>
        <v>0</v>
      </c>
      <c r="W459" s="955"/>
      <c r="X459" s="2908">
        <f t="shared" si="114"/>
        <v>0</v>
      </c>
      <c r="Y459" s="2908">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7">
        <f t="shared" si="116"/>
        <v>0</v>
      </c>
      <c r="S460" s="250">
        <f t="shared" si="117"/>
        <v>0</v>
      </c>
      <c r="T460" s="858">
        <f t="shared" si="118"/>
        <v>0</v>
      </c>
      <c r="U460" s="2908">
        <f t="shared" si="112"/>
        <v>0</v>
      </c>
      <c r="V460" s="2908">
        <f t="shared" si="113"/>
        <v>0</v>
      </c>
      <c r="W460" s="955"/>
      <c r="X460" s="2908">
        <f t="shared" si="114"/>
        <v>0</v>
      </c>
      <c r="Y460" s="2908">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7">
        <f t="shared" si="116"/>
        <v>0</v>
      </c>
      <c r="S461" s="250">
        <f t="shared" si="117"/>
        <v>0</v>
      </c>
      <c r="T461" s="858">
        <f t="shared" si="118"/>
        <v>0</v>
      </c>
      <c r="U461" s="2908">
        <f t="shared" si="112"/>
        <v>0</v>
      </c>
      <c r="V461" s="2908">
        <f t="shared" si="113"/>
        <v>0</v>
      </c>
      <c r="W461" s="955"/>
      <c r="X461" s="2908">
        <f t="shared" si="114"/>
        <v>0</v>
      </c>
      <c r="Y461" s="2908">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7">
        <f t="shared" si="116"/>
        <v>0</v>
      </c>
      <c r="S462" s="250">
        <f t="shared" si="117"/>
        <v>0</v>
      </c>
      <c r="T462" s="858">
        <f t="shared" si="118"/>
        <v>0</v>
      </c>
      <c r="U462" s="2908">
        <f t="shared" si="112"/>
        <v>0</v>
      </c>
      <c r="V462" s="2908">
        <f t="shared" si="113"/>
        <v>0</v>
      </c>
      <c r="W462" s="955"/>
      <c r="X462" s="2908">
        <f t="shared" si="114"/>
        <v>0</v>
      </c>
      <c r="Y462" s="2908">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7">
        <f t="shared" si="116"/>
        <v>0</v>
      </c>
      <c r="S463" s="250">
        <f t="shared" si="117"/>
        <v>0</v>
      </c>
      <c r="T463" s="858">
        <f t="shared" si="118"/>
        <v>0</v>
      </c>
      <c r="U463" s="2908">
        <f t="shared" si="112"/>
        <v>0</v>
      </c>
      <c r="V463" s="2908">
        <f t="shared" si="113"/>
        <v>0</v>
      </c>
      <c r="W463" s="955"/>
      <c r="X463" s="2908">
        <f t="shared" si="114"/>
        <v>0</v>
      </c>
      <c r="Y463" s="2908">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7">
        <f t="shared" si="116"/>
        <v>0</v>
      </c>
      <c r="S464" s="250">
        <f t="shared" si="117"/>
        <v>0</v>
      </c>
      <c r="T464" s="858">
        <f t="shared" si="118"/>
        <v>0</v>
      </c>
      <c r="U464" s="2908">
        <f t="shared" si="112"/>
        <v>0</v>
      </c>
      <c r="V464" s="2908">
        <f t="shared" si="113"/>
        <v>0</v>
      </c>
      <c r="W464" s="955"/>
      <c r="X464" s="2908">
        <f t="shared" si="114"/>
        <v>0</v>
      </c>
      <c r="Y464" s="2908">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7">
        <f t="shared" si="116"/>
        <v>0</v>
      </c>
      <c r="S465" s="250">
        <f t="shared" si="117"/>
        <v>0</v>
      </c>
      <c r="T465" s="858">
        <f t="shared" si="118"/>
        <v>0</v>
      </c>
      <c r="U465" s="2908">
        <f t="shared" si="112"/>
        <v>0</v>
      </c>
      <c r="V465" s="2908">
        <f t="shared" si="113"/>
        <v>0</v>
      </c>
      <c r="W465" s="955"/>
      <c r="X465" s="2908">
        <f t="shared" si="114"/>
        <v>0</v>
      </c>
      <c r="Y465" s="2908">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7">
        <f t="shared" si="116"/>
        <v>0</v>
      </c>
      <c r="S466" s="250">
        <f t="shared" si="117"/>
        <v>0</v>
      </c>
      <c r="T466" s="858">
        <f t="shared" si="118"/>
        <v>0</v>
      </c>
      <c r="U466" s="2908">
        <f t="shared" si="112"/>
        <v>0</v>
      </c>
      <c r="V466" s="2908">
        <f t="shared" si="113"/>
        <v>0</v>
      </c>
      <c r="W466" s="955"/>
      <c r="X466" s="2908">
        <f t="shared" si="114"/>
        <v>0</v>
      </c>
      <c r="Y466" s="2908">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7">
        <f t="shared" si="116"/>
        <v>0</v>
      </c>
      <c r="S467" s="250">
        <f t="shared" si="117"/>
        <v>0</v>
      </c>
      <c r="T467" s="858">
        <f t="shared" si="118"/>
        <v>0</v>
      </c>
      <c r="U467" s="2908">
        <f t="shared" si="112"/>
        <v>0</v>
      </c>
      <c r="V467" s="2908">
        <f t="shared" si="113"/>
        <v>0</v>
      </c>
      <c r="W467" s="955"/>
      <c r="X467" s="2908">
        <f t="shared" si="114"/>
        <v>0</v>
      </c>
      <c r="Y467" s="2908">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7">
        <f t="shared" si="116"/>
        <v>0</v>
      </c>
      <c r="S468" s="250">
        <f t="shared" si="117"/>
        <v>0</v>
      </c>
      <c r="T468" s="858">
        <f t="shared" si="118"/>
        <v>0</v>
      </c>
      <c r="U468" s="2908">
        <f t="shared" si="112"/>
        <v>0</v>
      </c>
      <c r="V468" s="2908">
        <f t="shared" si="113"/>
        <v>0</v>
      </c>
      <c r="W468" s="955"/>
      <c r="X468" s="2908">
        <f t="shared" si="114"/>
        <v>0</v>
      </c>
      <c r="Y468" s="2908">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7">
        <f t="shared" si="116"/>
        <v>0</v>
      </c>
      <c r="S469" s="250">
        <f t="shared" si="117"/>
        <v>0</v>
      </c>
      <c r="T469" s="858">
        <f t="shared" si="118"/>
        <v>0</v>
      </c>
      <c r="U469" s="2908">
        <f t="shared" si="112"/>
        <v>0</v>
      </c>
      <c r="V469" s="2908">
        <f t="shared" si="113"/>
        <v>0</v>
      </c>
      <c r="W469" s="955"/>
      <c r="X469" s="2908">
        <f t="shared" si="114"/>
        <v>0</v>
      </c>
      <c r="Y469" s="2908">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7">
        <f t="shared" si="116"/>
        <v>0</v>
      </c>
      <c r="S470" s="250">
        <f t="shared" si="117"/>
        <v>0</v>
      </c>
      <c r="T470" s="858">
        <f t="shared" si="118"/>
        <v>0</v>
      </c>
      <c r="U470" s="2908">
        <f t="shared" si="112"/>
        <v>0</v>
      </c>
      <c r="V470" s="2908">
        <f t="shared" si="113"/>
        <v>0</v>
      </c>
      <c r="W470" s="955"/>
      <c r="X470" s="2908">
        <f t="shared" si="114"/>
        <v>0</v>
      </c>
      <c r="Y470" s="2908">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7">
        <f t="shared" si="116"/>
        <v>0</v>
      </c>
      <c r="S471" s="250">
        <f t="shared" si="117"/>
        <v>0</v>
      </c>
      <c r="T471" s="858">
        <f t="shared" si="118"/>
        <v>0</v>
      </c>
      <c r="U471" s="2908">
        <f t="shared" si="112"/>
        <v>0</v>
      </c>
      <c r="V471" s="2908">
        <f t="shared" si="113"/>
        <v>0</v>
      </c>
      <c r="W471" s="955"/>
      <c r="X471" s="2908">
        <f t="shared" si="114"/>
        <v>0</v>
      </c>
      <c r="Y471" s="2908">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7">
        <f t="shared" si="116"/>
        <v>0</v>
      </c>
      <c r="S472" s="250">
        <f t="shared" si="117"/>
        <v>0</v>
      </c>
      <c r="T472" s="858">
        <f t="shared" si="118"/>
        <v>0</v>
      </c>
      <c r="U472" s="2908">
        <f t="shared" si="112"/>
        <v>0</v>
      </c>
      <c r="V472" s="2908">
        <f t="shared" si="113"/>
        <v>0</v>
      </c>
      <c r="W472" s="955"/>
      <c r="X472" s="2908">
        <f t="shared" si="114"/>
        <v>0</v>
      </c>
      <c r="Y472" s="2908">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7">
        <f t="shared" si="116"/>
        <v>0</v>
      </c>
      <c r="S473" s="250">
        <f t="shared" si="117"/>
        <v>0</v>
      </c>
      <c r="T473" s="858">
        <f t="shared" si="118"/>
        <v>0</v>
      </c>
      <c r="U473" s="2908">
        <f t="shared" si="112"/>
        <v>0</v>
      </c>
      <c r="V473" s="2908">
        <f t="shared" si="113"/>
        <v>0</v>
      </c>
      <c r="W473" s="955"/>
      <c r="X473" s="2908">
        <f t="shared" si="114"/>
        <v>0</v>
      </c>
      <c r="Y473" s="2908">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7">
        <f t="shared" si="116"/>
        <v>0</v>
      </c>
      <c r="S474" s="250">
        <f t="shared" si="117"/>
        <v>0</v>
      </c>
      <c r="T474" s="858">
        <f t="shared" si="118"/>
        <v>0</v>
      </c>
      <c r="U474" s="2908">
        <f t="shared" si="112"/>
        <v>0</v>
      </c>
      <c r="V474" s="2908">
        <f t="shared" si="113"/>
        <v>0</v>
      </c>
      <c r="W474" s="955"/>
      <c r="X474" s="2908">
        <f t="shared" si="114"/>
        <v>0</v>
      </c>
      <c r="Y474" s="2908">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7">
        <f t="shared" si="116"/>
        <v>0</v>
      </c>
      <c r="S475" s="250">
        <f t="shared" si="117"/>
        <v>0</v>
      </c>
      <c r="T475" s="858">
        <f t="shared" si="118"/>
        <v>0</v>
      </c>
      <c r="U475" s="2908">
        <f t="shared" si="112"/>
        <v>0</v>
      </c>
      <c r="V475" s="2908">
        <f t="shared" si="113"/>
        <v>0</v>
      </c>
      <c r="W475" s="955"/>
      <c r="X475" s="2908">
        <f t="shared" si="114"/>
        <v>0</v>
      </c>
      <c r="Y475" s="2908">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7">
        <f t="shared" si="116"/>
        <v>0</v>
      </c>
      <c r="S476" s="250">
        <f t="shared" si="117"/>
        <v>0</v>
      </c>
      <c r="T476" s="858">
        <f t="shared" si="118"/>
        <v>0</v>
      </c>
      <c r="U476" s="2908">
        <f t="shared" ref="U476:U527" si="127">ROUND(W476*B476,0)</f>
        <v>0</v>
      </c>
      <c r="V476" s="2908">
        <f t="shared" ref="V476:V527" si="128">ROUND(W476*B476/10000,0)</f>
        <v>0</v>
      </c>
      <c r="W476" s="955"/>
      <c r="X476" s="2908">
        <f t="shared" ref="X476:X527" si="129">ROUND(Z476*B476,0)</f>
        <v>0</v>
      </c>
      <c r="Y476" s="2908">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7">
        <f t="shared" ref="R477:R527" si="131">IF(B477="",0,ROUND($R$27*C477*E477*G477*I477*K477*M477*O477*Q477,0))</f>
        <v>0</v>
      </c>
      <c r="S477" s="250">
        <f t="shared" ref="S477:S527" si="132">ROUND(R477*B477,0)</f>
        <v>0</v>
      </c>
      <c r="T477" s="858">
        <f t="shared" ref="T477:T527" si="133">ROUND(R477*B477/10000,0)</f>
        <v>0</v>
      </c>
      <c r="U477" s="2908">
        <f t="shared" si="127"/>
        <v>0</v>
      </c>
      <c r="V477" s="2908">
        <f t="shared" si="128"/>
        <v>0</v>
      </c>
      <c r="W477" s="955"/>
      <c r="X477" s="2908">
        <f t="shared" si="129"/>
        <v>0</v>
      </c>
      <c r="Y477" s="2908">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7">
        <f t="shared" si="131"/>
        <v>0</v>
      </c>
      <c r="S478" s="250">
        <f t="shared" si="132"/>
        <v>0</v>
      </c>
      <c r="T478" s="858">
        <f t="shared" si="133"/>
        <v>0</v>
      </c>
      <c r="U478" s="2908">
        <f t="shared" si="127"/>
        <v>0</v>
      </c>
      <c r="V478" s="2908">
        <f t="shared" si="128"/>
        <v>0</v>
      </c>
      <c r="W478" s="955"/>
      <c r="X478" s="2908">
        <f t="shared" si="129"/>
        <v>0</v>
      </c>
      <c r="Y478" s="2908">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7">
        <f t="shared" si="131"/>
        <v>0</v>
      </c>
      <c r="S479" s="250">
        <f t="shared" si="132"/>
        <v>0</v>
      </c>
      <c r="T479" s="858">
        <f t="shared" si="133"/>
        <v>0</v>
      </c>
      <c r="U479" s="2908">
        <f t="shared" si="127"/>
        <v>0</v>
      </c>
      <c r="V479" s="2908">
        <f t="shared" si="128"/>
        <v>0</v>
      </c>
      <c r="W479" s="955"/>
      <c r="X479" s="2908">
        <f t="shared" si="129"/>
        <v>0</v>
      </c>
      <c r="Y479" s="2908">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7">
        <f t="shared" si="131"/>
        <v>0</v>
      </c>
      <c r="S480" s="250">
        <f t="shared" si="132"/>
        <v>0</v>
      </c>
      <c r="T480" s="858">
        <f t="shared" si="133"/>
        <v>0</v>
      </c>
      <c r="U480" s="2908">
        <f t="shared" si="127"/>
        <v>0</v>
      </c>
      <c r="V480" s="2908">
        <f t="shared" si="128"/>
        <v>0</v>
      </c>
      <c r="W480" s="955"/>
      <c r="X480" s="2908">
        <f t="shared" si="129"/>
        <v>0</v>
      </c>
      <c r="Y480" s="2908">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7">
        <f t="shared" si="131"/>
        <v>0</v>
      </c>
      <c r="S481" s="250">
        <f t="shared" si="132"/>
        <v>0</v>
      </c>
      <c r="T481" s="858">
        <f t="shared" si="133"/>
        <v>0</v>
      </c>
      <c r="U481" s="2908">
        <f t="shared" si="127"/>
        <v>0</v>
      </c>
      <c r="V481" s="2908">
        <f t="shared" si="128"/>
        <v>0</v>
      </c>
      <c r="W481" s="955"/>
      <c r="X481" s="2908">
        <f t="shared" si="129"/>
        <v>0</v>
      </c>
      <c r="Y481" s="2908">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7">
        <f t="shared" si="131"/>
        <v>0</v>
      </c>
      <c r="S482" s="250">
        <f t="shared" si="132"/>
        <v>0</v>
      </c>
      <c r="T482" s="858">
        <f t="shared" si="133"/>
        <v>0</v>
      </c>
      <c r="U482" s="2908">
        <f t="shared" si="127"/>
        <v>0</v>
      </c>
      <c r="V482" s="2908">
        <f t="shared" si="128"/>
        <v>0</v>
      </c>
      <c r="W482" s="955"/>
      <c r="X482" s="2908">
        <f t="shared" si="129"/>
        <v>0</v>
      </c>
      <c r="Y482" s="2908">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7">
        <f t="shared" si="131"/>
        <v>0</v>
      </c>
      <c r="S483" s="250">
        <f t="shared" si="132"/>
        <v>0</v>
      </c>
      <c r="T483" s="858">
        <f t="shared" si="133"/>
        <v>0</v>
      </c>
      <c r="U483" s="2908">
        <f t="shared" si="127"/>
        <v>0</v>
      </c>
      <c r="V483" s="2908">
        <f t="shared" si="128"/>
        <v>0</v>
      </c>
      <c r="W483" s="955"/>
      <c r="X483" s="2908">
        <f t="shared" si="129"/>
        <v>0</v>
      </c>
      <c r="Y483" s="2908">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7">
        <f t="shared" si="131"/>
        <v>0</v>
      </c>
      <c r="S484" s="250">
        <f t="shared" si="132"/>
        <v>0</v>
      </c>
      <c r="T484" s="858">
        <f t="shared" si="133"/>
        <v>0</v>
      </c>
      <c r="U484" s="2908">
        <f t="shared" si="127"/>
        <v>0</v>
      </c>
      <c r="V484" s="2908">
        <f t="shared" si="128"/>
        <v>0</v>
      </c>
      <c r="W484" s="955"/>
      <c r="X484" s="2908">
        <f t="shared" si="129"/>
        <v>0</v>
      </c>
      <c r="Y484" s="2908">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7">
        <f t="shared" si="131"/>
        <v>0</v>
      </c>
      <c r="S485" s="250">
        <f t="shared" si="132"/>
        <v>0</v>
      </c>
      <c r="T485" s="858">
        <f t="shared" si="133"/>
        <v>0</v>
      </c>
      <c r="U485" s="2908">
        <f t="shared" si="127"/>
        <v>0</v>
      </c>
      <c r="V485" s="2908">
        <f t="shared" si="128"/>
        <v>0</v>
      </c>
      <c r="W485" s="955"/>
      <c r="X485" s="2908">
        <f t="shared" si="129"/>
        <v>0</v>
      </c>
      <c r="Y485" s="2908">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7">
        <f t="shared" si="131"/>
        <v>0</v>
      </c>
      <c r="S486" s="250">
        <f t="shared" si="132"/>
        <v>0</v>
      </c>
      <c r="T486" s="858">
        <f t="shared" si="133"/>
        <v>0</v>
      </c>
      <c r="U486" s="2908">
        <f t="shared" si="127"/>
        <v>0</v>
      </c>
      <c r="V486" s="2908">
        <f t="shared" si="128"/>
        <v>0</v>
      </c>
      <c r="W486" s="955"/>
      <c r="X486" s="2908">
        <f t="shared" si="129"/>
        <v>0</v>
      </c>
      <c r="Y486" s="2908">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7">
        <f t="shared" si="131"/>
        <v>0</v>
      </c>
      <c r="S487" s="250">
        <f t="shared" si="132"/>
        <v>0</v>
      </c>
      <c r="T487" s="858">
        <f t="shared" si="133"/>
        <v>0</v>
      </c>
      <c r="U487" s="2908">
        <f t="shared" si="127"/>
        <v>0</v>
      </c>
      <c r="V487" s="2908">
        <f t="shared" si="128"/>
        <v>0</v>
      </c>
      <c r="W487" s="955"/>
      <c r="X487" s="2908">
        <f t="shared" si="129"/>
        <v>0</v>
      </c>
      <c r="Y487" s="2908">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7">
        <f t="shared" si="131"/>
        <v>0</v>
      </c>
      <c r="S488" s="250">
        <f t="shared" si="132"/>
        <v>0</v>
      </c>
      <c r="T488" s="858">
        <f t="shared" si="133"/>
        <v>0</v>
      </c>
      <c r="U488" s="2908">
        <f t="shared" si="127"/>
        <v>0</v>
      </c>
      <c r="V488" s="2908">
        <f t="shared" si="128"/>
        <v>0</v>
      </c>
      <c r="W488" s="955"/>
      <c r="X488" s="2908">
        <f t="shared" si="129"/>
        <v>0</v>
      </c>
      <c r="Y488" s="2908">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7">
        <f t="shared" si="131"/>
        <v>0</v>
      </c>
      <c r="S489" s="250">
        <f t="shared" si="132"/>
        <v>0</v>
      </c>
      <c r="T489" s="858">
        <f t="shared" si="133"/>
        <v>0</v>
      </c>
      <c r="U489" s="2908">
        <f t="shared" si="127"/>
        <v>0</v>
      </c>
      <c r="V489" s="2908">
        <f t="shared" si="128"/>
        <v>0</v>
      </c>
      <c r="W489" s="955"/>
      <c r="X489" s="2908">
        <f t="shared" si="129"/>
        <v>0</v>
      </c>
      <c r="Y489" s="2908">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7">
        <f t="shared" si="131"/>
        <v>0</v>
      </c>
      <c r="S490" s="250">
        <f t="shared" si="132"/>
        <v>0</v>
      </c>
      <c r="T490" s="858">
        <f t="shared" si="133"/>
        <v>0</v>
      </c>
      <c r="U490" s="2908">
        <f t="shared" si="127"/>
        <v>0</v>
      </c>
      <c r="V490" s="2908">
        <f t="shared" si="128"/>
        <v>0</v>
      </c>
      <c r="W490" s="955"/>
      <c r="X490" s="2908">
        <f t="shared" si="129"/>
        <v>0</v>
      </c>
      <c r="Y490" s="2908">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7">
        <f t="shared" si="131"/>
        <v>0</v>
      </c>
      <c r="S491" s="250">
        <f t="shared" si="132"/>
        <v>0</v>
      </c>
      <c r="T491" s="858">
        <f t="shared" si="133"/>
        <v>0</v>
      </c>
      <c r="U491" s="2908">
        <f t="shared" si="127"/>
        <v>0</v>
      </c>
      <c r="V491" s="2908">
        <f t="shared" si="128"/>
        <v>0</v>
      </c>
      <c r="W491" s="955"/>
      <c r="X491" s="2908">
        <f t="shared" si="129"/>
        <v>0</v>
      </c>
      <c r="Y491" s="2908">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7">
        <f t="shared" si="131"/>
        <v>0</v>
      </c>
      <c r="S492" s="250">
        <f t="shared" si="132"/>
        <v>0</v>
      </c>
      <c r="T492" s="858">
        <f t="shared" si="133"/>
        <v>0</v>
      </c>
      <c r="U492" s="2908">
        <f t="shared" si="127"/>
        <v>0</v>
      </c>
      <c r="V492" s="2908">
        <f t="shared" si="128"/>
        <v>0</v>
      </c>
      <c r="W492" s="955"/>
      <c r="X492" s="2908">
        <f t="shared" si="129"/>
        <v>0</v>
      </c>
      <c r="Y492" s="2908">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7">
        <f t="shared" si="131"/>
        <v>0</v>
      </c>
      <c r="S493" s="250">
        <f t="shared" si="132"/>
        <v>0</v>
      </c>
      <c r="T493" s="858">
        <f t="shared" si="133"/>
        <v>0</v>
      </c>
      <c r="U493" s="2908">
        <f t="shared" si="127"/>
        <v>0</v>
      </c>
      <c r="V493" s="2908">
        <f t="shared" si="128"/>
        <v>0</v>
      </c>
      <c r="W493" s="955"/>
      <c r="X493" s="2908">
        <f t="shared" si="129"/>
        <v>0</v>
      </c>
      <c r="Y493" s="2908">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7">
        <f t="shared" si="131"/>
        <v>0</v>
      </c>
      <c r="S494" s="250">
        <f t="shared" si="132"/>
        <v>0</v>
      </c>
      <c r="T494" s="858">
        <f t="shared" si="133"/>
        <v>0</v>
      </c>
      <c r="U494" s="2908">
        <f t="shared" si="127"/>
        <v>0</v>
      </c>
      <c r="V494" s="2908">
        <f t="shared" si="128"/>
        <v>0</v>
      </c>
      <c r="W494" s="955"/>
      <c r="X494" s="2908">
        <f t="shared" si="129"/>
        <v>0</v>
      </c>
      <c r="Y494" s="2908">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7">
        <f t="shared" si="131"/>
        <v>0</v>
      </c>
      <c r="S495" s="250">
        <f t="shared" si="132"/>
        <v>0</v>
      </c>
      <c r="T495" s="858">
        <f t="shared" si="133"/>
        <v>0</v>
      </c>
      <c r="U495" s="2908">
        <f t="shared" si="127"/>
        <v>0</v>
      </c>
      <c r="V495" s="2908">
        <f t="shared" si="128"/>
        <v>0</v>
      </c>
      <c r="W495" s="955"/>
      <c r="X495" s="2908">
        <f t="shared" si="129"/>
        <v>0</v>
      </c>
      <c r="Y495" s="2908">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7">
        <f t="shared" si="131"/>
        <v>0</v>
      </c>
      <c r="S496" s="250">
        <f t="shared" si="132"/>
        <v>0</v>
      </c>
      <c r="T496" s="858">
        <f t="shared" si="133"/>
        <v>0</v>
      </c>
      <c r="U496" s="2908">
        <f t="shared" si="127"/>
        <v>0</v>
      </c>
      <c r="V496" s="2908">
        <f t="shared" si="128"/>
        <v>0</v>
      </c>
      <c r="W496" s="955"/>
      <c r="X496" s="2908">
        <f t="shared" si="129"/>
        <v>0</v>
      </c>
      <c r="Y496" s="2908">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7">
        <f t="shared" si="131"/>
        <v>0</v>
      </c>
      <c r="S497" s="250">
        <f t="shared" si="132"/>
        <v>0</v>
      </c>
      <c r="T497" s="858">
        <f t="shared" si="133"/>
        <v>0</v>
      </c>
      <c r="U497" s="2908">
        <f t="shared" si="127"/>
        <v>0</v>
      </c>
      <c r="V497" s="2908">
        <f t="shared" si="128"/>
        <v>0</v>
      </c>
      <c r="W497" s="955"/>
      <c r="X497" s="2908">
        <f t="shared" si="129"/>
        <v>0</v>
      </c>
      <c r="Y497" s="2908">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7">
        <f t="shared" si="131"/>
        <v>0</v>
      </c>
      <c r="S498" s="250">
        <f t="shared" si="132"/>
        <v>0</v>
      </c>
      <c r="T498" s="858">
        <f t="shared" si="133"/>
        <v>0</v>
      </c>
      <c r="U498" s="2908">
        <f t="shared" si="127"/>
        <v>0</v>
      </c>
      <c r="V498" s="2908">
        <f t="shared" si="128"/>
        <v>0</v>
      </c>
      <c r="W498" s="955"/>
      <c r="X498" s="2908">
        <f t="shared" si="129"/>
        <v>0</v>
      </c>
      <c r="Y498" s="2908">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7">
        <f t="shared" si="131"/>
        <v>0</v>
      </c>
      <c r="S499" s="250">
        <f t="shared" si="132"/>
        <v>0</v>
      </c>
      <c r="T499" s="858">
        <f t="shared" si="133"/>
        <v>0</v>
      </c>
      <c r="U499" s="2908">
        <f t="shared" si="127"/>
        <v>0</v>
      </c>
      <c r="V499" s="2908">
        <f t="shared" si="128"/>
        <v>0</v>
      </c>
      <c r="W499" s="955"/>
      <c r="X499" s="2908">
        <f t="shared" si="129"/>
        <v>0</v>
      </c>
      <c r="Y499" s="2908">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7">
        <f t="shared" si="131"/>
        <v>0</v>
      </c>
      <c r="S500" s="250">
        <f t="shared" si="132"/>
        <v>0</v>
      </c>
      <c r="T500" s="858">
        <f t="shared" si="133"/>
        <v>0</v>
      </c>
      <c r="U500" s="2908">
        <f t="shared" si="127"/>
        <v>0</v>
      </c>
      <c r="V500" s="2908">
        <f t="shared" si="128"/>
        <v>0</v>
      </c>
      <c r="W500" s="955"/>
      <c r="X500" s="2908">
        <f t="shared" si="129"/>
        <v>0</v>
      </c>
      <c r="Y500" s="2908">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7">
        <f t="shared" si="131"/>
        <v>0</v>
      </c>
      <c r="S501" s="250">
        <f t="shared" si="132"/>
        <v>0</v>
      </c>
      <c r="T501" s="858">
        <f t="shared" si="133"/>
        <v>0</v>
      </c>
      <c r="U501" s="2908">
        <f t="shared" si="127"/>
        <v>0</v>
      </c>
      <c r="V501" s="2908">
        <f t="shared" si="128"/>
        <v>0</v>
      </c>
      <c r="W501" s="955"/>
      <c r="X501" s="2908">
        <f t="shared" si="129"/>
        <v>0</v>
      </c>
      <c r="Y501" s="2908">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7">
        <f t="shared" si="131"/>
        <v>0</v>
      </c>
      <c r="S502" s="250">
        <f t="shared" si="132"/>
        <v>0</v>
      </c>
      <c r="T502" s="858">
        <f t="shared" si="133"/>
        <v>0</v>
      </c>
      <c r="U502" s="2908">
        <f t="shared" si="127"/>
        <v>0</v>
      </c>
      <c r="V502" s="2908">
        <f t="shared" si="128"/>
        <v>0</v>
      </c>
      <c r="W502" s="955"/>
      <c r="X502" s="2908">
        <f t="shared" si="129"/>
        <v>0</v>
      </c>
      <c r="Y502" s="2908">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7">
        <f t="shared" si="131"/>
        <v>0</v>
      </c>
      <c r="S503" s="250">
        <f t="shared" si="132"/>
        <v>0</v>
      </c>
      <c r="T503" s="858">
        <f t="shared" si="133"/>
        <v>0</v>
      </c>
      <c r="U503" s="2908">
        <f t="shared" si="127"/>
        <v>0</v>
      </c>
      <c r="V503" s="2908">
        <f t="shared" si="128"/>
        <v>0</v>
      </c>
      <c r="W503" s="955"/>
      <c r="X503" s="2908">
        <f t="shared" si="129"/>
        <v>0</v>
      </c>
      <c r="Y503" s="2908">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7">
        <f t="shared" si="131"/>
        <v>0</v>
      </c>
      <c r="S504" s="250">
        <f t="shared" si="132"/>
        <v>0</v>
      </c>
      <c r="T504" s="858">
        <f t="shared" si="133"/>
        <v>0</v>
      </c>
      <c r="U504" s="2908">
        <f t="shared" si="127"/>
        <v>0</v>
      </c>
      <c r="V504" s="2908">
        <f t="shared" si="128"/>
        <v>0</v>
      </c>
      <c r="W504" s="955"/>
      <c r="X504" s="2908">
        <f t="shared" si="129"/>
        <v>0</v>
      </c>
      <c r="Y504" s="2908">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7">
        <f t="shared" si="131"/>
        <v>0</v>
      </c>
      <c r="S505" s="250">
        <f t="shared" si="132"/>
        <v>0</v>
      </c>
      <c r="T505" s="858">
        <f t="shared" si="133"/>
        <v>0</v>
      </c>
      <c r="U505" s="2908">
        <f t="shared" si="127"/>
        <v>0</v>
      </c>
      <c r="V505" s="2908">
        <f t="shared" si="128"/>
        <v>0</v>
      </c>
      <c r="W505" s="955"/>
      <c r="X505" s="2908">
        <f t="shared" si="129"/>
        <v>0</v>
      </c>
      <c r="Y505" s="2908">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7">
        <f t="shared" si="131"/>
        <v>0</v>
      </c>
      <c r="S506" s="250">
        <f t="shared" si="132"/>
        <v>0</v>
      </c>
      <c r="T506" s="858">
        <f t="shared" si="133"/>
        <v>0</v>
      </c>
      <c r="U506" s="2908">
        <f t="shared" si="127"/>
        <v>0</v>
      </c>
      <c r="V506" s="2908">
        <f t="shared" si="128"/>
        <v>0</v>
      </c>
      <c r="W506" s="955"/>
      <c r="X506" s="2908">
        <f t="shared" si="129"/>
        <v>0</v>
      </c>
      <c r="Y506" s="2908">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7">
        <f t="shared" si="131"/>
        <v>0</v>
      </c>
      <c r="S507" s="250">
        <f t="shared" si="132"/>
        <v>0</v>
      </c>
      <c r="T507" s="858">
        <f t="shared" si="133"/>
        <v>0</v>
      </c>
      <c r="U507" s="2908">
        <f t="shared" si="127"/>
        <v>0</v>
      </c>
      <c r="V507" s="2908">
        <f t="shared" si="128"/>
        <v>0</v>
      </c>
      <c r="W507" s="955"/>
      <c r="X507" s="2908">
        <f t="shared" si="129"/>
        <v>0</v>
      </c>
      <c r="Y507" s="2908">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7">
        <f t="shared" si="131"/>
        <v>0</v>
      </c>
      <c r="S508" s="250">
        <f t="shared" si="132"/>
        <v>0</v>
      </c>
      <c r="T508" s="858">
        <f t="shared" si="133"/>
        <v>0</v>
      </c>
      <c r="U508" s="2908">
        <f t="shared" si="127"/>
        <v>0</v>
      </c>
      <c r="V508" s="2908">
        <f t="shared" si="128"/>
        <v>0</v>
      </c>
      <c r="W508" s="955"/>
      <c r="X508" s="2908">
        <f t="shared" si="129"/>
        <v>0</v>
      </c>
      <c r="Y508" s="2908">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7">
        <f t="shared" si="131"/>
        <v>0</v>
      </c>
      <c r="S509" s="250">
        <f t="shared" si="132"/>
        <v>0</v>
      </c>
      <c r="T509" s="858">
        <f t="shared" si="133"/>
        <v>0</v>
      </c>
      <c r="U509" s="2908">
        <f t="shared" si="127"/>
        <v>0</v>
      </c>
      <c r="V509" s="2908">
        <f t="shared" si="128"/>
        <v>0</v>
      </c>
      <c r="W509" s="955"/>
      <c r="X509" s="2908">
        <f t="shared" si="129"/>
        <v>0</v>
      </c>
      <c r="Y509" s="2908">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7">
        <f t="shared" si="131"/>
        <v>0</v>
      </c>
      <c r="S510" s="250">
        <f t="shared" si="132"/>
        <v>0</v>
      </c>
      <c r="T510" s="858">
        <f t="shared" si="133"/>
        <v>0</v>
      </c>
      <c r="U510" s="2908">
        <f t="shared" si="127"/>
        <v>0</v>
      </c>
      <c r="V510" s="2908">
        <f t="shared" si="128"/>
        <v>0</v>
      </c>
      <c r="W510" s="955"/>
      <c r="X510" s="2908">
        <f t="shared" si="129"/>
        <v>0</v>
      </c>
      <c r="Y510" s="2908">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7">
        <f t="shared" si="131"/>
        <v>0</v>
      </c>
      <c r="S511" s="250">
        <f t="shared" si="132"/>
        <v>0</v>
      </c>
      <c r="T511" s="858">
        <f t="shared" si="133"/>
        <v>0</v>
      </c>
      <c r="U511" s="2908">
        <f t="shared" si="127"/>
        <v>0</v>
      </c>
      <c r="V511" s="2908">
        <f t="shared" si="128"/>
        <v>0</v>
      </c>
      <c r="W511" s="955"/>
      <c r="X511" s="2908">
        <f t="shared" si="129"/>
        <v>0</v>
      </c>
      <c r="Y511" s="2908">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7">
        <f t="shared" si="131"/>
        <v>0</v>
      </c>
      <c r="S512" s="250">
        <f t="shared" si="132"/>
        <v>0</v>
      </c>
      <c r="T512" s="858">
        <f t="shared" si="133"/>
        <v>0</v>
      </c>
      <c r="U512" s="2908">
        <f t="shared" si="127"/>
        <v>0</v>
      </c>
      <c r="V512" s="2908">
        <f t="shared" si="128"/>
        <v>0</v>
      </c>
      <c r="W512" s="955"/>
      <c r="X512" s="2908">
        <f t="shared" si="129"/>
        <v>0</v>
      </c>
      <c r="Y512" s="2908">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7">
        <f t="shared" si="131"/>
        <v>0</v>
      </c>
      <c r="S513" s="250">
        <f t="shared" si="132"/>
        <v>0</v>
      </c>
      <c r="T513" s="858">
        <f t="shared" si="133"/>
        <v>0</v>
      </c>
      <c r="U513" s="2908">
        <f t="shared" si="127"/>
        <v>0</v>
      </c>
      <c r="V513" s="2908">
        <f t="shared" si="128"/>
        <v>0</v>
      </c>
      <c r="W513" s="955"/>
      <c r="X513" s="2908">
        <f t="shared" si="129"/>
        <v>0</v>
      </c>
      <c r="Y513" s="2908">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7">
        <f t="shared" si="131"/>
        <v>0</v>
      </c>
      <c r="S514" s="250">
        <f t="shared" si="132"/>
        <v>0</v>
      </c>
      <c r="T514" s="858">
        <f t="shared" si="133"/>
        <v>0</v>
      </c>
      <c r="U514" s="2908">
        <f t="shared" si="127"/>
        <v>0</v>
      </c>
      <c r="V514" s="2908">
        <f t="shared" si="128"/>
        <v>0</v>
      </c>
      <c r="W514" s="955"/>
      <c r="X514" s="2908">
        <f t="shared" si="129"/>
        <v>0</v>
      </c>
      <c r="Y514" s="2908">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7">
        <f t="shared" si="131"/>
        <v>0</v>
      </c>
      <c r="S515" s="250">
        <f t="shared" si="132"/>
        <v>0</v>
      </c>
      <c r="T515" s="858">
        <f t="shared" si="133"/>
        <v>0</v>
      </c>
      <c r="U515" s="2908">
        <f t="shared" si="127"/>
        <v>0</v>
      </c>
      <c r="V515" s="2908">
        <f t="shared" si="128"/>
        <v>0</v>
      </c>
      <c r="W515" s="955"/>
      <c r="X515" s="2908">
        <f t="shared" si="129"/>
        <v>0</v>
      </c>
      <c r="Y515" s="2908">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7">
        <f t="shared" si="131"/>
        <v>0</v>
      </c>
      <c r="S516" s="250">
        <f t="shared" si="132"/>
        <v>0</v>
      </c>
      <c r="T516" s="858">
        <f t="shared" si="133"/>
        <v>0</v>
      </c>
      <c r="U516" s="2908">
        <f t="shared" si="127"/>
        <v>0</v>
      </c>
      <c r="V516" s="2908">
        <f t="shared" si="128"/>
        <v>0</v>
      </c>
      <c r="W516" s="955"/>
      <c r="X516" s="2908">
        <f t="shared" si="129"/>
        <v>0</v>
      </c>
      <c r="Y516" s="2908">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7">
        <f t="shared" si="131"/>
        <v>0</v>
      </c>
      <c r="S517" s="250">
        <f t="shared" si="132"/>
        <v>0</v>
      </c>
      <c r="T517" s="858">
        <f t="shared" si="133"/>
        <v>0</v>
      </c>
      <c r="U517" s="2908">
        <f t="shared" si="127"/>
        <v>0</v>
      </c>
      <c r="V517" s="2908">
        <f t="shared" si="128"/>
        <v>0</v>
      </c>
      <c r="W517" s="955"/>
      <c r="X517" s="2908">
        <f t="shared" si="129"/>
        <v>0</v>
      </c>
      <c r="Y517" s="2908">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7">
        <f t="shared" si="131"/>
        <v>0</v>
      </c>
      <c r="S518" s="250">
        <f t="shared" si="132"/>
        <v>0</v>
      </c>
      <c r="T518" s="858">
        <f t="shared" si="133"/>
        <v>0</v>
      </c>
      <c r="U518" s="2908">
        <f t="shared" si="127"/>
        <v>0</v>
      </c>
      <c r="V518" s="2908">
        <f t="shared" si="128"/>
        <v>0</v>
      </c>
      <c r="W518" s="955"/>
      <c r="X518" s="2908">
        <f t="shared" si="129"/>
        <v>0</v>
      </c>
      <c r="Y518" s="2908">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7">
        <f t="shared" si="131"/>
        <v>0</v>
      </c>
      <c r="S519" s="250">
        <f t="shared" si="132"/>
        <v>0</v>
      </c>
      <c r="T519" s="858">
        <f t="shared" si="133"/>
        <v>0</v>
      </c>
      <c r="U519" s="2908">
        <f t="shared" si="127"/>
        <v>0</v>
      </c>
      <c r="V519" s="2908">
        <f t="shared" si="128"/>
        <v>0</v>
      </c>
      <c r="W519" s="955"/>
      <c r="X519" s="2908">
        <f t="shared" si="129"/>
        <v>0</v>
      </c>
      <c r="Y519" s="2908">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7">
        <f t="shared" si="131"/>
        <v>0</v>
      </c>
      <c r="S520" s="250">
        <f t="shared" si="132"/>
        <v>0</v>
      </c>
      <c r="T520" s="858">
        <f t="shared" si="133"/>
        <v>0</v>
      </c>
      <c r="U520" s="2908">
        <f t="shared" si="127"/>
        <v>0</v>
      </c>
      <c r="V520" s="2908">
        <f t="shared" si="128"/>
        <v>0</v>
      </c>
      <c r="W520" s="955"/>
      <c r="X520" s="2908">
        <f t="shared" si="129"/>
        <v>0</v>
      </c>
      <c r="Y520" s="2908">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7">
        <f t="shared" si="131"/>
        <v>0</v>
      </c>
      <c r="S521" s="250">
        <f t="shared" si="132"/>
        <v>0</v>
      </c>
      <c r="T521" s="858">
        <f t="shared" si="133"/>
        <v>0</v>
      </c>
      <c r="U521" s="2908">
        <f t="shared" si="127"/>
        <v>0</v>
      </c>
      <c r="V521" s="2908">
        <f t="shared" si="128"/>
        <v>0</v>
      </c>
      <c r="W521" s="955"/>
      <c r="X521" s="2908">
        <f t="shared" si="129"/>
        <v>0</v>
      </c>
      <c r="Y521" s="2908">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7">
        <f t="shared" si="131"/>
        <v>0</v>
      </c>
      <c r="S522" s="250">
        <f t="shared" si="132"/>
        <v>0</v>
      </c>
      <c r="T522" s="858">
        <f t="shared" si="133"/>
        <v>0</v>
      </c>
      <c r="U522" s="2908">
        <f t="shared" si="127"/>
        <v>0</v>
      </c>
      <c r="V522" s="2908">
        <f t="shared" si="128"/>
        <v>0</v>
      </c>
      <c r="W522" s="955"/>
      <c r="X522" s="2908">
        <f t="shared" si="129"/>
        <v>0</v>
      </c>
      <c r="Y522" s="2908">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7">
        <f t="shared" si="131"/>
        <v>0</v>
      </c>
      <c r="S523" s="250">
        <f t="shared" si="132"/>
        <v>0</v>
      </c>
      <c r="T523" s="858">
        <f t="shared" si="133"/>
        <v>0</v>
      </c>
      <c r="U523" s="2908">
        <f t="shared" si="127"/>
        <v>0</v>
      </c>
      <c r="V523" s="2908">
        <f t="shared" si="128"/>
        <v>0</v>
      </c>
      <c r="W523" s="955"/>
      <c r="X523" s="2908">
        <f t="shared" si="129"/>
        <v>0</v>
      </c>
      <c r="Y523" s="2908">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7">
        <f t="shared" si="131"/>
        <v>0</v>
      </c>
      <c r="S524" s="250">
        <f t="shared" si="132"/>
        <v>0</v>
      </c>
      <c r="T524" s="858">
        <f t="shared" si="133"/>
        <v>0</v>
      </c>
      <c r="U524" s="2908">
        <f t="shared" si="127"/>
        <v>0</v>
      </c>
      <c r="V524" s="2908">
        <f t="shared" si="128"/>
        <v>0</v>
      </c>
      <c r="W524" s="955"/>
      <c r="X524" s="2908">
        <f t="shared" si="129"/>
        <v>0</v>
      </c>
      <c r="Y524" s="2908">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7">
        <f t="shared" si="131"/>
        <v>0</v>
      </c>
      <c r="S525" s="250">
        <f t="shared" si="132"/>
        <v>0</v>
      </c>
      <c r="T525" s="858">
        <f t="shared" si="133"/>
        <v>0</v>
      </c>
      <c r="U525" s="2908">
        <f t="shared" si="127"/>
        <v>0</v>
      </c>
      <c r="V525" s="2908">
        <f t="shared" si="128"/>
        <v>0</v>
      </c>
      <c r="W525" s="955"/>
      <c r="X525" s="2908">
        <f t="shared" si="129"/>
        <v>0</v>
      </c>
      <c r="Y525" s="2908">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7">
        <f t="shared" si="131"/>
        <v>0</v>
      </c>
      <c r="S526" s="250">
        <f t="shared" si="132"/>
        <v>0</v>
      </c>
      <c r="T526" s="858">
        <f t="shared" si="133"/>
        <v>0</v>
      </c>
      <c r="U526" s="2908">
        <f t="shared" si="127"/>
        <v>0</v>
      </c>
      <c r="V526" s="2908">
        <f t="shared" si="128"/>
        <v>0</v>
      </c>
      <c r="W526" s="955"/>
      <c r="X526" s="2908">
        <f t="shared" si="129"/>
        <v>0</v>
      </c>
      <c r="Y526" s="2908">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7">
        <f t="shared" si="131"/>
        <v>0</v>
      </c>
      <c r="S527" s="250">
        <f t="shared" si="132"/>
        <v>0</v>
      </c>
      <c r="T527" s="858">
        <f t="shared" si="133"/>
        <v>0</v>
      </c>
      <c r="U527" s="2908">
        <f t="shared" si="127"/>
        <v>0</v>
      </c>
      <c r="V527" s="2908">
        <f t="shared" si="128"/>
        <v>0</v>
      </c>
      <c r="W527" s="955"/>
      <c r="X527" s="2908">
        <f t="shared" si="129"/>
        <v>0</v>
      </c>
      <c r="Y527" s="2908">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2001</v>
      </c>
      <c r="B1" s="1565" t="s">
        <v>2002</v>
      </c>
      <c r="C1" s="1566"/>
      <c r="D1" s="1567"/>
      <c r="E1" s="1568" t="s">
        <v>985</v>
      </c>
      <c r="F1" s="1569" t="s">
        <v>2003</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2004</v>
      </c>
      <c r="D3" s="1587">
        <f>IF(C1="仅计算典型户型",'数据-取费表'!E5,'数据-取费表'!B5)</f>
        <v>2380.7600000000002</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2005</v>
      </c>
      <c r="B4" s="1591"/>
      <c r="C4" s="3586" t="s">
        <v>2006</v>
      </c>
      <c r="D4" s="3587"/>
      <c r="E4" s="3588" t="s">
        <v>2007</v>
      </c>
      <c r="F4" s="3589"/>
      <c r="G4" s="3586" t="s">
        <v>2008</v>
      </c>
      <c r="H4" s="3587"/>
      <c r="I4" s="3586" t="s">
        <v>2009</v>
      </c>
      <c r="J4" s="3587"/>
      <c r="K4" s="1592" t="s">
        <v>2010</v>
      </c>
      <c r="L4" s="2914"/>
      <c r="M4" s="2915"/>
      <c r="N4" s="2915"/>
      <c r="O4" s="2915"/>
      <c r="P4" s="3590" t="s">
        <v>2011</v>
      </c>
      <c r="Q4" s="3591"/>
      <c r="R4" s="3596" t="s">
        <v>2007</v>
      </c>
      <c r="S4" s="3597"/>
      <c r="T4" s="3596" t="s">
        <v>2008</v>
      </c>
      <c r="U4" s="3597"/>
      <c r="V4" s="3602" t="s">
        <v>2009</v>
      </c>
      <c r="W4" s="3602"/>
      <c r="X4" s="1593"/>
      <c r="Y4" s="3596" t="s">
        <v>2011</v>
      </c>
      <c r="Z4" s="3597"/>
      <c r="AA4" s="3583" t="s">
        <v>2007</v>
      </c>
      <c r="AB4" s="3583" t="s">
        <v>2008</v>
      </c>
      <c r="AC4" s="3583" t="s">
        <v>2009</v>
      </c>
    </row>
    <row r="5" spans="1:29" ht="15">
      <c r="A5" s="1595"/>
      <c r="B5" s="1596"/>
      <c r="C5" s="3605" t="s">
        <v>2012</v>
      </c>
      <c r="D5" s="3606"/>
      <c r="E5" s="3603" t="s">
        <v>2013</v>
      </c>
      <c r="F5" s="3604"/>
      <c r="G5" s="3605" t="s">
        <v>2014</v>
      </c>
      <c r="H5" s="3606"/>
      <c r="I5" s="3605" t="s">
        <v>2015</v>
      </c>
      <c r="J5" s="3606"/>
      <c r="K5" s="1597"/>
      <c r="L5" s="2914"/>
      <c r="M5" s="2915"/>
      <c r="N5" s="2915"/>
      <c r="O5" s="2915"/>
      <c r="P5" s="3592"/>
      <c r="Q5" s="3593"/>
      <c r="R5" s="3598"/>
      <c r="S5" s="3599"/>
      <c r="T5" s="3598"/>
      <c r="U5" s="3599"/>
      <c r="V5" s="3602"/>
      <c r="W5" s="3602"/>
      <c r="X5" s="1593"/>
      <c r="Y5" s="3598"/>
      <c r="Z5" s="3599"/>
      <c r="AA5" s="3584"/>
      <c r="AB5" s="3584"/>
      <c r="AC5" s="3584"/>
    </row>
    <row r="6" spans="1:29" ht="15.75" thickBot="1">
      <c r="A6" s="1598"/>
      <c r="B6" s="1599"/>
      <c r="C6" s="3607" t="s">
        <v>2016</v>
      </c>
      <c r="D6" s="3608"/>
      <c r="E6" s="3609" t="s">
        <v>2016</v>
      </c>
      <c r="F6" s="3610"/>
      <c r="G6" s="3607" t="s">
        <v>2016</v>
      </c>
      <c r="H6" s="3608"/>
      <c r="I6" s="3607" t="s">
        <v>2016</v>
      </c>
      <c r="J6" s="3608"/>
      <c r="K6" s="1597" t="s">
        <v>2017</v>
      </c>
      <c r="L6" s="2914"/>
      <c r="M6" s="2915"/>
      <c r="N6" s="2915"/>
      <c r="O6" s="2915"/>
      <c r="P6" s="3594"/>
      <c r="Q6" s="3595"/>
      <c r="R6" s="3598"/>
      <c r="S6" s="3599"/>
      <c r="T6" s="3600"/>
      <c r="U6" s="3601"/>
      <c r="V6" s="3602"/>
      <c r="W6" s="3602"/>
      <c r="X6" s="1593"/>
      <c r="Y6" s="3600"/>
      <c r="Z6" s="3601"/>
      <c r="AA6" s="3585"/>
      <c r="AB6" s="3585"/>
      <c r="AC6" s="3585"/>
    </row>
    <row r="7" spans="1:29" s="1612" customFormat="1" ht="15.75" thickBot="1">
      <c r="A7" s="1600" t="s">
        <v>2018</v>
      </c>
      <c r="B7" s="1601"/>
      <c r="C7" s="1602">
        <f>'数据-取费表'!B2</f>
        <v>44783</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18" t="s">
        <v>2019</v>
      </c>
      <c r="Q7" s="3620"/>
      <c r="R7" s="1608" t="s">
        <v>34</v>
      </c>
      <c r="S7" s="1609">
        <f t="shared" ref="S7:S15" si="0">F7</f>
        <v>0</v>
      </c>
      <c r="T7" s="1608" t="s">
        <v>34</v>
      </c>
      <c r="U7" s="1609">
        <f t="shared" ref="U7:U15" si="1">H7</f>
        <v>0</v>
      </c>
      <c r="V7" s="1608" t="s">
        <v>34</v>
      </c>
      <c r="W7" s="1609">
        <f t="shared" ref="W7:W15" si="2">J7</f>
        <v>0</v>
      </c>
      <c r="X7" s="1610"/>
      <c r="Y7" s="3618" t="s">
        <v>2019</v>
      </c>
      <c r="Z7" s="3619"/>
      <c r="AA7" s="1611" t="e">
        <f>D7/F7</f>
        <v>#DIV/0!</v>
      </c>
      <c r="AB7" s="1611" t="e">
        <f>D7/H7</f>
        <v>#DIV/0!</v>
      </c>
      <c r="AC7" s="1611" t="e">
        <f>D7/J7</f>
        <v>#DIV/0!</v>
      </c>
    </row>
    <row r="8" spans="1:29" s="1612" customFormat="1" ht="15.75" thickBot="1">
      <c r="A8" s="1600" t="s">
        <v>2020</v>
      </c>
      <c r="B8" s="1601"/>
      <c r="C8" s="1613" t="s">
        <v>2021</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18" t="s">
        <v>2022</v>
      </c>
      <c r="Q8" s="3619"/>
      <c r="R8" s="1608" t="s">
        <v>34</v>
      </c>
      <c r="S8" s="1609">
        <f t="shared" si="0"/>
        <v>0</v>
      </c>
      <c r="T8" s="1608" t="s">
        <v>34</v>
      </c>
      <c r="U8" s="1609">
        <f t="shared" si="1"/>
        <v>0</v>
      </c>
      <c r="V8" s="1608" t="s">
        <v>34</v>
      </c>
      <c r="W8" s="1609">
        <f t="shared" si="2"/>
        <v>0</v>
      </c>
      <c r="X8" s="1610"/>
      <c r="Y8" s="3618" t="s">
        <v>2022</v>
      </c>
      <c r="Z8" s="3619"/>
      <c r="AA8" s="1611" t="e">
        <f t="shared" ref="AA8:AA46" si="3">D8/F8</f>
        <v>#DIV/0!</v>
      </c>
      <c r="AB8" s="1611" t="e">
        <f t="shared" ref="AB8:AB46" si="4">D8/H8</f>
        <v>#DIV/0!</v>
      </c>
      <c r="AC8" s="1611" t="e">
        <f t="shared" ref="AC8:AC46" si="5">D8/J8</f>
        <v>#DIV/0!</v>
      </c>
    </row>
    <row r="9" spans="1:29" s="1612" customFormat="1">
      <c r="A9" s="1563" t="s">
        <v>2023</v>
      </c>
      <c r="B9" s="1615" t="s">
        <v>2024</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1" t="s">
        <v>2025</v>
      </c>
      <c r="Q9" s="1562" t="str">
        <f t="shared" ref="Q9:Q15" si="6">B9</f>
        <v>用途</v>
      </c>
      <c r="R9" s="1608" t="s">
        <v>25</v>
      </c>
      <c r="S9" s="1609">
        <f t="shared" si="0"/>
        <v>100</v>
      </c>
      <c r="T9" s="1608" t="s">
        <v>25</v>
      </c>
      <c r="U9" s="1609">
        <f t="shared" si="1"/>
        <v>100</v>
      </c>
      <c r="V9" s="1608" t="s">
        <v>25</v>
      </c>
      <c r="W9" s="1609">
        <f t="shared" si="2"/>
        <v>100</v>
      </c>
      <c r="X9" s="1610"/>
      <c r="Y9" s="3486" t="s">
        <v>2026</v>
      </c>
      <c r="Z9" s="1621" t="str">
        <f t="shared" ref="Z9:Z15" si="7">Q9</f>
        <v>用途</v>
      </c>
      <c r="AA9" s="1611">
        <f t="shared" si="3"/>
        <v>1</v>
      </c>
      <c r="AB9" s="1611">
        <f t="shared" si="4"/>
        <v>1</v>
      </c>
      <c r="AC9" s="1611">
        <f t="shared" si="5"/>
        <v>1</v>
      </c>
    </row>
    <row r="10" spans="1:29" s="1629" customFormat="1" ht="27">
      <c r="A10" s="1622"/>
      <c r="B10" s="1623" t="s">
        <v>2027</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1"/>
      <c r="Q10" s="1562" t="str">
        <f t="shared" si="6"/>
        <v>土地使用年限（年）</v>
      </c>
      <c r="R10" s="1608" t="s">
        <v>25</v>
      </c>
      <c r="S10" s="1609">
        <f t="shared" si="0"/>
        <v>100</v>
      </c>
      <c r="T10" s="1608" t="s">
        <v>25</v>
      </c>
      <c r="U10" s="1609">
        <f t="shared" si="1"/>
        <v>100</v>
      </c>
      <c r="V10" s="1608" t="s">
        <v>25</v>
      </c>
      <c r="W10" s="1609">
        <f t="shared" si="2"/>
        <v>100</v>
      </c>
      <c r="X10" s="1610"/>
      <c r="Y10" s="3486"/>
      <c r="Z10" s="1621" t="str">
        <f t="shared" si="7"/>
        <v>土地使用年限（年）</v>
      </c>
      <c r="AA10" s="1611">
        <f t="shared" si="3"/>
        <v>1</v>
      </c>
      <c r="AB10" s="1611">
        <f t="shared" si="4"/>
        <v>1</v>
      </c>
      <c r="AC10" s="1611">
        <f t="shared" si="5"/>
        <v>1</v>
      </c>
    </row>
    <row r="11" spans="1:29" ht="15">
      <c r="A11" s="1630"/>
      <c r="B11" s="1623" t="s">
        <v>2028</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1"/>
      <c r="Q11" s="1562" t="str">
        <f t="shared" si="6"/>
        <v>容积率</v>
      </c>
      <c r="R11" s="1608" t="s">
        <v>28</v>
      </c>
      <c r="S11" s="1609" t="e">
        <f t="shared" si="0"/>
        <v>#N/A</v>
      </c>
      <c r="T11" s="1608" t="s">
        <v>28</v>
      </c>
      <c r="U11" s="1609" t="e">
        <f t="shared" si="1"/>
        <v>#N/A</v>
      </c>
      <c r="V11" s="1608" t="s">
        <v>28</v>
      </c>
      <c r="W11" s="1609" t="e">
        <f t="shared" si="2"/>
        <v>#N/A</v>
      </c>
      <c r="X11" s="1610"/>
      <c r="Y11" s="3486"/>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1"/>
      <c r="Q12" s="1562">
        <f t="shared" si="6"/>
        <v>111</v>
      </c>
      <c r="R12" s="1608" t="s">
        <v>28</v>
      </c>
      <c r="S12" s="1609">
        <f t="shared" si="0"/>
        <v>100</v>
      </c>
      <c r="T12" s="1608" t="s">
        <v>28</v>
      </c>
      <c r="U12" s="1609">
        <f t="shared" si="1"/>
        <v>100</v>
      </c>
      <c r="V12" s="1608" t="s">
        <v>28</v>
      </c>
      <c r="W12" s="1609">
        <f t="shared" si="2"/>
        <v>100</v>
      </c>
      <c r="X12" s="1610"/>
      <c r="Y12" s="3486"/>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1"/>
      <c r="Q13" s="1562">
        <f t="shared" si="6"/>
        <v>111</v>
      </c>
      <c r="R13" s="1608" t="s">
        <v>28</v>
      </c>
      <c r="S13" s="1609">
        <f t="shared" si="0"/>
        <v>100</v>
      </c>
      <c r="T13" s="1608" t="s">
        <v>28</v>
      </c>
      <c r="U13" s="1609">
        <f t="shared" si="1"/>
        <v>100</v>
      </c>
      <c r="V13" s="1608" t="s">
        <v>28</v>
      </c>
      <c r="W13" s="1609">
        <f t="shared" si="2"/>
        <v>100</v>
      </c>
      <c r="X13" s="1610"/>
      <c r="Y13" s="3486"/>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1"/>
      <c r="Q14" s="1562">
        <f t="shared" si="6"/>
        <v>111</v>
      </c>
      <c r="R14" s="1608" t="s">
        <v>28</v>
      </c>
      <c r="S14" s="1609">
        <f t="shared" si="0"/>
        <v>100</v>
      </c>
      <c r="T14" s="1608" t="s">
        <v>28</v>
      </c>
      <c r="U14" s="1609">
        <f t="shared" si="1"/>
        <v>100</v>
      </c>
      <c r="V14" s="1608" t="s">
        <v>28</v>
      </c>
      <c r="W14" s="1609">
        <f t="shared" si="2"/>
        <v>100</v>
      </c>
      <c r="X14" s="1610"/>
      <c r="Y14" s="3486"/>
      <c r="Z14" s="1621">
        <f t="shared" si="7"/>
        <v>111</v>
      </c>
      <c r="AA14" s="1611">
        <f t="shared" si="3"/>
        <v>1</v>
      </c>
      <c r="AB14" s="1611">
        <f t="shared" si="4"/>
        <v>1</v>
      </c>
      <c r="AC14" s="1611">
        <f t="shared" si="5"/>
        <v>1</v>
      </c>
    </row>
    <row r="15" spans="1:29" ht="99.75">
      <c r="A15" s="1645" t="s">
        <v>2029</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24" t="s">
        <v>2030</v>
      </c>
      <c r="Q15" s="1543" t="str">
        <f t="shared" si="6"/>
        <v>居住社区成熟度</v>
      </c>
      <c r="R15" s="1653" t="s">
        <v>28</v>
      </c>
      <c r="S15" s="1654">
        <f t="shared" si="0"/>
        <v>100</v>
      </c>
      <c r="T15" s="1653" t="s">
        <v>28</v>
      </c>
      <c r="U15" s="1654">
        <f t="shared" si="1"/>
        <v>100</v>
      </c>
      <c r="V15" s="1653" t="s">
        <v>28</v>
      </c>
      <c r="W15" s="1654">
        <f t="shared" si="2"/>
        <v>100</v>
      </c>
      <c r="X15" s="1593"/>
      <c r="Y15" s="3611" t="s">
        <v>2030</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25"/>
      <c r="Q16" s="1543"/>
      <c r="R16" s="1653"/>
      <c r="S16" s="1654"/>
      <c r="T16" s="1653"/>
      <c r="U16" s="1654"/>
      <c r="V16" s="1653"/>
      <c r="W16" s="1654"/>
      <c r="X16" s="1593"/>
      <c r="Y16" s="3612"/>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25"/>
      <c r="Q17" s="1543" t="str">
        <f>B17</f>
        <v>交通便捷度</v>
      </c>
      <c r="R17" s="1653" t="s">
        <v>28</v>
      </c>
      <c r="S17" s="1654">
        <f>F17</f>
        <v>100</v>
      </c>
      <c r="T17" s="1653" t="s">
        <v>28</v>
      </c>
      <c r="U17" s="1654">
        <f>H17</f>
        <v>100</v>
      </c>
      <c r="V17" s="1653" t="s">
        <v>28</v>
      </c>
      <c r="W17" s="1654">
        <f>J17</f>
        <v>100</v>
      </c>
      <c r="X17" s="1593"/>
      <c r="Y17" s="3612"/>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25"/>
      <c r="Q18" s="1543"/>
      <c r="R18" s="1653"/>
      <c r="S18" s="1654"/>
      <c r="T18" s="1653"/>
      <c r="U18" s="1654"/>
      <c r="V18" s="1653"/>
      <c r="W18" s="1654"/>
      <c r="X18" s="1593"/>
      <c r="Y18" s="3612"/>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25"/>
      <c r="Q19" s="1543" t="str">
        <f>B19</f>
        <v>公共配套设施</v>
      </c>
      <c r="R19" s="1653" t="s">
        <v>28</v>
      </c>
      <c r="S19" s="1654">
        <f>F19</f>
        <v>100</v>
      </c>
      <c r="T19" s="1653" t="s">
        <v>28</v>
      </c>
      <c r="U19" s="1654">
        <f>H19</f>
        <v>100</v>
      </c>
      <c r="V19" s="1653" t="s">
        <v>28</v>
      </c>
      <c r="W19" s="1654">
        <f>J19</f>
        <v>100</v>
      </c>
      <c r="X19" s="1593"/>
      <c r="Y19" s="3612"/>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25"/>
      <c r="Q20" s="1543"/>
      <c r="R20" s="1653"/>
      <c r="S20" s="1654"/>
      <c r="T20" s="1653"/>
      <c r="U20" s="1654"/>
      <c r="V20" s="1653"/>
      <c r="W20" s="1654"/>
      <c r="X20" s="1593"/>
      <c r="Y20" s="3612"/>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25"/>
      <c r="Q21" s="1543" t="str">
        <f>B21</f>
        <v>基础设施水平</v>
      </c>
      <c r="R21" s="1653" t="s">
        <v>28</v>
      </c>
      <c r="S21" s="1654">
        <f>F21</f>
        <v>100</v>
      </c>
      <c r="T21" s="1653" t="s">
        <v>28</v>
      </c>
      <c r="U21" s="1654">
        <f>H21</f>
        <v>100</v>
      </c>
      <c r="V21" s="1653" t="s">
        <v>28</v>
      </c>
      <c r="W21" s="1654">
        <f>J21</f>
        <v>100</v>
      </c>
      <c r="X21" s="1593"/>
      <c r="Y21" s="3612"/>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25"/>
      <c r="Q22" s="1543"/>
      <c r="R22" s="1653"/>
      <c r="S22" s="1654"/>
      <c r="T22" s="1653"/>
      <c r="U22" s="1654"/>
      <c r="V22" s="1653"/>
      <c r="W22" s="1654"/>
      <c r="X22" s="1593"/>
      <c r="Y22" s="3612"/>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25"/>
      <c r="Q23" s="1543" t="str">
        <f>B23</f>
        <v>自然及人文环境</v>
      </c>
      <c r="R23" s="1653" t="s">
        <v>28</v>
      </c>
      <c r="S23" s="1654">
        <f>F23</f>
        <v>100</v>
      </c>
      <c r="T23" s="1653" t="s">
        <v>28</v>
      </c>
      <c r="U23" s="1654">
        <f>H23</f>
        <v>100</v>
      </c>
      <c r="V23" s="1653" t="s">
        <v>28</v>
      </c>
      <c r="W23" s="1654">
        <f>J23</f>
        <v>100</v>
      </c>
      <c r="X23" s="1593"/>
      <c r="Y23" s="3612"/>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25"/>
      <c r="Q24" s="1543"/>
      <c r="R24" s="1653"/>
      <c r="S24" s="1654"/>
      <c r="T24" s="1653"/>
      <c r="U24" s="1654"/>
      <c r="V24" s="1653"/>
      <c r="W24" s="1654"/>
      <c r="X24" s="1593"/>
      <c r="Y24" s="3612"/>
      <c r="Z24" s="1655"/>
      <c r="AA24" s="1656">
        <v>1</v>
      </c>
      <c r="AB24" s="1656">
        <v>1</v>
      </c>
      <c r="AC24" s="1656">
        <v>1</v>
      </c>
    </row>
    <row r="25" spans="1:29" ht="15">
      <c r="A25" s="1630"/>
      <c r="B25" s="1623" t="s">
        <v>2031</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25"/>
      <c r="Q25" s="1543" t="str">
        <f t="shared" ref="Q25:Q46" si="11">B25</f>
        <v>楼层-1</v>
      </c>
      <c r="R25" s="1653" t="s">
        <v>28</v>
      </c>
      <c r="S25" s="1654">
        <f>F25</f>
        <v>100</v>
      </c>
      <c r="T25" s="1653" t="s">
        <v>28</v>
      </c>
      <c r="U25" s="1654">
        <f>H25</f>
        <v>100</v>
      </c>
      <c r="V25" s="1653" t="s">
        <v>28</v>
      </c>
      <c r="W25" s="1654">
        <f>J25</f>
        <v>100</v>
      </c>
      <c r="X25" s="1593"/>
      <c r="Y25" s="3612"/>
      <c r="Z25" s="1655" t="str">
        <f>Q25</f>
        <v>楼层-1</v>
      </c>
      <c r="AA25" s="1656">
        <f t="shared" si="3"/>
        <v>1</v>
      </c>
      <c r="AB25" s="1656">
        <f t="shared" si="4"/>
        <v>1</v>
      </c>
      <c r="AC25" s="1656">
        <f t="shared" si="5"/>
        <v>1</v>
      </c>
    </row>
    <row r="26" spans="1:29" ht="15">
      <c r="A26" s="1630"/>
      <c r="B26" s="1623" t="s">
        <v>2032</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25"/>
      <c r="Q26" s="1543" t="str">
        <f t="shared" si="11"/>
        <v>朝向</v>
      </c>
      <c r="R26" s="1653" t="s">
        <v>28</v>
      </c>
      <c r="S26" s="1654">
        <f>F26</f>
        <v>100</v>
      </c>
      <c r="T26" s="1653" t="s">
        <v>28</v>
      </c>
      <c r="U26" s="1654">
        <f>H26</f>
        <v>100</v>
      </c>
      <c r="V26" s="1653" t="s">
        <v>28</v>
      </c>
      <c r="W26" s="1654">
        <f>J26</f>
        <v>100</v>
      </c>
      <c r="X26" s="1593"/>
      <c r="Y26" s="3612"/>
      <c r="Z26" s="1655" t="str">
        <f>Q26</f>
        <v>朝向</v>
      </c>
      <c r="AA26" s="1656">
        <f t="shared" si="3"/>
        <v>1</v>
      </c>
      <c r="AB26" s="1656">
        <f t="shared" si="4"/>
        <v>1</v>
      </c>
      <c r="AC26" s="1656">
        <f t="shared" si="5"/>
        <v>1</v>
      </c>
    </row>
    <row r="27" spans="1:29" s="1612" customFormat="1" ht="15">
      <c r="A27" s="1633"/>
      <c r="B27" s="1634" t="s">
        <v>2033</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25"/>
      <c r="Q27" s="1562" t="str">
        <f t="shared" si="11"/>
        <v>道路级别</v>
      </c>
      <c r="R27" s="1608" t="s">
        <v>28</v>
      </c>
      <c r="S27" s="1609">
        <f>F27</f>
        <v>100</v>
      </c>
      <c r="T27" s="1608" t="s">
        <v>28</v>
      </c>
      <c r="U27" s="1609">
        <f>H27</f>
        <v>100</v>
      </c>
      <c r="V27" s="1608" t="s">
        <v>28</v>
      </c>
      <c r="W27" s="1609">
        <f>J27</f>
        <v>100</v>
      </c>
      <c r="X27" s="1610"/>
      <c r="Y27" s="3612"/>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25"/>
      <c r="Q28" s="1543">
        <f t="shared" si="11"/>
        <v>111</v>
      </c>
      <c r="R28" s="1653" t="s">
        <v>28</v>
      </c>
      <c r="S28" s="1654">
        <f t="shared" ref="S28:S46" si="12">F28</f>
        <v>100</v>
      </c>
      <c r="T28" s="1653" t="s">
        <v>28</v>
      </c>
      <c r="U28" s="1654">
        <f t="shared" ref="U28:U46" si="13">H28</f>
        <v>100</v>
      </c>
      <c r="V28" s="1653" t="s">
        <v>28</v>
      </c>
      <c r="W28" s="1654">
        <f t="shared" ref="W28:W46" si="14">J28</f>
        <v>100</v>
      </c>
      <c r="X28" s="1593"/>
      <c r="Y28" s="3612"/>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25"/>
      <c r="Q29" s="1543">
        <f t="shared" si="11"/>
        <v>111</v>
      </c>
      <c r="R29" s="1653" t="s">
        <v>28</v>
      </c>
      <c r="S29" s="1654">
        <f t="shared" si="12"/>
        <v>100</v>
      </c>
      <c r="T29" s="1653" t="s">
        <v>28</v>
      </c>
      <c r="U29" s="1654">
        <f t="shared" si="13"/>
        <v>100</v>
      </c>
      <c r="V29" s="1653" t="s">
        <v>28</v>
      </c>
      <c r="W29" s="1654">
        <f t="shared" si="14"/>
        <v>100</v>
      </c>
      <c r="X29" s="1593"/>
      <c r="Y29" s="3612"/>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25"/>
      <c r="Q30" s="1543">
        <f t="shared" si="11"/>
        <v>111</v>
      </c>
      <c r="R30" s="1653" t="s">
        <v>28</v>
      </c>
      <c r="S30" s="1654">
        <f t="shared" si="12"/>
        <v>100</v>
      </c>
      <c r="T30" s="1653" t="s">
        <v>28</v>
      </c>
      <c r="U30" s="1654">
        <f t="shared" si="13"/>
        <v>100</v>
      </c>
      <c r="V30" s="1653" t="s">
        <v>28</v>
      </c>
      <c r="W30" s="1654">
        <f t="shared" si="14"/>
        <v>100</v>
      </c>
      <c r="X30" s="1593"/>
      <c r="Y30" s="3612"/>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25"/>
      <c r="Q31" s="1543">
        <f t="shared" si="11"/>
        <v>111</v>
      </c>
      <c r="R31" s="1653" t="s">
        <v>28</v>
      </c>
      <c r="S31" s="1654">
        <f t="shared" si="12"/>
        <v>100</v>
      </c>
      <c r="T31" s="1653" t="s">
        <v>28</v>
      </c>
      <c r="U31" s="1654">
        <f t="shared" si="13"/>
        <v>100</v>
      </c>
      <c r="V31" s="1653" t="s">
        <v>28</v>
      </c>
      <c r="W31" s="1654">
        <f t="shared" si="14"/>
        <v>100</v>
      </c>
      <c r="X31" s="1593"/>
      <c r="Y31" s="3612"/>
      <c r="Z31" s="1655">
        <f t="shared" si="15"/>
        <v>111</v>
      </c>
      <c r="AA31" s="1656">
        <f t="shared" si="3"/>
        <v>1</v>
      </c>
      <c r="AB31" s="1656">
        <f t="shared" si="4"/>
        <v>1</v>
      </c>
      <c r="AC31" s="1656">
        <f t="shared" si="5"/>
        <v>1</v>
      </c>
    </row>
    <row r="32" spans="1:29" ht="15">
      <c r="A32" s="1645" t="s">
        <v>2034</v>
      </c>
      <c r="B32" s="1615" t="s">
        <v>2035</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13" t="s">
        <v>2036</v>
      </c>
      <c r="Q32" s="1543" t="str">
        <f t="shared" si="11"/>
        <v>建筑类型</v>
      </c>
      <c r="R32" s="1653" t="s">
        <v>28</v>
      </c>
      <c r="S32" s="1654">
        <f t="shared" si="12"/>
        <v>100</v>
      </c>
      <c r="T32" s="1653" t="s">
        <v>28</v>
      </c>
      <c r="U32" s="1654">
        <f t="shared" si="13"/>
        <v>100</v>
      </c>
      <c r="V32" s="1653" t="s">
        <v>28</v>
      </c>
      <c r="W32" s="1654">
        <f t="shared" si="14"/>
        <v>100</v>
      </c>
      <c r="X32" s="1593"/>
      <c r="Y32" s="3616" t="s">
        <v>2036</v>
      </c>
      <c r="Z32" s="1655" t="str">
        <f t="shared" si="15"/>
        <v>建筑类型</v>
      </c>
      <c r="AA32" s="1656">
        <f t="shared" si="3"/>
        <v>1</v>
      </c>
      <c r="AB32" s="1656">
        <f t="shared" si="4"/>
        <v>1</v>
      </c>
      <c r="AC32" s="1656">
        <f t="shared" si="5"/>
        <v>1</v>
      </c>
    </row>
    <row r="33" spans="1:29" s="1699" customFormat="1" ht="15">
      <c r="A33" s="1692"/>
      <c r="B33" s="1623" t="s">
        <v>2037</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14"/>
      <c r="Q33" s="1694" t="str">
        <f t="shared" si="11"/>
        <v>项目建筑规模</v>
      </c>
      <c r="R33" s="1695" t="s">
        <v>28</v>
      </c>
      <c r="S33" s="1696" t="e">
        <f t="shared" si="12"/>
        <v>#N/A</v>
      </c>
      <c r="T33" s="1695" t="s">
        <v>28</v>
      </c>
      <c r="U33" s="1696" t="e">
        <f t="shared" si="13"/>
        <v>#N/A</v>
      </c>
      <c r="V33" s="1695" t="s">
        <v>28</v>
      </c>
      <c r="W33" s="1696" t="e">
        <f t="shared" si="14"/>
        <v>#N/A</v>
      </c>
      <c r="X33" s="1697"/>
      <c r="Y33" s="3616"/>
      <c r="Z33" s="1698" t="str">
        <f t="shared" si="15"/>
        <v>项目建筑规模</v>
      </c>
      <c r="AA33" s="1656" t="e">
        <f t="shared" si="3"/>
        <v>#N/A</v>
      </c>
      <c r="AB33" s="1656" t="e">
        <f t="shared" si="4"/>
        <v>#N/A</v>
      </c>
      <c r="AC33" s="1656" t="e">
        <f t="shared" si="5"/>
        <v>#N/A</v>
      </c>
    </row>
    <row r="34" spans="1:29" ht="15">
      <c r="A34" s="1700"/>
      <c r="B34" s="1623" t="s">
        <v>2038</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14"/>
      <c r="Q34" s="1543" t="str">
        <f t="shared" si="11"/>
        <v>建筑结构</v>
      </c>
      <c r="R34" s="1653" t="s">
        <v>28</v>
      </c>
      <c r="S34" s="1654">
        <f t="shared" si="12"/>
        <v>100</v>
      </c>
      <c r="T34" s="1653" t="s">
        <v>28</v>
      </c>
      <c r="U34" s="1654">
        <f t="shared" si="13"/>
        <v>100</v>
      </c>
      <c r="V34" s="1653" t="s">
        <v>28</v>
      </c>
      <c r="W34" s="1654">
        <f t="shared" si="14"/>
        <v>100</v>
      </c>
      <c r="X34" s="1593"/>
      <c r="Y34" s="3616"/>
      <c r="Z34" s="1655" t="str">
        <f t="shared" si="15"/>
        <v>建筑结构</v>
      </c>
      <c r="AA34" s="1656">
        <f t="shared" si="3"/>
        <v>1</v>
      </c>
      <c r="AB34" s="1656">
        <f t="shared" si="4"/>
        <v>1</v>
      </c>
      <c r="AC34" s="1656">
        <f t="shared" si="5"/>
        <v>1</v>
      </c>
    </row>
    <row r="35" spans="1:29" ht="15">
      <c r="A35" s="1700"/>
      <c r="B35" s="1623" t="s">
        <v>2039</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14"/>
      <c r="Q35" s="1543" t="str">
        <f t="shared" si="11"/>
        <v>建筑品质</v>
      </c>
      <c r="R35" s="1653" t="s">
        <v>28</v>
      </c>
      <c r="S35" s="1654">
        <f t="shared" si="12"/>
        <v>100</v>
      </c>
      <c r="T35" s="1653" t="s">
        <v>28</v>
      </c>
      <c r="U35" s="1654">
        <f t="shared" si="13"/>
        <v>100</v>
      </c>
      <c r="V35" s="1653" t="s">
        <v>28</v>
      </c>
      <c r="W35" s="1654">
        <f t="shared" si="14"/>
        <v>100</v>
      </c>
      <c r="X35" s="1593"/>
      <c r="Y35" s="3616"/>
      <c r="Z35" s="1655" t="str">
        <f t="shared" si="15"/>
        <v>建筑品质</v>
      </c>
      <c r="AA35" s="1656">
        <f t="shared" si="3"/>
        <v>1</v>
      </c>
      <c r="AB35" s="1656">
        <f t="shared" si="4"/>
        <v>1</v>
      </c>
      <c r="AC35" s="1656">
        <f t="shared" si="5"/>
        <v>1</v>
      </c>
    </row>
    <row r="36" spans="1:29" ht="15">
      <c r="A36" s="1700"/>
      <c r="B36" s="1623" t="s">
        <v>2040</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14"/>
      <c r="Q36" s="1543" t="str">
        <f t="shared" si="11"/>
        <v>公共部分装修</v>
      </c>
      <c r="R36" s="1653" t="s">
        <v>28</v>
      </c>
      <c r="S36" s="1654">
        <f t="shared" si="12"/>
        <v>100</v>
      </c>
      <c r="T36" s="1653" t="s">
        <v>28</v>
      </c>
      <c r="U36" s="1654">
        <f t="shared" si="13"/>
        <v>100</v>
      </c>
      <c r="V36" s="1653" t="s">
        <v>28</v>
      </c>
      <c r="W36" s="1654">
        <f t="shared" si="14"/>
        <v>100</v>
      </c>
      <c r="X36" s="1593"/>
      <c r="Y36" s="3616"/>
      <c r="Z36" s="1655" t="str">
        <f t="shared" si="15"/>
        <v>公共部分装修</v>
      </c>
      <c r="AA36" s="1656">
        <f t="shared" si="3"/>
        <v>1</v>
      </c>
      <c r="AB36" s="1656">
        <f t="shared" si="4"/>
        <v>1</v>
      </c>
      <c r="AC36" s="1656">
        <f t="shared" si="5"/>
        <v>1</v>
      </c>
    </row>
    <row r="37" spans="1:29" s="1612" customFormat="1" ht="15">
      <c r="A37" s="1703"/>
      <c r="B37" s="1623" t="s">
        <v>2041</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14"/>
      <c r="Q37" s="1562" t="str">
        <f t="shared" si="11"/>
        <v>成新度</v>
      </c>
      <c r="R37" s="1608" t="s">
        <v>28</v>
      </c>
      <c r="S37" s="1609" t="e">
        <f t="shared" si="12"/>
        <v>#N/A</v>
      </c>
      <c r="T37" s="1608" t="s">
        <v>28</v>
      </c>
      <c r="U37" s="1609" t="e">
        <f t="shared" si="13"/>
        <v>#N/A</v>
      </c>
      <c r="V37" s="1608" t="s">
        <v>28</v>
      </c>
      <c r="W37" s="1609" t="e">
        <f t="shared" si="14"/>
        <v>#N/A</v>
      </c>
      <c r="X37" s="1610"/>
      <c r="Y37" s="3616"/>
      <c r="Z37" s="1621" t="str">
        <f t="shared" si="15"/>
        <v>成新度</v>
      </c>
      <c r="AA37" s="1611" t="e">
        <f t="shared" si="3"/>
        <v>#N/A</v>
      </c>
      <c r="AB37" s="1611" t="e">
        <f t="shared" si="4"/>
        <v>#N/A</v>
      </c>
      <c r="AC37" s="1611" t="e">
        <f t="shared" si="5"/>
        <v>#N/A</v>
      </c>
    </row>
    <row r="38" spans="1:29" ht="15">
      <c r="A38" s="1700"/>
      <c r="B38" s="1623" t="s">
        <v>2042</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14" t="s">
        <v>2036</v>
      </c>
      <c r="Q38" s="1543" t="str">
        <f t="shared" si="11"/>
        <v>物业管理</v>
      </c>
      <c r="R38" s="1653" t="s">
        <v>28</v>
      </c>
      <c r="S38" s="1654">
        <f t="shared" si="12"/>
        <v>100</v>
      </c>
      <c r="T38" s="1653" t="s">
        <v>28</v>
      </c>
      <c r="U38" s="1654">
        <f t="shared" si="13"/>
        <v>100</v>
      </c>
      <c r="V38" s="1653" t="s">
        <v>28</v>
      </c>
      <c r="W38" s="1654">
        <f t="shared" si="14"/>
        <v>100</v>
      </c>
      <c r="X38" s="1593"/>
      <c r="Y38" s="3616" t="s">
        <v>2036</v>
      </c>
      <c r="Z38" s="1655" t="str">
        <f t="shared" si="15"/>
        <v>物业管理</v>
      </c>
      <c r="AA38" s="1656">
        <f t="shared" si="3"/>
        <v>1</v>
      </c>
      <c r="AB38" s="1656">
        <f t="shared" si="4"/>
        <v>1</v>
      </c>
      <c r="AC38" s="1656">
        <f t="shared" si="5"/>
        <v>1</v>
      </c>
    </row>
    <row r="39" spans="1:29" ht="15">
      <c r="A39" s="1700"/>
      <c r="B39" s="1623" t="s">
        <v>2043</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14"/>
      <c r="Q39" s="1543" t="str">
        <f t="shared" si="11"/>
        <v>市政基础设施</v>
      </c>
      <c r="R39" s="1653" t="s">
        <v>28</v>
      </c>
      <c r="S39" s="1654">
        <f t="shared" si="12"/>
        <v>100</v>
      </c>
      <c r="T39" s="1653" t="s">
        <v>28</v>
      </c>
      <c r="U39" s="1654">
        <f t="shared" si="13"/>
        <v>100</v>
      </c>
      <c r="V39" s="1653" t="s">
        <v>28</v>
      </c>
      <c r="W39" s="1654">
        <f t="shared" si="14"/>
        <v>100</v>
      </c>
      <c r="X39" s="1593"/>
      <c r="Y39" s="3616"/>
      <c r="Z39" s="1655" t="str">
        <f t="shared" si="15"/>
        <v>市政基础设施</v>
      </c>
      <c r="AA39" s="1656">
        <f t="shared" si="3"/>
        <v>1</v>
      </c>
      <c r="AB39" s="1656">
        <f t="shared" si="4"/>
        <v>1</v>
      </c>
      <c r="AC39" s="1656">
        <f t="shared" si="5"/>
        <v>1</v>
      </c>
    </row>
    <row r="40" spans="1:29" ht="15">
      <c r="A40" s="1700"/>
      <c r="B40" s="1623" t="s">
        <v>2044</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14"/>
      <c r="Q40" s="1543" t="str">
        <f t="shared" si="11"/>
        <v>房型</v>
      </c>
      <c r="R40" s="1653" t="s">
        <v>28</v>
      </c>
      <c r="S40" s="1654">
        <f t="shared" si="12"/>
        <v>100</v>
      </c>
      <c r="T40" s="1653" t="s">
        <v>28</v>
      </c>
      <c r="U40" s="1654">
        <f t="shared" si="13"/>
        <v>100</v>
      </c>
      <c r="V40" s="1653" t="s">
        <v>28</v>
      </c>
      <c r="W40" s="1654">
        <f t="shared" si="14"/>
        <v>100</v>
      </c>
      <c r="X40" s="1593"/>
      <c r="Y40" s="3616"/>
      <c r="Z40" s="1655" t="str">
        <f t="shared" si="15"/>
        <v>房型</v>
      </c>
      <c r="AA40" s="1656">
        <f t="shared" si="3"/>
        <v>1</v>
      </c>
      <c r="AB40" s="1656">
        <f t="shared" si="4"/>
        <v>1</v>
      </c>
      <c r="AC40" s="1656">
        <f t="shared" si="5"/>
        <v>1</v>
      </c>
    </row>
    <row r="41" spans="1:29" s="1699" customFormat="1" ht="28.5">
      <c r="A41" s="1692"/>
      <c r="B41" s="1623" t="s">
        <v>2045</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14"/>
      <c r="Q41" s="1694" t="str">
        <f t="shared" si="11"/>
        <v>单套/主力户型建筑面积</v>
      </c>
      <c r="R41" s="1695" t="s">
        <v>28</v>
      </c>
      <c r="S41" s="1696">
        <f t="shared" si="12"/>
        <v>100</v>
      </c>
      <c r="T41" s="1695" t="s">
        <v>28</v>
      </c>
      <c r="U41" s="1696">
        <f t="shared" si="13"/>
        <v>100</v>
      </c>
      <c r="V41" s="1695" t="s">
        <v>28</v>
      </c>
      <c r="W41" s="1696">
        <f t="shared" si="14"/>
        <v>100</v>
      </c>
      <c r="X41" s="1697"/>
      <c r="Y41" s="3616"/>
      <c r="Z41" s="1698" t="str">
        <f t="shared" si="15"/>
        <v>单套/主力户型建筑面积</v>
      </c>
      <c r="AA41" s="1656">
        <f t="shared" si="3"/>
        <v>1</v>
      </c>
      <c r="AB41" s="1656">
        <f t="shared" si="4"/>
        <v>1</v>
      </c>
      <c r="AC41" s="1656">
        <f t="shared" si="5"/>
        <v>1</v>
      </c>
    </row>
    <row r="42" spans="1:29" ht="15">
      <c r="A42" s="1700"/>
      <c r="B42" s="1623" t="s">
        <v>2046</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14"/>
      <c r="Q42" s="1543" t="str">
        <f t="shared" si="11"/>
        <v>内部装修</v>
      </c>
      <c r="R42" s="1653" t="s">
        <v>28</v>
      </c>
      <c r="S42" s="1654">
        <f t="shared" si="12"/>
        <v>100</v>
      </c>
      <c r="T42" s="1653" t="s">
        <v>28</v>
      </c>
      <c r="U42" s="1654">
        <f t="shared" si="13"/>
        <v>100</v>
      </c>
      <c r="V42" s="1653" t="s">
        <v>28</v>
      </c>
      <c r="W42" s="1654">
        <f t="shared" si="14"/>
        <v>100</v>
      </c>
      <c r="X42" s="1593"/>
      <c r="Y42" s="3616"/>
      <c r="Z42" s="1655" t="str">
        <f t="shared" si="15"/>
        <v>内部装修</v>
      </c>
      <c r="AA42" s="1656">
        <f t="shared" si="3"/>
        <v>1</v>
      </c>
      <c r="AB42" s="1656">
        <f t="shared" si="4"/>
        <v>1</v>
      </c>
      <c r="AC42" s="1656">
        <f t="shared" si="5"/>
        <v>1</v>
      </c>
    </row>
    <row r="43" spans="1:29" ht="15">
      <c r="A43" s="1700"/>
      <c r="B43" s="1623" t="s">
        <v>2047</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14"/>
      <c r="Q43" s="1543" t="str">
        <f t="shared" si="11"/>
        <v>内部装修维护情况</v>
      </c>
      <c r="R43" s="1653" t="s">
        <v>28</v>
      </c>
      <c r="S43" s="1654">
        <f t="shared" si="12"/>
        <v>100</v>
      </c>
      <c r="T43" s="1653" t="s">
        <v>28</v>
      </c>
      <c r="U43" s="1654">
        <f t="shared" si="13"/>
        <v>100</v>
      </c>
      <c r="V43" s="1653" t="s">
        <v>28</v>
      </c>
      <c r="W43" s="1654">
        <f t="shared" si="14"/>
        <v>100</v>
      </c>
      <c r="X43" s="1593"/>
      <c r="Y43" s="3616"/>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14"/>
      <c r="Q44" s="1562">
        <f t="shared" si="11"/>
        <v>111</v>
      </c>
      <c r="R44" s="1608" t="s">
        <v>28</v>
      </c>
      <c r="S44" s="1609">
        <f t="shared" si="12"/>
        <v>100</v>
      </c>
      <c r="T44" s="1608" t="s">
        <v>28</v>
      </c>
      <c r="U44" s="1609">
        <f t="shared" si="13"/>
        <v>100</v>
      </c>
      <c r="V44" s="1608" t="s">
        <v>28</v>
      </c>
      <c r="W44" s="1609">
        <f t="shared" si="14"/>
        <v>100</v>
      </c>
      <c r="X44" s="1610"/>
      <c r="Y44" s="361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14"/>
      <c r="Q45" s="1543">
        <f t="shared" si="11"/>
        <v>111</v>
      </c>
      <c r="R45" s="1653" t="s">
        <v>28</v>
      </c>
      <c r="S45" s="1654">
        <f t="shared" si="12"/>
        <v>100</v>
      </c>
      <c r="T45" s="1653" t="s">
        <v>28</v>
      </c>
      <c r="U45" s="1654">
        <f t="shared" si="13"/>
        <v>100</v>
      </c>
      <c r="V45" s="1653" t="s">
        <v>28</v>
      </c>
      <c r="W45" s="1654">
        <f t="shared" si="14"/>
        <v>100</v>
      </c>
      <c r="X45" s="1593"/>
      <c r="Y45" s="3616"/>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15"/>
      <c r="Q46" s="1543">
        <f t="shared" si="11"/>
        <v>111</v>
      </c>
      <c r="R46" s="1653" t="s">
        <v>27</v>
      </c>
      <c r="S46" s="1654">
        <f t="shared" si="12"/>
        <v>100</v>
      </c>
      <c r="T46" s="1653" t="s">
        <v>27</v>
      </c>
      <c r="U46" s="1654">
        <f t="shared" si="13"/>
        <v>100</v>
      </c>
      <c r="V46" s="1653" t="s">
        <v>27</v>
      </c>
      <c r="W46" s="1654">
        <f t="shared" si="14"/>
        <v>100</v>
      </c>
      <c r="X46" s="1593"/>
      <c r="Y46" s="3617"/>
      <c r="Z46" s="1655">
        <f t="shared" si="15"/>
        <v>111</v>
      </c>
      <c r="AA46" s="1656">
        <f t="shared" si="3"/>
        <v>1</v>
      </c>
      <c r="AB46" s="1656">
        <f t="shared" si="4"/>
        <v>1</v>
      </c>
      <c r="AC46" s="1656">
        <f t="shared" si="5"/>
        <v>1</v>
      </c>
    </row>
    <row r="47" spans="1:29" ht="15">
      <c r="A47" s="1709" t="s">
        <v>2048</v>
      </c>
      <c r="B47" s="1710"/>
      <c r="C47" s="1711" t="s">
        <v>26</v>
      </c>
      <c r="D47" s="1712"/>
      <c r="E47" s="1713"/>
      <c r="F47" s="1714"/>
      <c r="G47" s="1715"/>
      <c r="H47" s="1716"/>
      <c r="I47" s="1713"/>
      <c r="J47" s="1716"/>
      <c r="K47" s="1717"/>
      <c r="L47" s="2920"/>
      <c r="N47" s="2915"/>
      <c r="P47" s="3622" t="str">
        <f>A47</f>
        <v>成交单价（元/平方米）</v>
      </c>
      <c r="Q47" s="3622"/>
      <c r="R47" s="3623">
        <f>E47</f>
        <v>0</v>
      </c>
      <c r="S47" s="3623"/>
      <c r="T47" s="3623">
        <f>G47</f>
        <v>0</v>
      </c>
      <c r="U47" s="3623"/>
      <c r="V47" s="3623">
        <f>I47</f>
        <v>0</v>
      </c>
      <c r="W47" s="3623"/>
      <c r="X47" s="1719"/>
      <c r="Y47" s="1720"/>
      <c r="Z47" s="1719"/>
      <c r="AA47" s="1719"/>
      <c r="AB47" s="1719"/>
      <c r="AC47" s="1719"/>
    </row>
    <row r="48" spans="1:29" ht="15.75" thickBot="1">
      <c r="A48" s="1721" t="s">
        <v>2049</v>
      </c>
      <c r="B48" s="1722"/>
      <c r="C48" s="1723" t="e">
        <f>R49</f>
        <v>#DIV/0!</v>
      </c>
      <c r="D48" s="1724" t="s">
        <v>2502</v>
      </c>
      <c r="E48" s="1725" t="e">
        <f>R48</f>
        <v>#DIV/0!</v>
      </c>
      <c r="F48" s="1726"/>
      <c r="G48" s="1723" t="e">
        <f>T48</f>
        <v>#DIV/0!</v>
      </c>
      <c r="H48" s="1726"/>
      <c r="I48" s="1725" t="e">
        <f>V48</f>
        <v>#DIV/0!</v>
      </c>
      <c r="J48" s="1726"/>
      <c r="K48" s="2429">
        <f>F48+H48+J48</f>
        <v>0</v>
      </c>
      <c r="L48" s="2920"/>
      <c r="P48" s="3622" t="str">
        <f>A48</f>
        <v>比较价值（元/平方米）</v>
      </c>
      <c r="Q48" s="3622"/>
      <c r="R48" s="3623" t="e">
        <f>IF(E1="售价",ROUND(PRODUCT(R47,AA7:AA46),0),ROUND(PRODUCT(R47,AA7:AA46),1))</f>
        <v>#DIV/0!</v>
      </c>
      <c r="S48" s="3623"/>
      <c r="T48" s="3626" t="e">
        <f>IF(E1="售价",ROUND(PRODUCT(T47,AB7:AB46),0),ROUND(PRODUCT(T47,AB7:AB46),1))</f>
        <v>#DIV/0!</v>
      </c>
      <c r="U48" s="3627"/>
      <c r="V48" s="3623" t="e">
        <f>IF(E1="售价",ROUND(PRODUCT(V47,AC7:AC46),0),ROUND(PRODUCT(V47,AC7:AC46),1))</f>
        <v>#DIV/0!</v>
      </c>
      <c r="W48" s="3623"/>
      <c r="X48" s="1719"/>
      <c r="Y48" s="1719"/>
      <c r="Z48" s="1719"/>
      <c r="AA48" s="1719"/>
      <c r="AB48" s="1719"/>
      <c r="AC48" s="1719"/>
    </row>
    <row r="49" spans="1:29" ht="15.75" thickBot="1">
      <c r="A49" s="1727" t="s">
        <v>2050</v>
      </c>
      <c r="B49" s="1728"/>
      <c r="C49" s="1729" t="e">
        <f>R49</f>
        <v>#DIV/0!</v>
      </c>
      <c r="D49" s="1730"/>
      <c r="E49" s="1730"/>
      <c r="F49" s="1730"/>
      <c r="G49" s="1730"/>
      <c r="H49" s="1730"/>
      <c r="I49" s="1730"/>
      <c r="J49" s="1730"/>
      <c r="K49" s="1731"/>
      <c r="L49" s="2920"/>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19"/>
      <c r="Y49" s="1719"/>
      <c r="Z49" s="1719"/>
      <c r="AA49" s="1719"/>
      <c r="AB49" s="1719"/>
      <c r="AC49" s="1719"/>
    </row>
    <row r="50" spans="1:29">
      <c r="G50" s="2924"/>
    </row>
    <row r="52" spans="1:29" ht="13.5" customHeight="1">
      <c r="C52" s="383" t="s">
        <v>2051</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2052</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2053</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2054</v>
      </c>
      <c r="B57" s="1719"/>
      <c r="C57" s="1745"/>
      <c r="D57" s="1745"/>
      <c r="E57" s="1745"/>
      <c r="F57" s="1745"/>
      <c r="G57" s="1745"/>
      <c r="H57" s="1745"/>
      <c r="I57" s="1745"/>
      <c r="J57" s="1745"/>
      <c r="K57" s="1746"/>
      <c r="L57" s="2922"/>
      <c r="M57" s="2923"/>
      <c r="N57" s="2923"/>
      <c r="O57" s="2923"/>
      <c r="P57" s="1748"/>
      <c r="Q57" s="1749"/>
    </row>
    <row r="58" spans="1:29" s="1755" customFormat="1" ht="15">
      <c r="A58" s="1750" t="s">
        <v>2055</v>
      </c>
      <c r="B58" s="1751"/>
      <c r="C58" s="1752" t="str">
        <f>YEAR(C7)&amp;"-"&amp;MONTH(C7)</f>
        <v>2022-8</v>
      </c>
      <c r="D58" s="1753">
        <f>EDATE(C58,-1)</f>
        <v>44743</v>
      </c>
      <c r="E58" s="1753">
        <f t="shared" ref="E58:O58" si="16">EDATE(D58,-1)</f>
        <v>44713</v>
      </c>
      <c r="F58" s="1753">
        <f t="shared" si="16"/>
        <v>44682</v>
      </c>
      <c r="G58" s="1753">
        <f t="shared" si="16"/>
        <v>44652</v>
      </c>
      <c r="H58" s="1753">
        <f t="shared" si="16"/>
        <v>44621</v>
      </c>
      <c r="I58" s="1753">
        <f t="shared" si="16"/>
        <v>44593</v>
      </c>
      <c r="J58" s="1753">
        <f t="shared" si="16"/>
        <v>44562</v>
      </c>
      <c r="K58" s="1753">
        <f t="shared" si="16"/>
        <v>44531</v>
      </c>
      <c r="L58" s="1753">
        <f t="shared" si="16"/>
        <v>44501</v>
      </c>
      <c r="M58" s="1753">
        <f t="shared" si="16"/>
        <v>44470</v>
      </c>
      <c r="N58" s="1753">
        <f t="shared" si="16"/>
        <v>44440</v>
      </c>
      <c r="O58" s="1753">
        <f t="shared" si="16"/>
        <v>44409</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2056</v>
      </c>
      <c r="B60" s="1763"/>
      <c r="C60" s="1764"/>
      <c r="D60" s="1765"/>
      <c r="E60" s="1765"/>
      <c r="F60" s="1765"/>
      <c r="G60" s="1765"/>
      <c r="H60" s="1765"/>
      <c r="I60" s="1765"/>
      <c r="J60" s="1765"/>
      <c r="K60" s="1765"/>
      <c r="L60" s="1765"/>
      <c r="M60" s="1766"/>
      <c r="N60" s="1765"/>
      <c r="O60" s="1766"/>
      <c r="P60" s="1761"/>
      <c r="Q60" s="1749"/>
    </row>
    <row r="61" spans="1:29" s="1612" customFormat="1" ht="15">
      <c r="A61" s="1767" t="s">
        <v>2057</v>
      </c>
      <c r="B61" s="1757"/>
      <c r="C61" s="1768" t="s">
        <v>2058</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2059</v>
      </c>
      <c r="B63" s="1775" t="s">
        <v>2024</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2027</v>
      </c>
      <c r="C65" s="1787" t="s">
        <v>2060</v>
      </c>
      <c r="D65" s="1787" t="s">
        <v>2061</v>
      </c>
      <c r="E65" s="1787" t="s">
        <v>2062</v>
      </c>
      <c r="F65" s="1787" t="s">
        <v>2063</v>
      </c>
      <c r="G65" s="1787" t="s">
        <v>2064</v>
      </c>
      <c r="H65" s="1787" t="s">
        <v>2065</v>
      </c>
      <c r="I65" s="1787" t="s">
        <v>2066</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2028</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2029</v>
      </c>
      <c r="B76" s="1775" t="s">
        <v>2067</v>
      </c>
      <c r="C76" s="1813" t="s">
        <v>2068</v>
      </c>
      <c r="D76" s="1813" t="s">
        <v>2069</v>
      </c>
      <c r="E76" s="1813" t="s">
        <v>2070</v>
      </c>
      <c r="F76" s="1813" t="s">
        <v>2071</v>
      </c>
      <c r="G76" s="1813" t="s">
        <v>2072</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2073</v>
      </c>
      <c r="C78" s="579" t="s">
        <v>2068</v>
      </c>
      <c r="D78" s="579" t="s">
        <v>2069</v>
      </c>
      <c r="E78" s="579" t="s">
        <v>2070</v>
      </c>
      <c r="F78" s="579" t="s">
        <v>2071</v>
      </c>
      <c r="G78" s="579" t="s">
        <v>2072</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2074</v>
      </c>
      <c r="C80" s="579" t="s">
        <v>2068</v>
      </c>
      <c r="D80" s="579" t="s">
        <v>2069</v>
      </c>
      <c r="E80" s="579" t="s">
        <v>2070</v>
      </c>
      <c r="F80" s="579" t="s">
        <v>2071</v>
      </c>
      <c r="G80" s="579" t="s">
        <v>2072</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2075</v>
      </c>
      <c r="D82" s="1787" t="s">
        <v>2076</v>
      </c>
      <c r="E82" s="1787" t="s">
        <v>2077</v>
      </c>
      <c r="F82" s="1787" t="s">
        <v>2078</v>
      </c>
      <c r="G82" s="1787" t="s">
        <v>2079</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2080</v>
      </c>
      <c r="C84" s="579" t="s">
        <v>2068</v>
      </c>
      <c r="D84" s="579" t="s">
        <v>2069</v>
      </c>
      <c r="E84" s="579" t="s">
        <v>2070</v>
      </c>
      <c r="F84" s="579" t="s">
        <v>2071</v>
      </c>
      <c r="G84" s="579" t="s">
        <v>2072</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2081</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2082</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2034</v>
      </c>
      <c r="B100" s="1775" t="s">
        <v>2083</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2085</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2086</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2087</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2089</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2090</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2091</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2045</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2092</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2093</v>
      </c>
      <c r="C124" s="579" t="s">
        <v>2068</v>
      </c>
      <c r="D124" s="579" t="s">
        <v>2069</v>
      </c>
      <c r="E124" s="579" t="s">
        <v>2070</v>
      </c>
      <c r="F124" s="579" t="s">
        <v>2071</v>
      </c>
      <c r="G124" s="579" t="s">
        <v>2072</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2094</v>
      </c>
    </row>
    <row r="137" spans="1:17" ht="15">
      <c r="B137" s="1839" t="s">
        <v>2095</v>
      </c>
      <c r="C137" s="1840"/>
      <c r="D137" s="1840"/>
      <c r="E137" s="1840"/>
      <c r="F137" s="1840"/>
      <c r="G137" s="1841"/>
      <c r="H137" s="1842"/>
      <c r="I137" s="1843" t="s">
        <v>2096</v>
      </c>
      <c r="J137" s="1840"/>
      <c r="K137" s="1844"/>
    </row>
    <row r="138" spans="1:17" ht="15">
      <c r="B138" s="1845"/>
      <c r="C138" s="1846" t="s">
        <v>2097</v>
      </c>
      <c r="D138" s="1846" t="s">
        <v>2098</v>
      </c>
      <c r="E138" s="1847" t="s">
        <v>2099</v>
      </c>
      <c r="F138" s="1848" t="s">
        <v>2100</v>
      </c>
      <c r="G138" s="1846" t="s">
        <v>2098</v>
      </c>
      <c r="H138" s="1849" t="s">
        <v>2099</v>
      </c>
      <c r="I138" s="1850"/>
      <c r="J138" s="1846" t="s">
        <v>2101</v>
      </c>
      <c r="K138" s="1849" t="s">
        <v>2102</v>
      </c>
    </row>
    <row r="139" spans="1:17" ht="15">
      <c r="B139" s="1851">
        <v>6</v>
      </c>
      <c r="C139" s="1852">
        <v>96</v>
      </c>
      <c r="D139" s="1853" t="s">
        <v>2103</v>
      </c>
      <c r="E139" s="1854">
        <v>100</v>
      </c>
      <c r="F139" s="1855">
        <v>102.5</v>
      </c>
      <c r="G139" s="1853" t="s">
        <v>2103</v>
      </c>
      <c r="H139" s="1856">
        <v>105</v>
      </c>
      <c r="I139" s="1857" t="s">
        <v>2104</v>
      </c>
      <c r="J139" s="1852">
        <v>20</v>
      </c>
      <c r="K139" s="1858">
        <f>C145/(J139-2)</f>
        <v>4.0555555555555553E-3</v>
      </c>
    </row>
    <row r="140" spans="1:17" ht="15">
      <c r="B140" s="1859">
        <v>5</v>
      </c>
      <c r="C140" s="1860">
        <v>100</v>
      </c>
      <c r="D140" s="1860"/>
      <c r="E140" s="1861"/>
      <c r="F140" s="1862">
        <v>102</v>
      </c>
      <c r="G140" s="1860"/>
      <c r="H140" s="1863"/>
      <c r="I140" s="1864" t="s">
        <v>2105</v>
      </c>
      <c r="J140" s="1865">
        <f>ROUNDUP((J139-1)/2,0)</f>
        <v>10</v>
      </c>
      <c r="K140" s="1866">
        <v>100</v>
      </c>
    </row>
    <row r="141" spans="1:17" ht="15">
      <c r="B141" s="1859">
        <v>4</v>
      </c>
      <c r="C141" s="1860">
        <v>102</v>
      </c>
      <c r="D141" s="1860"/>
      <c r="E141" s="1861"/>
      <c r="F141" s="1862">
        <v>101.5</v>
      </c>
      <c r="G141" s="1860"/>
      <c r="H141" s="1863"/>
      <c r="I141" s="1864" t="s">
        <v>2106</v>
      </c>
      <c r="J141" s="1865">
        <v>1</v>
      </c>
      <c r="K141" s="1867">
        <f>ROUND(100+(J141-J140)*K139*100,1)</f>
        <v>96.4</v>
      </c>
    </row>
    <row r="142" spans="1:17" ht="15">
      <c r="B142" s="1859">
        <v>3</v>
      </c>
      <c r="C142" s="1860">
        <v>103</v>
      </c>
      <c r="D142" s="1860"/>
      <c r="E142" s="1861"/>
      <c r="F142" s="1862">
        <v>101</v>
      </c>
      <c r="G142" s="1860"/>
      <c r="H142" s="1863"/>
      <c r="I142" s="1864" t="s">
        <v>2107</v>
      </c>
      <c r="J142" s="1865">
        <f>J139</f>
        <v>20</v>
      </c>
      <c r="K142" s="1868">
        <v>95</v>
      </c>
    </row>
    <row r="143" spans="1:17" ht="15">
      <c r="B143" s="1859">
        <v>2</v>
      </c>
      <c r="C143" s="1860">
        <v>100</v>
      </c>
      <c r="D143" s="1860"/>
      <c r="E143" s="1861"/>
      <c r="F143" s="1862">
        <v>100.5</v>
      </c>
      <c r="G143" s="1860"/>
      <c r="H143" s="1863"/>
      <c r="I143" s="1864" t="s">
        <v>2108</v>
      </c>
      <c r="J143" s="1860">
        <v>15</v>
      </c>
      <c r="K143" s="1867">
        <f>ROUND(100+(J143-J140)*K139*100,1)</f>
        <v>102</v>
      </c>
    </row>
    <row r="144" spans="1:17" ht="15">
      <c r="B144" s="1859">
        <v>1</v>
      </c>
      <c r="C144" s="1860">
        <v>98</v>
      </c>
      <c r="D144" s="1347" t="s">
        <v>2109</v>
      </c>
      <c r="E144" s="1861">
        <v>102</v>
      </c>
      <c r="F144" s="1869">
        <v>100</v>
      </c>
      <c r="G144" s="1347" t="s">
        <v>2109</v>
      </c>
      <c r="H144" s="1863">
        <v>105</v>
      </c>
      <c r="I144" s="1864" t="s">
        <v>2108</v>
      </c>
      <c r="J144" s="1860">
        <v>18</v>
      </c>
      <c r="K144" s="1867">
        <f>ROUND(100+(J144-J140)*K139*100,1)</f>
        <v>103.2</v>
      </c>
    </row>
    <row r="145" spans="2:11" ht="15.75" thickBot="1">
      <c r="B145" s="1870" t="s">
        <v>2110</v>
      </c>
      <c r="C145" s="1871">
        <f>ROUND(MAX(C139:C144)/MIN(C139:C144)-1,3)</f>
        <v>7.2999999999999995E-2</v>
      </c>
      <c r="D145" s="1872"/>
      <c r="E145" s="1872"/>
      <c r="F145" s="1501" t="s">
        <v>2111</v>
      </c>
      <c r="G145" s="1873"/>
      <c r="H145" s="1874"/>
      <c r="I145" s="1875" t="s">
        <v>2108</v>
      </c>
      <c r="J145" s="1876">
        <v>8</v>
      </c>
      <c r="K145" s="1877">
        <f>ROUND(100+(J145-J140)*K139*100,1)</f>
        <v>99.2</v>
      </c>
    </row>
    <row r="147" spans="2:11">
      <c r="B147" s="1500" t="s">
        <v>2112</v>
      </c>
    </row>
    <row r="148" spans="2:11">
      <c r="B148" s="1500"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2001</v>
      </c>
      <c r="B1" s="1565" t="s">
        <v>2114</v>
      </c>
      <c r="C1" s="1566"/>
      <c r="D1" s="2387"/>
      <c r="E1" s="1568"/>
      <c r="F1" s="1569" t="s">
        <v>2003</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2004</v>
      </c>
      <c r="D3" s="1587">
        <f>IF(C1="仅计算典型户型",'数据-取费表'!E5,'数据-取费表'!B5)</f>
        <v>2380.7600000000002</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2005</v>
      </c>
      <c r="B4" s="1591"/>
      <c r="C4" s="3586" t="s">
        <v>2006</v>
      </c>
      <c r="D4" s="3587"/>
      <c r="E4" s="3588" t="s">
        <v>2007</v>
      </c>
      <c r="F4" s="3589"/>
      <c r="G4" s="3586" t="s">
        <v>2008</v>
      </c>
      <c r="H4" s="3587"/>
      <c r="I4" s="3586" t="s">
        <v>2009</v>
      </c>
      <c r="J4" s="3587"/>
      <c r="K4" s="1893" t="s">
        <v>2010</v>
      </c>
      <c r="L4" s="2914"/>
      <c r="M4" s="2915"/>
      <c r="N4" s="2915"/>
      <c r="O4" s="2915"/>
      <c r="P4" s="3590" t="s">
        <v>2011</v>
      </c>
      <c r="Q4" s="3591"/>
      <c r="R4" s="3596" t="s">
        <v>2007</v>
      </c>
      <c r="S4" s="3597"/>
      <c r="T4" s="3596" t="s">
        <v>2008</v>
      </c>
      <c r="U4" s="3597"/>
      <c r="V4" s="3602" t="s">
        <v>2009</v>
      </c>
      <c r="W4" s="3602"/>
      <c r="X4" s="2002"/>
      <c r="Y4" s="3596" t="s">
        <v>2011</v>
      </c>
      <c r="Z4" s="3597"/>
      <c r="AA4" s="3583" t="s">
        <v>2007</v>
      </c>
      <c r="AB4" s="3602" t="s">
        <v>2008</v>
      </c>
      <c r="AC4" s="3583" t="s">
        <v>2009</v>
      </c>
    </row>
    <row r="5" spans="1:29" ht="15">
      <c r="A5" s="1595"/>
      <c r="B5" s="1596"/>
      <c r="C5" s="3605" t="s">
        <v>2012</v>
      </c>
      <c r="D5" s="3606"/>
      <c r="E5" s="3603" t="s">
        <v>2013</v>
      </c>
      <c r="F5" s="3604"/>
      <c r="G5" s="3605" t="s">
        <v>2014</v>
      </c>
      <c r="H5" s="3606"/>
      <c r="I5" s="3605" t="s">
        <v>2015</v>
      </c>
      <c r="J5" s="3606"/>
      <c r="K5" s="1893"/>
      <c r="L5" s="2914"/>
      <c r="M5" s="2915"/>
      <c r="N5" s="2915"/>
      <c r="O5" s="2915"/>
      <c r="P5" s="3592"/>
      <c r="Q5" s="3593"/>
      <c r="R5" s="3598"/>
      <c r="S5" s="3599"/>
      <c r="T5" s="3598"/>
      <c r="U5" s="3599"/>
      <c r="V5" s="3602"/>
      <c r="W5" s="3602"/>
      <c r="X5" s="2002"/>
      <c r="Y5" s="3598"/>
      <c r="Z5" s="3599"/>
      <c r="AA5" s="3584"/>
      <c r="AB5" s="3602"/>
      <c r="AC5" s="3584"/>
    </row>
    <row r="6" spans="1:29" ht="15.75" thickBot="1">
      <c r="A6" s="1598"/>
      <c r="B6" s="1599"/>
      <c r="C6" s="3607" t="s">
        <v>2016</v>
      </c>
      <c r="D6" s="3608"/>
      <c r="E6" s="3609" t="s">
        <v>2016</v>
      </c>
      <c r="F6" s="3610"/>
      <c r="G6" s="3607" t="s">
        <v>2016</v>
      </c>
      <c r="H6" s="3608"/>
      <c r="I6" s="3607" t="s">
        <v>2016</v>
      </c>
      <c r="J6" s="3608"/>
      <c r="K6" s="1893" t="s">
        <v>2017</v>
      </c>
      <c r="L6" s="2914"/>
      <c r="M6" s="2915"/>
      <c r="N6" s="2915"/>
      <c r="O6" s="2915"/>
      <c r="P6" s="3594"/>
      <c r="Q6" s="3595"/>
      <c r="R6" s="3598"/>
      <c r="S6" s="3599"/>
      <c r="T6" s="3600"/>
      <c r="U6" s="3601"/>
      <c r="V6" s="3602"/>
      <c r="W6" s="3602"/>
      <c r="X6" s="2002"/>
      <c r="Y6" s="3600"/>
      <c r="Z6" s="3601"/>
      <c r="AA6" s="3585"/>
      <c r="AB6" s="3602"/>
      <c r="AC6" s="3585"/>
    </row>
    <row r="7" spans="1:29" s="1612" customFormat="1" ht="15.75" thickBot="1">
      <c r="A7" s="1600" t="s">
        <v>2018</v>
      </c>
      <c r="B7" s="1601"/>
      <c r="C7" s="1602">
        <f>'数据-取费表'!B2</f>
        <v>44783</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18" t="s">
        <v>2019</v>
      </c>
      <c r="Q7" s="3620"/>
      <c r="R7" s="1608" t="s">
        <v>25</v>
      </c>
      <c r="S7" s="1609">
        <f t="shared" ref="S7:S15" si="0">F7</f>
        <v>0</v>
      </c>
      <c r="T7" s="1608" t="s">
        <v>25</v>
      </c>
      <c r="U7" s="1609">
        <f t="shared" ref="U7:U15" si="1">H7</f>
        <v>0</v>
      </c>
      <c r="V7" s="1608" t="s">
        <v>25</v>
      </c>
      <c r="W7" s="1609">
        <f t="shared" ref="W7:W15" si="2">J7</f>
        <v>0</v>
      </c>
      <c r="X7" s="1610"/>
      <c r="Y7" s="3618" t="s">
        <v>2019</v>
      </c>
      <c r="Z7" s="3619"/>
      <c r="AA7" s="1611" t="e">
        <f>D7/F7</f>
        <v>#DIV/0!</v>
      </c>
      <c r="AB7" s="1611" t="e">
        <f>D7/H7</f>
        <v>#DIV/0!</v>
      </c>
      <c r="AC7" s="1611" t="e">
        <f>D7/J7</f>
        <v>#DIV/0!</v>
      </c>
    </row>
    <row r="8" spans="1:29" s="1612" customFormat="1" ht="15.75" thickBot="1">
      <c r="A8" s="1600" t="s">
        <v>2020</v>
      </c>
      <c r="B8" s="1601"/>
      <c r="C8" s="1613" t="s">
        <v>2021</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18" t="s">
        <v>2022</v>
      </c>
      <c r="Q8" s="3619"/>
      <c r="R8" s="1608" t="s">
        <v>25</v>
      </c>
      <c r="S8" s="1609">
        <f t="shared" si="0"/>
        <v>0</v>
      </c>
      <c r="T8" s="1608" t="s">
        <v>25</v>
      </c>
      <c r="U8" s="1609">
        <f t="shared" si="1"/>
        <v>0</v>
      </c>
      <c r="V8" s="1608" t="s">
        <v>25</v>
      </c>
      <c r="W8" s="1609">
        <f t="shared" si="2"/>
        <v>0</v>
      </c>
      <c r="X8" s="1610"/>
      <c r="Y8" s="3618" t="s">
        <v>2022</v>
      </c>
      <c r="Z8" s="3619"/>
      <c r="AA8" s="1611" t="e">
        <f t="shared" ref="AA8:AA46" si="3">D8/F8</f>
        <v>#DIV/0!</v>
      </c>
      <c r="AB8" s="1611" t="e">
        <f t="shared" ref="AB8:AB46" si="4">D8/H8</f>
        <v>#DIV/0!</v>
      </c>
      <c r="AC8" s="1611" t="e">
        <f t="shared" ref="AC8:AC46" si="5">D8/J8</f>
        <v>#DIV/0!</v>
      </c>
    </row>
    <row r="9" spans="1:29" s="1612" customFormat="1">
      <c r="A9" s="1994" t="s">
        <v>2023</v>
      </c>
      <c r="B9" s="1615" t="s">
        <v>2024</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1" t="s">
        <v>2025</v>
      </c>
      <c r="Q9" s="1993" t="str">
        <f t="shared" ref="Q9:Q15" si="6">B9</f>
        <v>用途</v>
      </c>
      <c r="R9" s="1608" t="s">
        <v>25</v>
      </c>
      <c r="S9" s="1609">
        <f t="shared" si="0"/>
        <v>100</v>
      </c>
      <c r="T9" s="1608" t="s">
        <v>25</v>
      </c>
      <c r="U9" s="1609">
        <f t="shared" si="1"/>
        <v>100</v>
      </c>
      <c r="V9" s="1608" t="s">
        <v>25</v>
      </c>
      <c r="W9" s="1609">
        <f t="shared" si="2"/>
        <v>100</v>
      </c>
      <c r="X9" s="1610"/>
      <c r="Y9" s="3486" t="s">
        <v>2026</v>
      </c>
      <c r="Z9" s="1621" t="str">
        <f t="shared" ref="Z9:Z15" si="7">Q9</f>
        <v>用途</v>
      </c>
      <c r="AA9" s="1611">
        <f t="shared" si="3"/>
        <v>1</v>
      </c>
      <c r="AB9" s="1611">
        <f t="shared" si="4"/>
        <v>1</v>
      </c>
      <c r="AC9" s="1611">
        <f t="shared" si="5"/>
        <v>1</v>
      </c>
    </row>
    <row r="10" spans="1:29" s="1629" customFormat="1" ht="27">
      <c r="A10" s="1622"/>
      <c r="B10" s="1623" t="s">
        <v>2027</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1"/>
      <c r="Q10" s="1993" t="str">
        <f t="shared" si="6"/>
        <v>土地使用年限（年）</v>
      </c>
      <c r="R10" s="1608" t="s">
        <v>25</v>
      </c>
      <c r="S10" s="1609">
        <f t="shared" si="0"/>
        <v>100</v>
      </c>
      <c r="T10" s="1608" t="s">
        <v>25</v>
      </c>
      <c r="U10" s="1609">
        <f t="shared" si="1"/>
        <v>100</v>
      </c>
      <c r="V10" s="1608" t="s">
        <v>25</v>
      </c>
      <c r="W10" s="1609">
        <f t="shared" si="2"/>
        <v>100</v>
      </c>
      <c r="X10" s="1610"/>
      <c r="Y10" s="3486"/>
      <c r="Z10" s="1621" t="str">
        <f t="shared" si="7"/>
        <v>土地使用年限（年）</v>
      </c>
      <c r="AA10" s="1611">
        <f t="shared" si="3"/>
        <v>1</v>
      </c>
      <c r="AB10" s="1611">
        <f t="shared" si="4"/>
        <v>1</v>
      </c>
      <c r="AC10" s="1611">
        <f t="shared" si="5"/>
        <v>1</v>
      </c>
    </row>
    <row r="11" spans="1:29" ht="15">
      <c r="A11" s="1630"/>
      <c r="B11" s="1623" t="s">
        <v>2028</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1"/>
      <c r="Q11" s="1993" t="str">
        <f t="shared" si="6"/>
        <v>容积率</v>
      </c>
      <c r="R11" s="1608" t="s">
        <v>25</v>
      </c>
      <c r="S11" s="1609" t="e">
        <f t="shared" si="0"/>
        <v>#N/A</v>
      </c>
      <c r="T11" s="1608" t="s">
        <v>25</v>
      </c>
      <c r="U11" s="1609" t="e">
        <f t="shared" si="1"/>
        <v>#N/A</v>
      </c>
      <c r="V11" s="1608" t="s">
        <v>25</v>
      </c>
      <c r="W11" s="1609" t="e">
        <f t="shared" si="2"/>
        <v>#N/A</v>
      </c>
      <c r="X11" s="1610"/>
      <c r="Y11" s="3486"/>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1"/>
      <c r="Q12" s="1993">
        <f t="shared" si="6"/>
        <v>111</v>
      </c>
      <c r="R12" s="1608" t="s">
        <v>25</v>
      </c>
      <c r="S12" s="1609">
        <f t="shared" si="0"/>
        <v>100</v>
      </c>
      <c r="T12" s="1608" t="s">
        <v>25</v>
      </c>
      <c r="U12" s="1609">
        <f t="shared" si="1"/>
        <v>100</v>
      </c>
      <c r="V12" s="1608" t="s">
        <v>25</v>
      </c>
      <c r="W12" s="1609">
        <f t="shared" si="2"/>
        <v>100</v>
      </c>
      <c r="X12" s="1610"/>
      <c r="Y12" s="3486"/>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1"/>
      <c r="Q13" s="1993">
        <f t="shared" si="6"/>
        <v>111</v>
      </c>
      <c r="R13" s="1608" t="s">
        <v>25</v>
      </c>
      <c r="S13" s="1609">
        <f t="shared" si="0"/>
        <v>100</v>
      </c>
      <c r="T13" s="1608" t="s">
        <v>25</v>
      </c>
      <c r="U13" s="1609">
        <f t="shared" si="1"/>
        <v>100</v>
      </c>
      <c r="V13" s="1608" t="s">
        <v>25</v>
      </c>
      <c r="W13" s="1609">
        <f t="shared" si="2"/>
        <v>100</v>
      </c>
      <c r="X13" s="1610"/>
      <c r="Y13" s="3486"/>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1"/>
      <c r="Q14" s="1993">
        <f t="shared" si="6"/>
        <v>111</v>
      </c>
      <c r="R14" s="1608" t="s">
        <v>25</v>
      </c>
      <c r="S14" s="1609">
        <f t="shared" si="0"/>
        <v>100</v>
      </c>
      <c r="T14" s="1608" t="s">
        <v>25</v>
      </c>
      <c r="U14" s="1609">
        <f t="shared" si="1"/>
        <v>100</v>
      </c>
      <c r="V14" s="1608" t="s">
        <v>25</v>
      </c>
      <c r="W14" s="1609">
        <f t="shared" si="2"/>
        <v>100</v>
      </c>
      <c r="X14" s="1610"/>
      <c r="Y14" s="3486"/>
      <c r="Z14" s="1621">
        <f t="shared" si="7"/>
        <v>111</v>
      </c>
      <c r="AA14" s="1611">
        <f t="shared" si="3"/>
        <v>1</v>
      </c>
      <c r="AB14" s="1611">
        <f t="shared" si="4"/>
        <v>1</v>
      </c>
      <c r="AC14" s="1611">
        <f t="shared" si="5"/>
        <v>1</v>
      </c>
    </row>
    <row r="15" spans="1:29" ht="71.25">
      <c r="A15" s="1645" t="s">
        <v>2029</v>
      </c>
      <c r="B15" s="1646" t="s">
        <v>2115</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24" t="s">
        <v>2030</v>
      </c>
      <c r="Q15" s="1999" t="str">
        <f t="shared" si="6"/>
        <v>商业繁华度</v>
      </c>
      <c r="R15" s="1653" t="s">
        <v>25</v>
      </c>
      <c r="S15" s="1654">
        <f t="shared" si="0"/>
        <v>100</v>
      </c>
      <c r="T15" s="1653" t="s">
        <v>25</v>
      </c>
      <c r="U15" s="1654">
        <f t="shared" si="1"/>
        <v>100</v>
      </c>
      <c r="V15" s="1653" t="s">
        <v>25</v>
      </c>
      <c r="W15" s="1654">
        <f t="shared" si="2"/>
        <v>100</v>
      </c>
      <c r="X15" s="2002"/>
      <c r="Y15" s="3611" t="s">
        <v>2030</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25"/>
      <c r="Q16" s="1999"/>
      <c r="R16" s="1653"/>
      <c r="S16" s="1654"/>
      <c r="T16" s="1653"/>
      <c r="U16" s="1654"/>
      <c r="V16" s="1653"/>
      <c r="W16" s="1654"/>
      <c r="X16" s="2002"/>
      <c r="Y16" s="3612"/>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25"/>
      <c r="Q17" s="1999" t="str">
        <f>B17</f>
        <v>交通便捷度</v>
      </c>
      <c r="R17" s="1653" t="s">
        <v>25</v>
      </c>
      <c r="S17" s="1654">
        <f>F17</f>
        <v>100</v>
      </c>
      <c r="T17" s="1653" t="s">
        <v>25</v>
      </c>
      <c r="U17" s="1654">
        <f>H17</f>
        <v>100</v>
      </c>
      <c r="V17" s="1653" t="s">
        <v>25</v>
      </c>
      <c r="W17" s="1654">
        <f>J17</f>
        <v>100</v>
      </c>
      <c r="X17" s="2002"/>
      <c r="Y17" s="3612"/>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25"/>
      <c r="Q18" s="1999"/>
      <c r="R18" s="1653"/>
      <c r="S18" s="1654"/>
      <c r="T18" s="1653"/>
      <c r="U18" s="1654"/>
      <c r="V18" s="1653"/>
      <c r="W18" s="1654"/>
      <c r="X18" s="2002"/>
      <c r="Y18" s="3612"/>
      <c r="Z18" s="2006"/>
      <c r="AA18" s="1997">
        <v>1</v>
      </c>
      <c r="AB18" s="1997">
        <v>1</v>
      </c>
      <c r="AC18" s="1997">
        <v>1</v>
      </c>
    </row>
    <row r="19" spans="1:29" ht="42.75">
      <c r="A19" s="1630"/>
      <c r="B19" s="1665" t="s">
        <v>2116</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25"/>
      <c r="Q19" s="1999" t="str">
        <f>B19</f>
        <v>公共配套设施</v>
      </c>
      <c r="R19" s="1653" t="s">
        <v>25</v>
      </c>
      <c r="S19" s="1654">
        <f>F19</f>
        <v>100</v>
      </c>
      <c r="T19" s="1653" t="s">
        <v>25</v>
      </c>
      <c r="U19" s="1654">
        <f>H19</f>
        <v>100</v>
      </c>
      <c r="V19" s="1653" t="s">
        <v>25</v>
      </c>
      <c r="W19" s="1654">
        <f>J19</f>
        <v>100</v>
      </c>
      <c r="X19" s="2002"/>
      <c r="Y19" s="3612"/>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25"/>
      <c r="Q20" s="1999"/>
      <c r="R20" s="1653"/>
      <c r="S20" s="1654"/>
      <c r="T20" s="1653"/>
      <c r="U20" s="1654"/>
      <c r="V20" s="1653"/>
      <c r="W20" s="1654"/>
      <c r="X20" s="2002"/>
      <c r="Y20" s="3612"/>
      <c r="Z20" s="2006"/>
      <c r="AA20" s="1997">
        <v>1</v>
      </c>
      <c r="AB20" s="1997">
        <v>1</v>
      </c>
      <c r="AC20" s="1997">
        <v>1</v>
      </c>
    </row>
    <row r="21" spans="1:29" ht="28.5">
      <c r="A21" s="1630"/>
      <c r="B21" s="1678" t="s">
        <v>2117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25"/>
      <c r="Q21" s="1999" t="str">
        <f>B21</f>
        <v>基础设施水平</v>
      </c>
      <c r="R21" s="1653" t="s">
        <v>25</v>
      </c>
      <c r="S21" s="1654">
        <f>F21</f>
        <v>100</v>
      </c>
      <c r="T21" s="1653" t="s">
        <v>25</v>
      </c>
      <c r="U21" s="1654">
        <f>H21</f>
        <v>100</v>
      </c>
      <c r="V21" s="1653" t="s">
        <v>25</v>
      </c>
      <c r="W21" s="1654">
        <f>J21</f>
        <v>100</v>
      </c>
      <c r="X21" s="2002"/>
      <c r="Y21" s="3612"/>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25"/>
      <c r="Q22" s="1999"/>
      <c r="R22" s="1653"/>
      <c r="S22" s="1654"/>
      <c r="T22" s="1653"/>
      <c r="U22" s="1654"/>
      <c r="V22" s="1653"/>
      <c r="W22" s="1654"/>
      <c r="X22" s="2002"/>
      <c r="Y22" s="3612"/>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25"/>
      <c r="Q23" s="1999" t="str">
        <f>B23</f>
        <v>自然及人文环境</v>
      </c>
      <c r="R23" s="1653" t="s">
        <v>25</v>
      </c>
      <c r="S23" s="1654">
        <f>F23</f>
        <v>100</v>
      </c>
      <c r="T23" s="1653" t="s">
        <v>25</v>
      </c>
      <c r="U23" s="1654">
        <f>H23</f>
        <v>100</v>
      </c>
      <c r="V23" s="1653" t="s">
        <v>25</v>
      </c>
      <c r="W23" s="1654">
        <f>J23</f>
        <v>100</v>
      </c>
      <c r="X23" s="2002"/>
      <c r="Y23" s="3612"/>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25"/>
      <c r="Q24" s="1999"/>
      <c r="R24" s="1653"/>
      <c r="S24" s="1654"/>
      <c r="T24" s="1653"/>
      <c r="U24" s="1654"/>
      <c r="V24" s="1653"/>
      <c r="W24" s="1654"/>
      <c r="X24" s="2002"/>
      <c r="Y24" s="3612"/>
      <c r="Z24" s="2006"/>
      <c r="AA24" s="1997">
        <v>1</v>
      </c>
      <c r="AB24" s="1997">
        <v>1</v>
      </c>
      <c r="AC24" s="1997">
        <v>1</v>
      </c>
    </row>
    <row r="25" spans="1:29" ht="15">
      <c r="A25" s="1630"/>
      <c r="B25" s="1623" t="s">
        <v>2118</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25"/>
      <c r="Q25" s="1999" t="str">
        <f t="shared" ref="Q25:Q46" si="11">B25</f>
        <v>临街状况</v>
      </c>
      <c r="R25" s="1653" t="s">
        <v>25</v>
      </c>
      <c r="S25" s="1654">
        <f>F25</f>
        <v>100</v>
      </c>
      <c r="T25" s="1653" t="s">
        <v>25</v>
      </c>
      <c r="U25" s="1654">
        <f>H25</f>
        <v>100</v>
      </c>
      <c r="V25" s="1653" t="s">
        <v>25</v>
      </c>
      <c r="W25" s="1654">
        <f>J25</f>
        <v>100</v>
      </c>
      <c r="X25" s="2002"/>
      <c r="Y25" s="3612"/>
      <c r="Z25" s="2006" t="str">
        <f>Q25</f>
        <v>临街状况</v>
      </c>
      <c r="AA25" s="1997">
        <f t="shared" si="3"/>
        <v>1</v>
      </c>
      <c r="AB25" s="1997">
        <f t="shared" si="4"/>
        <v>1</v>
      </c>
      <c r="AC25" s="1997">
        <f t="shared" si="5"/>
        <v>1</v>
      </c>
    </row>
    <row r="26" spans="1:29" ht="15">
      <c r="A26" s="1630"/>
      <c r="B26" s="1688" t="s">
        <v>2119</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25"/>
      <c r="Q26" s="1999" t="str">
        <f t="shared" si="11"/>
        <v>平面位置/可视性</v>
      </c>
      <c r="R26" s="1653" t="s">
        <v>25</v>
      </c>
      <c r="S26" s="1654">
        <f>F26</f>
        <v>100</v>
      </c>
      <c r="T26" s="1653" t="s">
        <v>25</v>
      </c>
      <c r="U26" s="1654">
        <f>H26</f>
        <v>100</v>
      </c>
      <c r="V26" s="1653" t="s">
        <v>25</v>
      </c>
      <c r="W26" s="1654">
        <f>J26</f>
        <v>100</v>
      </c>
      <c r="X26" s="2002"/>
      <c r="Y26" s="3612"/>
      <c r="Z26" s="2006" t="str">
        <f>Q26</f>
        <v>平面位置/可视性</v>
      </c>
      <c r="AA26" s="1997">
        <f t="shared" si="3"/>
        <v>1</v>
      </c>
      <c r="AB26" s="1997">
        <f t="shared" si="4"/>
        <v>1</v>
      </c>
      <c r="AC26" s="1997">
        <f t="shared" si="5"/>
        <v>1</v>
      </c>
    </row>
    <row r="27" spans="1:29" s="1612" customFormat="1" ht="15">
      <c r="A27" s="1633"/>
      <c r="B27" s="1665" t="s">
        <v>2120</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25"/>
      <c r="Q27" s="1993" t="str">
        <f t="shared" si="11"/>
        <v>人流量</v>
      </c>
      <c r="R27" s="1608" t="s">
        <v>25</v>
      </c>
      <c r="S27" s="1609">
        <f>F27</f>
        <v>100</v>
      </c>
      <c r="T27" s="1608" t="s">
        <v>25</v>
      </c>
      <c r="U27" s="1609">
        <f>H27</f>
        <v>100</v>
      </c>
      <c r="V27" s="1608" t="s">
        <v>25</v>
      </c>
      <c r="W27" s="1609">
        <f>J27</f>
        <v>100</v>
      </c>
      <c r="X27" s="1610"/>
      <c r="Y27" s="3612"/>
      <c r="Z27" s="1621" t="str">
        <f>Q27</f>
        <v>人流量</v>
      </c>
      <c r="AA27" s="1997">
        <f>D27/F27</f>
        <v>1</v>
      </c>
      <c r="AB27" s="1997">
        <f>D27/H27</f>
        <v>1</v>
      </c>
      <c r="AC27" s="1997">
        <f>D27/J27</f>
        <v>1</v>
      </c>
    </row>
    <row r="28" spans="1:29" ht="15">
      <c r="A28" s="1630"/>
      <c r="B28" s="1623" t="s">
        <v>2121</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25"/>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12"/>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25"/>
      <c r="Q29" s="1999">
        <f t="shared" si="11"/>
        <v>111</v>
      </c>
      <c r="R29" s="1653" t="s">
        <v>25</v>
      </c>
      <c r="S29" s="1654">
        <f t="shared" si="12"/>
        <v>100</v>
      </c>
      <c r="T29" s="1653" t="s">
        <v>25</v>
      </c>
      <c r="U29" s="1654">
        <f t="shared" si="13"/>
        <v>100</v>
      </c>
      <c r="V29" s="1653" t="s">
        <v>25</v>
      </c>
      <c r="W29" s="1654">
        <f t="shared" si="14"/>
        <v>100</v>
      </c>
      <c r="X29" s="2002"/>
      <c r="Y29" s="3612"/>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25"/>
      <c r="Q30" s="1999">
        <f t="shared" si="11"/>
        <v>111</v>
      </c>
      <c r="R30" s="1653" t="s">
        <v>25</v>
      </c>
      <c r="S30" s="1654">
        <f t="shared" si="12"/>
        <v>100</v>
      </c>
      <c r="T30" s="1653" t="s">
        <v>25</v>
      </c>
      <c r="U30" s="1654">
        <f t="shared" si="13"/>
        <v>100</v>
      </c>
      <c r="V30" s="1653" t="s">
        <v>25</v>
      </c>
      <c r="W30" s="1654">
        <f t="shared" si="14"/>
        <v>100</v>
      </c>
      <c r="X30" s="2002"/>
      <c r="Y30" s="3612"/>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25"/>
      <c r="Q31" s="1999">
        <f t="shared" si="11"/>
        <v>111</v>
      </c>
      <c r="R31" s="1653" t="s">
        <v>25</v>
      </c>
      <c r="S31" s="1654">
        <f t="shared" si="12"/>
        <v>100</v>
      </c>
      <c r="T31" s="1653" t="s">
        <v>25</v>
      </c>
      <c r="U31" s="1654">
        <f t="shared" si="13"/>
        <v>100</v>
      </c>
      <c r="V31" s="1653" t="s">
        <v>25</v>
      </c>
      <c r="W31" s="1654">
        <f t="shared" si="14"/>
        <v>100</v>
      </c>
      <c r="X31" s="2002"/>
      <c r="Y31" s="3612"/>
      <c r="Z31" s="2006">
        <f t="shared" si="15"/>
        <v>111</v>
      </c>
      <c r="AA31" s="1997">
        <f t="shared" si="3"/>
        <v>1</v>
      </c>
      <c r="AB31" s="1997">
        <f t="shared" si="4"/>
        <v>1</v>
      </c>
      <c r="AC31" s="1997">
        <f t="shared" si="5"/>
        <v>1</v>
      </c>
    </row>
    <row r="32" spans="1:29" ht="15">
      <c r="A32" s="1645" t="s">
        <v>2034</v>
      </c>
      <c r="B32" s="1615" t="s">
        <v>2122</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13" t="s">
        <v>2036</v>
      </c>
      <c r="Q32" s="1999" t="str">
        <f t="shared" si="11"/>
        <v>商业类型</v>
      </c>
      <c r="R32" s="1653" t="s">
        <v>25</v>
      </c>
      <c r="S32" s="1654">
        <f t="shared" si="12"/>
        <v>100</v>
      </c>
      <c r="T32" s="1653" t="s">
        <v>25</v>
      </c>
      <c r="U32" s="1654">
        <f t="shared" si="13"/>
        <v>100</v>
      </c>
      <c r="V32" s="1653" t="s">
        <v>25</v>
      </c>
      <c r="W32" s="1654">
        <f t="shared" si="14"/>
        <v>100</v>
      </c>
      <c r="X32" s="2002"/>
      <c r="Y32" s="3616" t="s">
        <v>2036</v>
      </c>
      <c r="Z32" s="2006" t="str">
        <f t="shared" si="15"/>
        <v>商业类型</v>
      </c>
      <c r="AA32" s="1997">
        <f t="shared" si="3"/>
        <v>1</v>
      </c>
      <c r="AB32" s="1997">
        <f t="shared" si="4"/>
        <v>1</v>
      </c>
      <c r="AC32" s="1997">
        <f t="shared" si="5"/>
        <v>1</v>
      </c>
    </row>
    <row r="33" spans="1:29" s="1699" customFormat="1" ht="15">
      <c r="A33" s="1692"/>
      <c r="B33" s="1623" t="s">
        <v>2037</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14"/>
      <c r="Q33" s="1694" t="str">
        <f t="shared" si="11"/>
        <v>项目建筑规模</v>
      </c>
      <c r="R33" s="1695" t="s">
        <v>25</v>
      </c>
      <c r="S33" s="1696" t="e">
        <f t="shared" si="12"/>
        <v>#N/A</v>
      </c>
      <c r="T33" s="1695" t="s">
        <v>25</v>
      </c>
      <c r="U33" s="1696" t="e">
        <f t="shared" si="13"/>
        <v>#N/A</v>
      </c>
      <c r="V33" s="1695" t="s">
        <v>25</v>
      </c>
      <c r="W33" s="1696" t="e">
        <f t="shared" si="14"/>
        <v>#N/A</v>
      </c>
      <c r="X33" s="1697"/>
      <c r="Y33" s="3616"/>
      <c r="Z33" s="1698" t="str">
        <f t="shared" si="15"/>
        <v>项目建筑规模</v>
      </c>
      <c r="AA33" s="1997" t="e">
        <f t="shared" si="3"/>
        <v>#N/A</v>
      </c>
      <c r="AB33" s="1997" t="e">
        <f t="shared" si="4"/>
        <v>#N/A</v>
      </c>
      <c r="AC33" s="1997" t="e">
        <f t="shared" si="5"/>
        <v>#N/A</v>
      </c>
    </row>
    <row r="34" spans="1:29" ht="15">
      <c r="A34" s="1700"/>
      <c r="B34" s="1623" t="s">
        <v>2038</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14"/>
      <c r="Q34" s="1999" t="str">
        <f t="shared" si="11"/>
        <v>建筑结构</v>
      </c>
      <c r="R34" s="1653" t="s">
        <v>25</v>
      </c>
      <c r="S34" s="1654">
        <f t="shared" si="12"/>
        <v>100</v>
      </c>
      <c r="T34" s="1653" t="s">
        <v>25</v>
      </c>
      <c r="U34" s="1654">
        <f t="shared" si="13"/>
        <v>100</v>
      </c>
      <c r="V34" s="1653" t="s">
        <v>25</v>
      </c>
      <c r="W34" s="1654">
        <f t="shared" si="14"/>
        <v>100</v>
      </c>
      <c r="X34" s="2002"/>
      <c r="Y34" s="3616"/>
      <c r="Z34" s="2006" t="str">
        <f t="shared" si="15"/>
        <v>建筑结构</v>
      </c>
      <c r="AA34" s="1997">
        <f t="shared" si="3"/>
        <v>1</v>
      </c>
      <c r="AB34" s="1997">
        <f t="shared" si="4"/>
        <v>1</v>
      </c>
      <c r="AC34" s="1997">
        <f t="shared" si="5"/>
        <v>1</v>
      </c>
    </row>
    <row r="35" spans="1:29" ht="15">
      <c r="A35" s="1700"/>
      <c r="B35" s="1623" t="s">
        <v>2123</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14"/>
      <c r="Q35" s="1999" t="str">
        <f t="shared" si="11"/>
        <v>公共部分装修</v>
      </c>
      <c r="R35" s="1653" t="s">
        <v>25</v>
      </c>
      <c r="S35" s="1654">
        <f t="shared" si="12"/>
        <v>100</v>
      </c>
      <c r="T35" s="1653" t="s">
        <v>25</v>
      </c>
      <c r="U35" s="1654">
        <f t="shared" si="13"/>
        <v>100</v>
      </c>
      <c r="V35" s="1653" t="s">
        <v>25</v>
      </c>
      <c r="W35" s="1654">
        <f t="shared" si="14"/>
        <v>100</v>
      </c>
      <c r="X35" s="2002"/>
      <c r="Y35" s="3616"/>
      <c r="Z35" s="2006" t="str">
        <f t="shared" si="15"/>
        <v>公共部分装修</v>
      </c>
      <c r="AA35" s="1997">
        <f t="shared" si="3"/>
        <v>1</v>
      </c>
      <c r="AB35" s="1997">
        <f t="shared" si="4"/>
        <v>1</v>
      </c>
      <c r="AC35" s="1997">
        <f t="shared" si="5"/>
        <v>1</v>
      </c>
    </row>
    <row r="36" spans="1:29" ht="15">
      <c r="A36" s="1700"/>
      <c r="B36" s="1623" t="s">
        <v>2124</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14"/>
      <c r="Q36" s="1999" t="str">
        <f t="shared" si="11"/>
        <v>成新度</v>
      </c>
      <c r="R36" s="1653" t="s">
        <v>25</v>
      </c>
      <c r="S36" s="1654" t="e">
        <f t="shared" si="12"/>
        <v>#N/A</v>
      </c>
      <c r="T36" s="1653" t="s">
        <v>25</v>
      </c>
      <c r="U36" s="1654" t="e">
        <f t="shared" si="13"/>
        <v>#N/A</v>
      </c>
      <c r="V36" s="1653" t="s">
        <v>25</v>
      </c>
      <c r="W36" s="1654" t="e">
        <f t="shared" si="14"/>
        <v>#N/A</v>
      </c>
      <c r="X36" s="2002"/>
      <c r="Y36" s="3616"/>
      <c r="Z36" s="2006" t="str">
        <f t="shared" si="15"/>
        <v>成新度</v>
      </c>
      <c r="AA36" s="1997" t="e">
        <f t="shared" si="3"/>
        <v>#N/A</v>
      </c>
      <c r="AB36" s="1997" t="e">
        <f t="shared" si="4"/>
        <v>#N/A</v>
      </c>
      <c r="AC36" s="1997" t="e">
        <f t="shared" si="5"/>
        <v>#N/A</v>
      </c>
    </row>
    <row r="37" spans="1:29" s="1612" customFormat="1" ht="15">
      <c r="A37" s="1703"/>
      <c r="B37" s="1623" t="s">
        <v>2125</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14"/>
      <c r="Q37" s="1993" t="str">
        <f t="shared" si="11"/>
        <v>市政基础设施</v>
      </c>
      <c r="R37" s="1608" t="s">
        <v>25</v>
      </c>
      <c r="S37" s="1609">
        <f t="shared" si="12"/>
        <v>100</v>
      </c>
      <c r="T37" s="1608" t="s">
        <v>25</v>
      </c>
      <c r="U37" s="1609">
        <f t="shared" si="13"/>
        <v>100</v>
      </c>
      <c r="V37" s="1608" t="s">
        <v>25</v>
      </c>
      <c r="W37" s="1609">
        <f t="shared" si="14"/>
        <v>100</v>
      </c>
      <c r="X37" s="1610"/>
      <c r="Y37" s="3616"/>
      <c r="Z37" s="1621" t="str">
        <f t="shared" si="15"/>
        <v>市政基础设施</v>
      </c>
      <c r="AA37" s="1611">
        <f t="shared" si="3"/>
        <v>1</v>
      </c>
      <c r="AB37" s="1611">
        <f t="shared" si="4"/>
        <v>1</v>
      </c>
      <c r="AC37" s="1611">
        <f t="shared" si="5"/>
        <v>1</v>
      </c>
    </row>
    <row r="38" spans="1:29" ht="15">
      <c r="A38" s="1700"/>
      <c r="B38" s="1623" t="s">
        <v>2126</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14" t="s">
        <v>2036</v>
      </c>
      <c r="Q38" s="1999" t="str">
        <f t="shared" si="11"/>
        <v>业态</v>
      </c>
      <c r="R38" s="1653" t="s">
        <v>25</v>
      </c>
      <c r="S38" s="1654">
        <f t="shared" si="12"/>
        <v>100</v>
      </c>
      <c r="T38" s="1653" t="s">
        <v>25</v>
      </c>
      <c r="U38" s="1654">
        <f t="shared" si="13"/>
        <v>100</v>
      </c>
      <c r="V38" s="1653" t="s">
        <v>25</v>
      </c>
      <c r="W38" s="1654">
        <f t="shared" si="14"/>
        <v>100</v>
      </c>
      <c r="X38" s="2002"/>
      <c r="Y38" s="3616" t="s">
        <v>2036</v>
      </c>
      <c r="Z38" s="2006" t="str">
        <f t="shared" si="15"/>
        <v>业态</v>
      </c>
      <c r="AA38" s="1997">
        <f t="shared" si="3"/>
        <v>1</v>
      </c>
      <c r="AB38" s="1997">
        <f t="shared" si="4"/>
        <v>1</v>
      </c>
      <c r="AC38" s="1997">
        <f t="shared" si="5"/>
        <v>1</v>
      </c>
    </row>
    <row r="39" spans="1:29" ht="15">
      <c r="A39" s="1700"/>
      <c r="B39" s="1623" t="s">
        <v>2127</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14"/>
      <c r="Q39" s="1999" t="str">
        <f t="shared" si="11"/>
        <v>层高</v>
      </c>
      <c r="R39" s="1653" t="s">
        <v>25</v>
      </c>
      <c r="S39" s="1654">
        <f t="shared" si="12"/>
        <v>100</v>
      </c>
      <c r="T39" s="1653" t="s">
        <v>25</v>
      </c>
      <c r="U39" s="1654">
        <f t="shared" si="13"/>
        <v>100</v>
      </c>
      <c r="V39" s="1653" t="s">
        <v>25</v>
      </c>
      <c r="W39" s="1654">
        <f t="shared" si="14"/>
        <v>100</v>
      </c>
      <c r="X39" s="2002"/>
      <c r="Y39" s="3616"/>
      <c r="Z39" s="2006" t="str">
        <f t="shared" si="15"/>
        <v>层高</v>
      </c>
      <c r="AA39" s="1997">
        <f t="shared" si="3"/>
        <v>1</v>
      </c>
      <c r="AB39" s="1997">
        <f t="shared" si="4"/>
        <v>1</v>
      </c>
      <c r="AC39" s="1997">
        <f t="shared" si="5"/>
        <v>1</v>
      </c>
    </row>
    <row r="40" spans="1:29" ht="15">
      <c r="A40" s="1700"/>
      <c r="B40" s="1623" t="s">
        <v>2128</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14"/>
      <c r="Q40" s="1999" t="str">
        <f t="shared" si="11"/>
        <v>单套建筑面积</v>
      </c>
      <c r="R40" s="1653" t="s">
        <v>25</v>
      </c>
      <c r="S40" s="1654">
        <f t="shared" si="12"/>
        <v>100</v>
      </c>
      <c r="T40" s="1653" t="s">
        <v>25</v>
      </c>
      <c r="U40" s="1654">
        <f t="shared" si="13"/>
        <v>100</v>
      </c>
      <c r="V40" s="1653" t="s">
        <v>25</v>
      </c>
      <c r="W40" s="1654">
        <f t="shared" si="14"/>
        <v>100</v>
      </c>
      <c r="X40" s="2002"/>
      <c r="Y40" s="3616"/>
      <c r="Z40" s="2006" t="str">
        <f t="shared" si="15"/>
        <v>单套建筑面积</v>
      </c>
      <c r="AA40" s="1997">
        <f t="shared" si="3"/>
        <v>1</v>
      </c>
      <c r="AB40" s="1997">
        <f t="shared" si="4"/>
        <v>1</v>
      </c>
      <c r="AC40" s="1997">
        <f t="shared" si="5"/>
        <v>1</v>
      </c>
    </row>
    <row r="41" spans="1:29" s="1699" customFormat="1" ht="15">
      <c r="A41" s="1692"/>
      <c r="B41" s="1998" t="s">
        <v>2129</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14"/>
      <c r="Q41" s="1694" t="str">
        <f t="shared" si="11"/>
        <v>进深比</v>
      </c>
      <c r="R41" s="1695" t="s">
        <v>25</v>
      </c>
      <c r="S41" s="1696">
        <f t="shared" si="12"/>
        <v>100</v>
      </c>
      <c r="T41" s="1695" t="s">
        <v>25</v>
      </c>
      <c r="U41" s="1696">
        <f t="shared" si="13"/>
        <v>100</v>
      </c>
      <c r="V41" s="1695" t="s">
        <v>25</v>
      </c>
      <c r="W41" s="1696">
        <f t="shared" si="14"/>
        <v>100</v>
      </c>
      <c r="X41" s="1697"/>
      <c r="Y41" s="3616"/>
      <c r="Z41" s="1698" t="str">
        <f t="shared" si="15"/>
        <v>进深比</v>
      </c>
      <c r="AA41" s="1997">
        <f t="shared" si="3"/>
        <v>1</v>
      </c>
      <c r="AB41" s="1997">
        <f t="shared" si="4"/>
        <v>1</v>
      </c>
      <c r="AC41" s="1997">
        <f t="shared" si="5"/>
        <v>1</v>
      </c>
    </row>
    <row r="42" spans="1:29" ht="15">
      <c r="A42" s="1700"/>
      <c r="B42" s="1623" t="s">
        <v>2130</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14"/>
      <c r="Q42" s="1999" t="str">
        <f t="shared" si="11"/>
        <v>内部装修</v>
      </c>
      <c r="R42" s="1653" t="s">
        <v>25</v>
      </c>
      <c r="S42" s="1654">
        <f t="shared" si="12"/>
        <v>100</v>
      </c>
      <c r="T42" s="1653" t="s">
        <v>25</v>
      </c>
      <c r="U42" s="1654">
        <f t="shared" si="13"/>
        <v>100</v>
      </c>
      <c r="V42" s="1653" t="s">
        <v>25</v>
      </c>
      <c r="W42" s="1654">
        <f t="shared" si="14"/>
        <v>100</v>
      </c>
      <c r="X42" s="2002"/>
      <c r="Y42" s="3616"/>
      <c r="Z42" s="2006" t="str">
        <f t="shared" si="15"/>
        <v>内部装修</v>
      </c>
      <c r="AA42" s="1997">
        <f t="shared" si="3"/>
        <v>1</v>
      </c>
      <c r="AB42" s="1997">
        <f t="shared" si="4"/>
        <v>1</v>
      </c>
      <c r="AC42" s="1997">
        <f t="shared" si="5"/>
        <v>1</v>
      </c>
    </row>
    <row r="43" spans="1:29" ht="15">
      <c r="A43" s="1700"/>
      <c r="B43" s="1623" t="s">
        <v>2047</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14"/>
      <c r="Q43" s="1999" t="str">
        <f t="shared" si="11"/>
        <v>内部装修维护情况</v>
      </c>
      <c r="R43" s="1653" t="s">
        <v>25</v>
      </c>
      <c r="S43" s="1654">
        <f t="shared" si="12"/>
        <v>100</v>
      </c>
      <c r="T43" s="1653" t="s">
        <v>25</v>
      </c>
      <c r="U43" s="1654">
        <f t="shared" si="13"/>
        <v>100</v>
      </c>
      <c r="V43" s="1653" t="s">
        <v>25</v>
      </c>
      <c r="W43" s="1654">
        <f t="shared" si="14"/>
        <v>100</v>
      </c>
      <c r="X43" s="2002"/>
      <c r="Y43" s="3616"/>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14"/>
      <c r="Q44" s="1993">
        <f t="shared" si="11"/>
        <v>111</v>
      </c>
      <c r="R44" s="1608" t="s">
        <v>25</v>
      </c>
      <c r="S44" s="1609">
        <f t="shared" si="12"/>
        <v>100</v>
      </c>
      <c r="T44" s="1608" t="s">
        <v>25</v>
      </c>
      <c r="U44" s="1609">
        <f t="shared" si="13"/>
        <v>100</v>
      </c>
      <c r="V44" s="1608" t="s">
        <v>25</v>
      </c>
      <c r="W44" s="1609">
        <f t="shared" si="14"/>
        <v>100</v>
      </c>
      <c r="X44" s="1610"/>
      <c r="Y44" s="361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14"/>
      <c r="Q45" s="1999">
        <f t="shared" si="11"/>
        <v>111</v>
      </c>
      <c r="R45" s="1653" t="s">
        <v>25</v>
      </c>
      <c r="S45" s="1654">
        <f t="shared" si="12"/>
        <v>100</v>
      </c>
      <c r="T45" s="1653" t="s">
        <v>25</v>
      </c>
      <c r="U45" s="1654">
        <f t="shared" si="13"/>
        <v>100</v>
      </c>
      <c r="V45" s="1653" t="s">
        <v>25</v>
      </c>
      <c r="W45" s="1654">
        <f t="shared" si="14"/>
        <v>100</v>
      </c>
      <c r="X45" s="2002"/>
      <c r="Y45" s="3616"/>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15"/>
      <c r="Q46" s="1999">
        <f t="shared" si="11"/>
        <v>111</v>
      </c>
      <c r="R46" s="1653" t="s">
        <v>25</v>
      </c>
      <c r="S46" s="1654">
        <f t="shared" si="12"/>
        <v>100</v>
      </c>
      <c r="T46" s="1653" t="s">
        <v>25</v>
      </c>
      <c r="U46" s="1654">
        <f t="shared" si="13"/>
        <v>100</v>
      </c>
      <c r="V46" s="1653" t="s">
        <v>25</v>
      </c>
      <c r="W46" s="1654">
        <f t="shared" si="14"/>
        <v>100</v>
      </c>
      <c r="X46" s="2002"/>
      <c r="Y46" s="3617"/>
      <c r="Z46" s="2006">
        <f t="shared" si="15"/>
        <v>111</v>
      </c>
      <c r="AA46" s="1997">
        <f t="shared" si="3"/>
        <v>1</v>
      </c>
      <c r="AB46" s="1997">
        <f t="shared" si="4"/>
        <v>1</v>
      </c>
      <c r="AC46" s="1997">
        <f t="shared" si="5"/>
        <v>1</v>
      </c>
    </row>
    <row r="47" spans="1:29" ht="15">
      <c r="A47" s="1709" t="s">
        <v>2048</v>
      </c>
      <c r="B47" s="1710"/>
      <c r="C47" s="1711" t="s">
        <v>1</v>
      </c>
      <c r="D47" s="1712"/>
      <c r="E47" s="1713"/>
      <c r="F47" s="1714"/>
      <c r="G47" s="1715"/>
      <c r="H47" s="1716"/>
      <c r="I47" s="1713"/>
      <c r="J47" s="1716"/>
      <c r="K47" s="1941"/>
      <c r="L47" s="2920"/>
      <c r="N47" s="2915"/>
      <c r="P47" s="3622" t="str">
        <f>A47</f>
        <v>成交单价（元/平方米）</v>
      </c>
      <c r="Q47" s="3622"/>
      <c r="R47" s="3623">
        <f>E47</f>
        <v>0</v>
      </c>
      <c r="S47" s="3623"/>
      <c r="T47" s="3623">
        <f>G47</f>
        <v>0</v>
      </c>
      <c r="U47" s="3623"/>
      <c r="V47" s="3623">
        <f>I47</f>
        <v>0</v>
      </c>
      <c r="W47" s="3623"/>
      <c r="X47" s="1719"/>
      <c r="Y47" s="2001"/>
      <c r="Z47" s="1719"/>
      <c r="AA47" s="1719"/>
      <c r="AB47" s="1719"/>
      <c r="AC47" s="1719"/>
    </row>
    <row r="48" spans="1:29" ht="15.75" thickBot="1">
      <c r="A48" s="1721" t="s">
        <v>2131</v>
      </c>
      <c r="B48" s="1722"/>
      <c r="C48" s="1723" t="e">
        <f>R49</f>
        <v>#DIV/0!</v>
      </c>
      <c r="D48" s="1724" t="s">
        <v>2502</v>
      </c>
      <c r="E48" s="1725" t="e">
        <f>R48</f>
        <v>#DIV/0!</v>
      </c>
      <c r="F48" s="1726"/>
      <c r="G48" s="1723" t="e">
        <f>T48</f>
        <v>#DIV/0!</v>
      </c>
      <c r="H48" s="1726"/>
      <c r="I48" s="1725" t="e">
        <f>V48</f>
        <v>#DIV/0!</v>
      </c>
      <c r="J48" s="1726"/>
      <c r="K48" s="2428">
        <f>F48+H48+J48</f>
        <v>0</v>
      </c>
      <c r="L48" s="2920"/>
      <c r="N48" s="2915"/>
      <c r="P48" s="3622" t="str">
        <f>A48</f>
        <v>比较价值（元/平方米）</v>
      </c>
      <c r="Q48" s="3622"/>
      <c r="R48" s="3623" t="e">
        <f>IF(E1="售价",ROUND(PRODUCT(R47,AA7:AA46),0),ROUND(PRODUCT(R47,AA7:AA46),1))</f>
        <v>#DIV/0!</v>
      </c>
      <c r="S48" s="3623"/>
      <c r="T48" s="3623" t="e">
        <f>IF(E1="售价",ROUND(PRODUCT(T47,AB7:AB46),0),ROUND(PRODUCT(T47,AB7:AB46),1))</f>
        <v>#DIV/0!</v>
      </c>
      <c r="U48" s="3623"/>
      <c r="V48" s="3623" t="e">
        <f>IF(E1="售价",ROUND(PRODUCT(V47,AC7:AC46),0),ROUND(PRODUCT(V47,AC7:AC46),1))</f>
        <v>#DIV/0!</v>
      </c>
      <c r="W48" s="3623"/>
      <c r="X48" s="1719"/>
      <c r="Y48" s="1719"/>
      <c r="Z48" s="1719"/>
      <c r="AA48" s="1719"/>
      <c r="AB48" s="1719"/>
      <c r="AC48" s="1719"/>
    </row>
    <row r="49" spans="1:29" ht="15.75" thickBot="1">
      <c r="A49" s="1727" t="s">
        <v>2132</v>
      </c>
      <c r="B49" s="1728"/>
      <c r="C49" s="1730" t="e">
        <f>R49</f>
        <v>#DIV/0!</v>
      </c>
      <c r="D49" s="1730"/>
      <c r="E49" s="1730"/>
      <c r="F49" s="1730"/>
      <c r="G49" s="1730"/>
      <c r="H49" s="1730"/>
      <c r="I49" s="1730"/>
      <c r="J49" s="1730"/>
      <c r="K49" s="1946"/>
      <c r="L49" s="2920"/>
      <c r="N49" s="2915"/>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2133</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2134</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2135</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2136</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2018</v>
      </c>
      <c r="B58" s="1751"/>
      <c r="C58" s="1752" t="str">
        <f>YEAR(C7)&amp;"-"&amp;MONTH(C7)</f>
        <v>2022-8</v>
      </c>
      <c r="D58" s="1753">
        <f>EDATE(C58,-1)</f>
        <v>44743</v>
      </c>
      <c r="E58" s="1753">
        <f t="shared" ref="E58:O58" si="16">EDATE(D58,-1)</f>
        <v>44713</v>
      </c>
      <c r="F58" s="1753">
        <f t="shared" si="16"/>
        <v>44682</v>
      </c>
      <c r="G58" s="1753">
        <f t="shared" si="16"/>
        <v>44652</v>
      </c>
      <c r="H58" s="1753">
        <f t="shared" si="16"/>
        <v>44621</v>
      </c>
      <c r="I58" s="1753">
        <f t="shared" si="16"/>
        <v>44593</v>
      </c>
      <c r="J58" s="1753">
        <f t="shared" si="16"/>
        <v>44562</v>
      </c>
      <c r="K58" s="1753">
        <f t="shared" si="16"/>
        <v>44531</v>
      </c>
      <c r="L58" s="1753">
        <f t="shared" si="16"/>
        <v>44501</v>
      </c>
      <c r="M58" s="1753">
        <f t="shared" si="16"/>
        <v>44470</v>
      </c>
      <c r="N58" s="1753">
        <f t="shared" si="16"/>
        <v>44440</v>
      </c>
      <c r="O58" s="1753">
        <f t="shared" si="16"/>
        <v>44409</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2056</v>
      </c>
      <c r="B60" s="1763"/>
      <c r="C60" s="1764"/>
      <c r="D60" s="1765"/>
      <c r="E60" s="1765"/>
      <c r="F60" s="1765"/>
      <c r="G60" s="1765"/>
      <c r="H60" s="1765"/>
      <c r="I60" s="1765"/>
      <c r="J60" s="1765"/>
      <c r="K60" s="1765"/>
      <c r="L60" s="1765"/>
      <c r="M60" s="1766"/>
      <c r="N60" s="1765"/>
      <c r="O60" s="1766"/>
      <c r="P60" s="1761"/>
      <c r="Q60" s="1749"/>
    </row>
    <row r="61" spans="1:29" s="1612" customFormat="1" ht="15">
      <c r="A61" s="1767" t="s">
        <v>2020</v>
      </c>
      <c r="B61" s="1757"/>
      <c r="C61" s="1768" t="s">
        <v>2021</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2059</v>
      </c>
      <c r="B63" s="1775" t="s">
        <v>2024</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2027</v>
      </c>
      <c r="C65" s="1787" t="s">
        <v>2060</v>
      </c>
      <c r="D65" s="1787" t="s">
        <v>2061</v>
      </c>
      <c r="E65" s="1787" t="s">
        <v>2062</v>
      </c>
      <c r="F65" s="1787" t="s">
        <v>2063</v>
      </c>
      <c r="G65" s="1787" t="s">
        <v>2064</v>
      </c>
      <c r="H65" s="1787" t="s">
        <v>2065</v>
      </c>
      <c r="I65" s="1787" t="s">
        <v>2066</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2028</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2029</v>
      </c>
      <c r="B76" s="1775" t="s">
        <v>2067</v>
      </c>
      <c r="C76" s="1813" t="s">
        <v>2068</v>
      </c>
      <c r="D76" s="1813" t="s">
        <v>2069</v>
      </c>
      <c r="E76" s="1813" t="s">
        <v>2070</v>
      </c>
      <c r="F76" s="1813" t="s">
        <v>2071</v>
      </c>
      <c r="G76" s="1813" t="s">
        <v>2072</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2073</v>
      </c>
      <c r="C78" s="579" t="s">
        <v>2068</v>
      </c>
      <c r="D78" s="579" t="s">
        <v>2069</v>
      </c>
      <c r="E78" s="579" t="s">
        <v>2070</v>
      </c>
      <c r="F78" s="579" t="s">
        <v>2071</v>
      </c>
      <c r="G78" s="579" t="s">
        <v>2072</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2074</v>
      </c>
      <c r="C80" s="579" t="s">
        <v>2068</v>
      </c>
      <c r="D80" s="579" t="s">
        <v>2069</v>
      </c>
      <c r="E80" s="579" t="s">
        <v>2070</v>
      </c>
      <c r="F80" s="579" t="s">
        <v>2071</v>
      </c>
      <c r="G80" s="579" t="s">
        <v>2072</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2117</v>
      </c>
      <c r="C82" s="1787" t="s">
        <v>2075</v>
      </c>
      <c r="D82" s="1787" t="s">
        <v>2076</v>
      </c>
      <c r="E82" s="1787" t="s">
        <v>2077</v>
      </c>
      <c r="F82" s="1787" t="s">
        <v>2078</v>
      </c>
      <c r="G82" s="1787" t="s">
        <v>2079</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2080</v>
      </c>
      <c r="C84" s="579" t="s">
        <v>2068</v>
      </c>
      <c r="D84" s="579" t="s">
        <v>2069</v>
      </c>
      <c r="E84" s="579" t="s">
        <v>2070</v>
      </c>
      <c r="F84" s="579" t="s">
        <v>2071</v>
      </c>
      <c r="G84" s="579" t="s">
        <v>2072</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2137</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2034</v>
      </c>
      <c r="B100" s="1775" t="s">
        <v>2138</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2085</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2087</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2090</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2139</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2140</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2141</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2142</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2092</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2093</v>
      </c>
      <c r="C124" s="579" t="s">
        <v>2068</v>
      </c>
      <c r="D124" s="579" t="s">
        <v>2069</v>
      </c>
      <c r="E124" s="579" t="s">
        <v>2070</v>
      </c>
      <c r="F124" s="579" t="s">
        <v>2071</v>
      </c>
      <c r="G124" s="579" t="s">
        <v>2072</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2001</v>
      </c>
      <c r="B1" s="1565" t="s">
        <v>2143</v>
      </c>
      <c r="C1" s="1566"/>
      <c r="D1" s="1565"/>
      <c r="E1" s="1568"/>
      <c r="F1" s="1569" t="s">
        <v>2003</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2004</v>
      </c>
      <c r="D3" s="1587">
        <f>IF(C1="仅计算典型户型",'数据-取费表'!E5,'数据-取费表'!B5)</f>
        <v>2380.7600000000002</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2005</v>
      </c>
      <c r="B4" s="1591"/>
      <c r="C4" s="3586" t="s">
        <v>2006</v>
      </c>
      <c r="D4" s="3587"/>
      <c r="E4" s="3588" t="s">
        <v>2007</v>
      </c>
      <c r="F4" s="3589"/>
      <c r="G4" s="3586" t="s">
        <v>2008</v>
      </c>
      <c r="H4" s="3587"/>
      <c r="I4" s="3586" t="s">
        <v>2009</v>
      </c>
      <c r="J4" s="3587"/>
      <c r="K4" s="1893" t="s">
        <v>2010</v>
      </c>
      <c r="L4" s="2914"/>
      <c r="M4" s="2915"/>
      <c r="N4" s="2915"/>
      <c r="O4" s="2915"/>
      <c r="P4" s="3590" t="s">
        <v>2011</v>
      </c>
      <c r="Q4" s="3591"/>
      <c r="R4" s="3596" t="s">
        <v>2007</v>
      </c>
      <c r="S4" s="3597"/>
      <c r="T4" s="3596" t="s">
        <v>2008</v>
      </c>
      <c r="U4" s="3597"/>
      <c r="V4" s="3602" t="s">
        <v>2009</v>
      </c>
      <c r="W4" s="3602"/>
      <c r="X4" s="2002"/>
      <c r="Y4" s="3596" t="s">
        <v>2011</v>
      </c>
      <c r="Z4" s="3597"/>
      <c r="AA4" s="3583" t="s">
        <v>2007</v>
      </c>
      <c r="AB4" s="3583" t="s">
        <v>2008</v>
      </c>
      <c r="AC4" s="3583" t="s">
        <v>2009</v>
      </c>
    </row>
    <row r="5" spans="1:29" ht="15">
      <c r="A5" s="1595"/>
      <c r="B5" s="1596"/>
      <c r="C5" s="3605" t="s">
        <v>2012</v>
      </c>
      <c r="D5" s="3606"/>
      <c r="E5" s="3603" t="s">
        <v>2013</v>
      </c>
      <c r="F5" s="3604"/>
      <c r="G5" s="3605" t="s">
        <v>2014</v>
      </c>
      <c r="H5" s="3606"/>
      <c r="I5" s="3605" t="s">
        <v>2015</v>
      </c>
      <c r="J5" s="3606"/>
      <c r="K5" s="1893"/>
      <c r="L5" s="2914"/>
      <c r="M5" s="2915"/>
      <c r="N5" s="2915"/>
      <c r="O5" s="2915"/>
      <c r="P5" s="3592"/>
      <c r="Q5" s="3593"/>
      <c r="R5" s="3598"/>
      <c r="S5" s="3599"/>
      <c r="T5" s="3598"/>
      <c r="U5" s="3599"/>
      <c r="V5" s="3602"/>
      <c r="W5" s="3602"/>
      <c r="X5" s="2002"/>
      <c r="Y5" s="3598"/>
      <c r="Z5" s="3599"/>
      <c r="AA5" s="3584"/>
      <c r="AB5" s="3584"/>
      <c r="AC5" s="3584"/>
    </row>
    <row r="6" spans="1:29" ht="15.75" thickBot="1">
      <c r="A6" s="1598"/>
      <c r="B6" s="1599"/>
      <c r="C6" s="3607" t="s">
        <v>2016</v>
      </c>
      <c r="D6" s="3608"/>
      <c r="E6" s="3609" t="s">
        <v>2016</v>
      </c>
      <c r="F6" s="3610"/>
      <c r="G6" s="3607" t="s">
        <v>2016</v>
      </c>
      <c r="H6" s="3608"/>
      <c r="I6" s="3607" t="s">
        <v>2016</v>
      </c>
      <c r="J6" s="3608"/>
      <c r="K6" s="1893" t="s">
        <v>2017</v>
      </c>
      <c r="L6" s="2914"/>
      <c r="M6" s="2915"/>
      <c r="N6" s="2915"/>
      <c r="O6" s="2915"/>
      <c r="P6" s="3594"/>
      <c r="Q6" s="3595"/>
      <c r="R6" s="3598"/>
      <c r="S6" s="3599"/>
      <c r="T6" s="3600"/>
      <c r="U6" s="3601"/>
      <c r="V6" s="3602"/>
      <c r="W6" s="3602"/>
      <c r="X6" s="2002"/>
      <c r="Y6" s="3600"/>
      <c r="Z6" s="3601"/>
      <c r="AA6" s="3585"/>
      <c r="AB6" s="3585"/>
      <c r="AC6" s="3585"/>
    </row>
    <row r="7" spans="1:29" s="1612" customFormat="1" ht="15.75" thickBot="1">
      <c r="A7" s="1600" t="s">
        <v>2018</v>
      </c>
      <c r="B7" s="1601"/>
      <c r="C7" s="1602">
        <f>'数据-取费表'!B2</f>
        <v>44783</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18" t="s">
        <v>2019</v>
      </c>
      <c r="Q7" s="3620"/>
      <c r="R7" s="1608" t="s">
        <v>25</v>
      </c>
      <c r="S7" s="1609">
        <f t="shared" ref="S7:S15" si="0">F7</f>
        <v>0</v>
      </c>
      <c r="T7" s="1608" t="s">
        <v>25</v>
      </c>
      <c r="U7" s="1609">
        <f t="shared" ref="U7:U15" si="1">H7</f>
        <v>0</v>
      </c>
      <c r="V7" s="1608" t="s">
        <v>25</v>
      </c>
      <c r="W7" s="1609">
        <f t="shared" ref="W7:W15" si="2">J7</f>
        <v>0</v>
      </c>
      <c r="X7" s="1610"/>
      <c r="Y7" s="3618" t="s">
        <v>2019</v>
      </c>
      <c r="Z7" s="3619"/>
      <c r="AA7" s="1611" t="e">
        <f>D7/F7</f>
        <v>#DIV/0!</v>
      </c>
      <c r="AB7" s="1611" t="e">
        <f>D7/H7</f>
        <v>#DIV/0!</v>
      </c>
      <c r="AC7" s="1611" t="e">
        <f>D7/J7</f>
        <v>#DIV/0!</v>
      </c>
    </row>
    <row r="8" spans="1:29" s="1612" customFormat="1" ht="15.75" thickBot="1">
      <c r="A8" s="1600" t="s">
        <v>2020</v>
      </c>
      <c r="B8" s="1601"/>
      <c r="C8" s="1613" t="s">
        <v>2021</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18" t="s">
        <v>2022</v>
      </c>
      <c r="Q8" s="3619"/>
      <c r="R8" s="1608" t="s">
        <v>25</v>
      </c>
      <c r="S8" s="1609">
        <f t="shared" si="0"/>
        <v>0</v>
      </c>
      <c r="T8" s="1608" t="s">
        <v>25</v>
      </c>
      <c r="U8" s="1609">
        <f t="shared" si="1"/>
        <v>0</v>
      </c>
      <c r="V8" s="1608" t="s">
        <v>25</v>
      </c>
      <c r="W8" s="1609">
        <f t="shared" si="2"/>
        <v>0</v>
      </c>
      <c r="X8" s="1610"/>
      <c r="Y8" s="3618" t="s">
        <v>2022</v>
      </c>
      <c r="Z8" s="3619"/>
      <c r="AA8" s="1611" t="e">
        <f t="shared" ref="AA8:AA47" si="3">D8/F8</f>
        <v>#DIV/0!</v>
      </c>
      <c r="AB8" s="1611" t="e">
        <f t="shared" ref="AB8:AB47" si="4">D8/H8</f>
        <v>#DIV/0!</v>
      </c>
      <c r="AC8" s="1611" t="e">
        <f t="shared" ref="AC8:AC47" si="5">D8/J8</f>
        <v>#DIV/0!</v>
      </c>
    </row>
    <row r="9" spans="1:29" s="1612" customFormat="1">
      <c r="A9" s="1994" t="s">
        <v>2023</v>
      </c>
      <c r="B9" s="1615" t="s">
        <v>2024</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22" t="s">
        <v>2025</v>
      </c>
      <c r="Q9" s="2832" t="str">
        <f t="shared" ref="Q9:Q15" si="6">B9</f>
        <v>用途</v>
      </c>
      <c r="R9" s="1608" t="s">
        <v>25</v>
      </c>
      <c r="S9" s="1609">
        <f t="shared" si="0"/>
        <v>100</v>
      </c>
      <c r="T9" s="1608" t="s">
        <v>25</v>
      </c>
      <c r="U9" s="1609">
        <f t="shared" si="1"/>
        <v>100</v>
      </c>
      <c r="V9" s="1608" t="s">
        <v>25</v>
      </c>
      <c r="W9" s="1609">
        <f t="shared" si="2"/>
        <v>100</v>
      </c>
      <c r="X9" s="1610"/>
      <c r="Y9" s="3486" t="s">
        <v>2026</v>
      </c>
      <c r="Z9" s="1621" t="str">
        <f t="shared" ref="Z9:Z15" si="7">Q9</f>
        <v>用途</v>
      </c>
      <c r="AA9" s="1611">
        <f t="shared" si="3"/>
        <v>1</v>
      </c>
      <c r="AB9" s="1611">
        <f t="shared" si="4"/>
        <v>1</v>
      </c>
      <c r="AC9" s="1611">
        <f t="shared" si="5"/>
        <v>1</v>
      </c>
    </row>
    <row r="10" spans="1:29" s="1629" customFormat="1" ht="27">
      <c r="A10" s="1622"/>
      <c r="B10" s="1623" t="s">
        <v>2027</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22"/>
      <c r="Q10" s="2832" t="str">
        <f t="shared" si="6"/>
        <v>土地使用年限（年）</v>
      </c>
      <c r="R10" s="1608" t="s">
        <v>25</v>
      </c>
      <c r="S10" s="1609">
        <f t="shared" si="0"/>
        <v>100</v>
      </c>
      <c r="T10" s="1608" t="s">
        <v>25</v>
      </c>
      <c r="U10" s="1609">
        <f t="shared" si="1"/>
        <v>100</v>
      </c>
      <c r="V10" s="1608" t="s">
        <v>25</v>
      </c>
      <c r="W10" s="1609">
        <f t="shared" si="2"/>
        <v>100</v>
      </c>
      <c r="X10" s="1610"/>
      <c r="Y10" s="3486"/>
      <c r="Z10" s="1621" t="str">
        <f t="shared" si="7"/>
        <v>土地使用年限（年）</v>
      </c>
      <c r="AA10" s="1611">
        <f t="shared" si="3"/>
        <v>1</v>
      </c>
      <c r="AB10" s="1611">
        <f t="shared" si="4"/>
        <v>1</v>
      </c>
      <c r="AC10" s="1611">
        <f t="shared" si="5"/>
        <v>1</v>
      </c>
    </row>
    <row r="11" spans="1:29" ht="15">
      <c r="A11" s="1630"/>
      <c r="B11" s="1623" t="s">
        <v>2028</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22"/>
      <c r="Q11" s="2832" t="str">
        <f t="shared" si="6"/>
        <v>容积率</v>
      </c>
      <c r="R11" s="1608" t="s">
        <v>25</v>
      </c>
      <c r="S11" s="1609" t="e">
        <f t="shared" si="0"/>
        <v>#N/A</v>
      </c>
      <c r="T11" s="1608" t="s">
        <v>25</v>
      </c>
      <c r="U11" s="1609" t="e">
        <f t="shared" si="1"/>
        <v>#N/A</v>
      </c>
      <c r="V11" s="1608" t="s">
        <v>25</v>
      </c>
      <c r="W11" s="1609" t="e">
        <f t="shared" si="2"/>
        <v>#N/A</v>
      </c>
      <c r="X11" s="1610"/>
      <c r="Y11" s="3486"/>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22"/>
      <c r="Q12" s="2832">
        <f t="shared" si="6"/>
        <v>111</v>
      </c>
      <c r="R12" s="1608" t="s">
        <v>25</v>
      </c>
      <c r="S12" s="1609">
        <f t="shared" si="0"/>
        <v>100</v>
      </c>
      <c r="T12" s="1608" t="s">
        <v>25</v>
      </c>
      <c r="U12" s="1609">
        <f t="shared" si="1"/>
        <v>100</v>
      </c>
      <c r="V12" s="1608" t="s">
        <v>25</v>
      </c>
      <c r="W12" s="1609">
        <f t="shared" si="2"/>
        <v>100</v>
      </c>
      <c r="X12" s="1610"/>
      <c r="Y12" s="3486"/>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22"/>
      <c r="Q13" s="2832">
        <f t="shared" si="6"/>
        <v>111</v>
      </c>
      <c r="R13" s="1608" t="s">
        <v>25</v>
      </c>
      <c r="S13" s="1609">
        <f t="shared" si="0"/>
        <v>100</v>
      </c>
      <c r="T13" s="1608" t="s">
        <v>25</v>
      </c>
      <c r="U13" s="1609">
        <f t="shared" si="1"/>
        <v>100</v>
      </c>
      <c r="V13" s="1608" t="s">
        <v>25</v>
      </c>
      <c r="W13" s="1609">
        <f t="shared" si="2"/>
        <v>100</v>
      </c>
      <c r="X13" s="1610"/>
      <c r="Y13" s="3486"/>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22"/>
      <c r="Q14" s="2832">
        <f t="shared" si="6"/>
        <v>111</v>
      </c>
      <c r="R14" s="1608" t="s">
        <v>25</v>
      </c>
      <c r="S14" s="1609">
        <f t="shared" si="0"/>
        <v>100</v>
      </c>
      <c r="T14" s="1608" t="s">
        <v>25</v>
      </c>
      <c r="U14" s="1609">
        <f t="shared" si="1"/>
        <v>100</v>
      </c>
      <c r="V14" s="1608" t="s">
        <v>25</v>
      </c>
      <c r="W14" s="1609">
        <f t="shared" si="2"/>
        <v>100</v>
      </c>
      <c r="X14" s="1610"/>
      <c r="Y14" s="3486"/>
      <c r="Z14" s="1621">
        <f t="shared" si="7"/>
        <v>111</v>
      </c>
      <c r="AA14" s="1611">
        <f t="shared" si="3"/>
        <v>1</v>
      </c>
      <c r="AB14" s="1611">
        <f t="shared" si="4"/>
        <v>1</v>
      </c>
      <c r="AC14" s="1611">
        <f t="shared" si="5"/>
        <v>1</v>
      </c>
    </row>
    <row r="15" spans="1:29" ht="71.25">
      <c r="A15" s="1645" t="s">
        <v>2029</v>
      </c>
      <c r="B15" s="2410" t="s">
        <v>2144</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1" t="s">
        <v>2030</v>
      </c>
      <c r="Q15" s="2833" t="str">
        <f t="shared" si="6"/>
        <v>办公集聚程度</v>
      </c>
      <c r="R15" s="1653" t="s">
        <v>25</v>
      </c>
      <c r="S15" s="1654">
        <f t="shared" si="0"/>
        <v>100</v>
      </c>
      <c r="T15" s="1653" t="s">
        <v>25</v>
      </c>
      <c r="U15" s="1654">
        <f t="shared" si="1"/>
        <v>100</v>
      </c>
      <c r="V15" s="1653" t="s">
        <v>25</v>
      </c>
      <c r="W15" s="1654">
        <f t="shared" si="2"/>
        <v>100</v>
      </c>
      <c r="X15" s="2002"/>
      <c r="Y15" s="3611" t="s">
        <v>2030</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12"/>
      <c r="Q16" s="2833"/>
      <c r="R16" s="1653"/>
      <c r="S16" s="1654"/>
      <c r="T16" s="1653"/>
      <c r="U16" s="1654"/>
      <c r="V16" s="1653"/>
      <c r="W16" s="1654"/>
      <c r="X16" s="2002"/>
      <c r="Y16" s="3612"/>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12"/>
      <c r="Q17" s="2833" t="str">
        <f>B17</f>
        <v>交通便捷度</v>
      </c>
      <c r="R17" s="1653" t="s">
        <v>25</v>
      </c>
      <c r="S17" s="1654">
        <f>F17</f>
        <v>100</v>
      </c>
      <c r="T17" s="1653" t="s">
        <v>25</v>
      </c>
      <c r="U17" s="1654">
        <f>H17</f>
        <v>100</v>
      </c>
      <c r="V17" s="1653" t="s">
        <v>25</v>
      </c>
      <c r="W17" s="1654">
        <f>J17</f>
        <v>100</v>
      </c>
      <c r="X17" s="2002"/>
      <c r="Y17" s="3612"/>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12"/>
      <c r="Q18" s="2833"/>
      <c r="R18" s="1653"/>
      <c r="S18" s="1654"/>
      <c r="T18" s="1653"/>
      <c r="U18" s="1654"/>
      <c r="V18" s="1653"/>
      <c r="W18" s="1654"/>
      <c r="X18" s="2002"/>
      <c r="Y18" s="3612"/>
      <c r="Z18" s="2006"/>
      <c r="AA18" s="1997">
        <v>1</v>
      </c>
      <c r="AB18" s="1997">
        <v>1</v>
      </c>
      <c r="AC18" s="1997">
        <v>1</v>
      </c>
    </row>
    <row r="19" spans="1:29" ht="42.75">
      <c r="A19" s="1630"/>
      <c r="B19" s="2412" t="s">
        <v>2145</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12"/>
      <c r="Q19" s="2833" t="str">
        <f>B19</f>
        <v>公共配套设施</v>
      </c>
      <c r="R19" s="1653" t="s">
        <v>25</v>
      </c>
      <c r="S19" s="1654">
        <f>F19</f>
        <v>100</v>
      </c>
      <c r="T19" s="1653" t="s">
        <v>25</v>
      </c>
      <c r="U19" s="1654">
        <f>H19</f>
        <v>100</v>
      </c>
      <c r="V19" s="1653" t="s">
        <v>25</v>
      </c>
      <c r="W19" s="1654">
        <f>J19</f>
        <v>100</v>
      </c>
      <c r="X19" s="2002"/>
      <c r="Y19" s="3612"/>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12"/>
      <c r="Q20" s="2833"/>
      <c r="R20" s="1653"/>
      <c r="S20" s="1654"/>
      <c r="T20" s="1653"/>
      <c r="U20" s="1654"/>
      <c r="V20" s="1653"/>
      <c r="W20" s="1654"/>
      <c r="X20" s="2002"/>
      <c r="Y20" s="3612"/>
      <c r="Z20" s="2006"/>
      <c r="AA20" s="1997">
        <v>1</v>
      </c>
      <c r="AB20" s="1997">
        <v>1</v>
      </c>
      <c r="AC20" s="1997">
        <v>1</v>
      </c>
    </row>
    <row r="21" spans="1:29" ht="28.5">
      <c r="A21" s="1630"/>
      <c r="B21" s="2414" t="s">
        <v>2146</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12"/>
      <c r="Q21" s="2833" t="str">
        <f>B21</f>
        <v>基础设施水平</v>
      </c>
      <c r="R21" s="1653" t="s">
        <v>25</v>
      </c>
      <c r="S21" s="1654">
        <f>F21</f>
        <v>100</v>
      </c>
      <c r="T21" s="1653" t="s">
        <v>25</v>
      </c>
      <c r="U21" s="1654">
        <f>H21</f>
        <v>100</v>
      </c>
      <c r="V21" s="1653" t="s">
        <v>25</v>
      </c>
      <c r="W21" s="1654">
        <f>J21</f>
        <v>100</v>
      </c>
      <c r="X21" s="2002"/>
      <c r="Y21" s="3612"/>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12"/>
      <c r="Q22" s="2833"/>
      <c r="R22" s="1653"/>
      <c r="S22" s="1654"/>
      <c r="T22" s="1653"/>
      <c r="U22" s="1654"/>
      <c r="V22" s="1653"/>
      <c r="W22" s="1654"/>
      <c r="X22" s="2002"/>
      <c r="Y22" s="3612"/>
      <c r="Z22" s="2006"/>
      <c r="AA22" s="1997">
        <v>1</v>
      </c>
      <c r="AB22" s="1997">
        <v>1</v>
      </c>
      <c r="AC22" s="1997">
        <v>1</v>
      </c>
    </row>
    <row r="23" spans="1:29" ht="57">
      <c r="A23" s="1630"/>
      <c r="B23" s="2412" t="s">
        <v>2147</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12"/>
      <c r="Q23" s="2833" t="str">
        <f>B23</f>
        <v>环境质量</v>
      </c>
      <c r="R23" s="1653" t="s">
        <v>25</v>
      </c>
      <c r="S23" s="1654">
        <f>F23</f>
        <v>100</v>
      </c>
      <c r="T23" s="1653" t="s">
        <v>25</v>
      </c>
      <c r="U23" s="1654">
        <f>H23</f>
        <v>100</v>
      </c>
      <c r="V23" s="1653" t="s">
        <v>25</v>
      </c>
      <c r="W23" s="1654">
        <f>J23</f>
        <v>100</v>
      </c>
      <c r="X23" s="2002"/>
      <c r="Y23" s="3612"/>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12"/>
      <c r="Q24" s="2833"/>
      <c r="R24" s="1653"/>
      <c r="S24" s="1654"/>
      <c r="T24" s="1653"/>
      <c r="U24" s="1654"/>
      <c r="V24" s="1653"/>
      <c r="W24" s="1654"/>
      <c r="X24" s="2002"/>
      <c r="Y24" s="3612"/>
      <c r="Z24" s="2006"/>
      <c r="AA24" s="1997">
        <v>1</v>
      </c>
      <c r="AB24" s="1997">
        <v>1</v>
      </c>
      <c r="AC24" s="1997">
        <v>1</v>
      </c>
    </row>
    <row r="25" spans="1:29" ht="27">
      <c r="A25" s="1595"/>
      <c r="B25" s="2412" t="s">
        <v>2148</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12"/>
      <c r="Q25" s="2833" t="str">
        <f>B25</f>
        <v>毗邻道路的类型与等级</v>
      </c>
      <c r="R25" s="1653" t="s">
        <v>25</v>
      </c>
      <c r="S25" s="1654">
        <f>F25</f>
        <v>100</v>
      </c>
      <c r="T25" s="1653" t="s">
        <v>25</v>
      </c>
      <c r="U25" s="1654">
        <f>H25</f>
        <v>100</v>
      </c>
      <c r="V25" s="1653" t="s">
        <v>25</v>
      </c>
      <c r="W25" s="1654">
        <f>J25</f>
        <v>100</v>
      </c>
      <c r="X25" s="2002"/>
      <c r="Y25" s="3612"/>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12"/>
      <c r="Q26" s="2833"/>
      <c r="R26" s="1653"/>
      <c r="S26" s="1654"/>
      <c r="T26" s="1653"/>
      <c r="U26" s="1654"/>
      <c r="V26" s="1653"/>
      <c r="W26" s="1654"/>
      <c r="X26" s="2002"/>
      <c r="Y26" s="3612"/>
      <c r="Z26" s="2006"/>
      <c r="AA26" s="1997">
        <v>1</v>
      </c>
      <c r="AB26" s="1997">
        <v>1</v>
      </c>
      <c r="AC26" s="1997">
        <v>1</v>
      </c>
    </row>
    <row r="27" spans="1:29" ht="15">
      <c r="A27" s="1630"/>
      <c r="B27" s="2413" t="s">
        <v>2121</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12"/>
      <c r="Q27" s="2833" t="str">
        <f t="shared" ref="Q27:Q47" si="11">B27</f>
        <v>楼层</v>
      </c>
      <c r="R27" s="1653" t="s">
        <v>25</v>
      </c>
      <c r="S27" s="1654">
        <f>F27</f>
        <v>100</v>
      </c>
      <c r="T27" s="1653" t="s">
        <v>25</v>
      </c>
      <c r="U27" s="1654">
        <f>H27</f>
        <v>100</v>
      </c>
      <c r="V27" s="1653" t="s">
        <v>25</v>
      </c>
      <c r="W27" s="1654">
        <f>J27</f>
        <v>100</v>
      </c>
      <c r="X27" s="2002"/>
      <c r="Y27" s="3612"/>
      <c r="Z27" s="2006" t="str">
        <f>Q27</f>
        <v>楼层</v>
      </c>
      <c r="AA27" s="1997">
        <f t="shared" si="3"/>
        <v>1</v>
      </c>
      <c r="AB27" s="1997">
        <f t="shared" si="4"/>
        <v>1</v>
      </c>
      <c r="AC27" s="1997">
        <f t="shared" si="5"/>
        <v>1</v>
      </c>
    </row>
    <row r="28" spans="1:29" s="1612" customFormat="1" ht="15">
      <c r="A28" s="1633"/>
      <c r="B28" s="2412" t="s">
        <v>2149</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12"/>
      <c r="Q28" s="2832" t="str">
        <f t="shared" si="11"/>
        <v>朝向</v>
      </c>
      <c r="R28" s="1608" t="s">
        <v>25</v>
      </c>
      <c r="S28" s="1609">
        <f>F28</f>
        <v>100</v>
      </c>
      <c r="T28" s="1608" t="s">
        <v>25</v>
      </c>
      <c r="U28" s="1609">
        <f>H28</f>
        <v>100</v>
      </c>
      <c r="V28" s="1608" t="s">
        <v>25</v>
      </c>
      <c r="W28" s="1609">
        <f>J28</f>
        <v>100</v>
      </c>
      <c r="X28" s="1610"/>
      <c r="Y28" s="3612"/>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12"/>
      <c r="Q29" s="2833">
        <f t="shared" si="11"/>
        <v>111</v>
      </c>
      <c r="R29" s="1653" t="s">
        <v>25</v>
      </c>
      <c r="S29" s="1654">
        <f t="shared" ref="S29:S47" si="12">F29</f>
        <v>100</v>
      </c>
      <c r="T29" s="1653" t="s">
        <v>25</v>
      </c>
      <c r="U29" s="1654">
        <f t="shared" ref="U29:U47" si="13">H29</f>
        <v>100</v>
      </c>
      <c r="V29" s="1653" t="s">
        <v>25</v>
      </c>
      <c r="W29" s="1654">
        <f t="shared" ref="W29:W47" si="14">J29</f>
        <v>100</v>
      </c>
      <c r="X29" s="2002"/>
      <c r="Y29" s="3612"/>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12"/>
      <c r="Q30" s="2833">
        <f t="shared" si="11"/>
        <v>111</v>
      </c>
      <c r="R30" s="1653" t="s">
        <v>25</v>
      </c>
      <c r="S30" s="1654">
        <f t="shared" si="12"/>
        <v>100</v>
      </c>
      <c r="T30" s="1653" t="s">
        <v>25</v>
      </c>
      <c r="U30" s="1654">
        <f t="shared" si="13"/>
        <v>100</v>
      </c>
      <c r="V30" s="1653" t="s">
        <v>25</v>
      </c>
      <c r="W30" s="1654">
        <f t="shared" si="14"/>
        <v>100</v>
      </c>
      <c r="X30" s="2002"/>
      <c r="Y30" s="3612"/>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12"/>
      <c r="Q31" s="2833">
        <f t="shared" si="11"/>
        <v>111</v>
      </c>
      <c r="R31" s="1653" t="s">
        <v>25</v>
      </c>
      <c r="S31" s="1654">
        <f t="shared" si="12"/>
        <v>100</v>
      </c>
      <c r="T31" s="1653" t="s">
        <v>25</v>
      </c>
      <c r="U31" s="1654">
        <f t="shared" si="13"/>
        <v>100</v>
      </c>
      <c r="V31" s="1653" t="s">
        <v>25</v>
      </c>
      <c r="W31" s="1654">
        <f t="shared" si="14"/>
        <v>100</v>
      </c>
      <c r="X31" s="2002"/>
      <c r="Y31" s="3612"/>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12"/>
      <c r="Q32" s="2833">
        <f t="shared" si="11"/>
        <v>111</v>
      </c>
      <c r="R32" s="1653" t="s">
        <v>25</v>
      </c>
      <c r="S32" s="1654">
        <f t="shared" si="12"/>
        <v>100</v>
      </c>
      <c r="T32" s="1653" t="s">
        <v>25</v>
      </c>
      <c r="U32" s="1654">
        <f t="shared" si="13"/>
        <v>100</v>
      </c>
      <c r="V32" s="1653" t="s">
        <v>25</v>
      </c>
      <c r="W32" s="1654">
        <f t="shared" si="14"/>
        <v>100</v>
      </c>
      <c r="X32" s="2002"/>
      <c r="Y32" s="3612"/>
      <c r="Z32" s="2006">
        <f t="shared" si="15"/>
        <v>111</v>
      </c>
      <c r="AA32" s="1997">
        <f t="shared" si="3"/>
        <v>1</v>
      </c>
      <c r="AB32" s="1997">
        <f t="shared" si="4"/>
        <v>1</v>
      </c>
      <c r="AC32" s="1997">
        <f t="shared" si="5"/>
        <v>1</v>
      </c>
    </row>
    <row r="33" spans="1:29" ht="15">
      <c r="A33" s="1645" t="s">
        <v>2034</v>
      </c>
      <c r="B33" s="1615" t="s">
        <v>2150</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1" t="s">
        <v>2036</v>
      </c>
      <c r="Q33" s="2833" t="str">
        <f t="shared" si="11"/>
        <v>建筑类型</v>
      </c>
      <c r="R33" s="1653" t="s">
        <v>25</v>
      </c>
      <c r="S33" s="1654">
        <f t="shared" si="12"/>
        <v>100</v>
      </c>
      <c r="T33" s="1653" t="s">
        <v>25</v>
      </c>
      <c r="U33" s="1654">
        <f t="shared" si="13"/>
        <v>100</v>
      </c>
      <c r="V33" s="1653" t="s">
        <v>25</v>
      </c>
      <c r="W33" s="1654">
        <f t="shared" si="14"/>
        <v>100</v>
      </c>
      <c r="X33" s="2002"/>
      <c r="Y33" s="3616" t="s">
        <v>2036</v>
      </c>
      <c r="Z33" s="2006" t="str">
        <f t="shared" si="15"/>
        <v>建筑类型</v>
      </c>
      <c r="AA33" s="1997">
        <f t="shared" si="3"/>
        <v>1</v>
      </c>
      <c r="AB33" s="1997">
        <f t="shared" si="4"/>
        <v>1</v>
      </c>
      <c r="AC33" s="1997">
        <f t="shared" si="5"/>
        <v>1</v>
      </c>
    </row>
    <row r="34" spans="1:29" s="1699" customFormat="1" ht="15">
      <c r="A34" s="1692"/>
      <c r="B34" s="1623" t="s">
        <v>2037</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16"/>
      <c r="Q34" s="1694" t="str">
        <f t="shared" si="11"/>
        <v>项目建筑规模</v>
      </c>
      <c r="R34" s="1695" t="s">
        <v>25</v>
      </c>
      <c r="S34" s="1696" t="e">
        <f t="shared" si="12"/>
        <v>#N/A</v>
      </c>
      <c r="T34" s="1695" t="s">
        <v>25</v>
      </c>
      <c r="U34" s="1696" t="e">
        <f t="shared" si="13"/>
        <v>#N/A</v>
      </c>
      <c r="V34" s="1695" t="s">
        <v>25</v>
      </c>
      <c r="W34" s="1696" t="e">
        <f t="shared" si="14"/>
        <v>#N/A</v>
      </c>
      <c r="X34" s="1697"/>
      <c r="Y34" s="3616"/>
      <c r="Z34" s="1698" t="str">
        <f t="shared" si="15"/>
        <v>项目建筑规模</v>
      </c>
      <c r="AA34" s="1997" t="e">
        <f t="shared" si="3"/>
        <v>#N/A</v>
      </c>
      <c r="AB34" s="1997" t="e">
        <f t="shared" si="4"/>
        <v>#N/A</v>
      </c>
      <c r="AC34" s="1997" t="e">
        <f t="shared" si="5"/>
        <v>#N/A</v>
      </c>
    </row>
    <row r="35" spans="1:29" ht="15">
      <c r="A35" s="1700"/>
      <c r="B35" s="1623" t="s">
        <v>2038</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16"/>
      <c r="Q35" s="2833" t="str">
        <f t="shared" si="11"/>
        <v>建筑结构</v>
      </c>
      <c r="R35" s="1653" t="s">
        <v>25</v>
      </c>
      <c r="S35" s="1654">
        <f t="shared" si="12"/>
        <v>100</v>
      </c>
      <c r="T35" s="1653" t="s">
        <v>25</v>
      </c>
      <c r="U35" s="1654">
        <f t="shared" si="13"/>
        <v>100</v>
      </c>
      <c r="V35" s="1653" t="s">
        <v>25</v>
      </c>
      <c r="W35" s="1654">
        <f t="shared" si="14"/>
        <v>100</v>
      </c>
      <c r="X35" s="2002"/>
      <c r="Y35" s="3616"/>
      <c r="Z35" s="2006" t="str">
        <f t="shared" si="15"/>
        <v>建筑结构</v>
      </c>
      <c r="AA35" s="1997">
        <f t="shared" si="3"/>
        <v>1</v>
      </c>
      <c r="AB35" s="1997">
        <f t="shared" si="4"/>
        <v>1</v>
      </c>
      <c r="AC35" s="1997">
        <f t="shared" si="5"/>
        <v>1</v>
      </c>
    </row>
    <row r="36" spans="1:29" ht="15">
      <c r="A36" s="1700"/>
      <c r="B36" s="1623" t="s">
        <v>2123</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16"/>
      <c r="Q36" s="2833" t="str">
        <f t="shared" si="11"/>
        <v>公共部分装修</v>
      </c>
      <c r="R36" s="1653" t="s">
        <v>25</v>
      </c>
      <c r="S36" s="1654">
        <f t="shared" si="12"/>
        <v>100</v>
      </c>
      <c r="T36" s="1653" t="s">
        <v>25</v>
      </c>
      <c r="U36" s="1654">
        <f t="shared" si="13"/>
        <v>100</v>
      </c>
      <c r="V36" s="1653" t="s">
        <v>25</v>
      </c>
      <c r="W36" s="1654">
        <f t="shared" si="14"/>
        <v>100</v>
      </c>
      <c r="X36" s="2002"/>
      <c r="Y36" s="3616"/>
      <c r="Z36" s="2006" t="str">
        <f t="shared" si="15"/>
        <v>公共部分装修</v>
      </c>
      <c r="AA36" s="1997">
        <f t="shared" si="3"/>
        <v>1</v>
      </c>
      <c r="AB36" s="1997">
        <f t="shared" si="4"/>
        <v>1</v>
      </c>
      <c r="AC36" s="1997">
        <f t="shared" si="5"/>
        <v>1</v>
      </c>
    </row>
    <row r="37" spans="1:29" ht="15">
      <c r="A37" s="1700"/>
      <c r="B37" s="1623" t="s">
        <v>2124</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16"/>
      <c r="Q37" s="2833" t="str">
        <f t="shared" si="11"/>
        <v>成新度</v>
      </c>
      <c r="R37" s="1653" t="s">
        <v>25</v>
      </c>
      <c r="S37" s="1654" t="e">
        <f t="shared" si="12"/>
        <v>#N/A</v>
      </c>
      <c r="T37" s="1653" t="s">
        <v>25</v>
      </c>
      <c r="U37" s="1654" t="e">
        <f t="shared" si="13"/>
        <v>#N/A</v>
      </c>
      <c r="V37" s="1653" t="s">
        <v>25</v>
      </c>
      <c r="W37" s="1654" t="e">
        <f t="shared" si="14"/>
        <v>#N/A</v>
      </c>
      <c r="X37" s="2002"/>
      <c r="Y37" s="3616"/>
      <c r="Z37" s="2006" t="str">
        <f t="shared" si="15"/>
        <v>成新度</v>
      </c>
      <c r="AA37" s="1997" t="e">
        <f t="shared" si="3"/>
        <v>#N/A</v>
      </c>
      <c r="AB37" s="1997" t="e">
        <f t="shared" si="4"/>
        <v>#N/A</v>
      </c>
      <c r="AC37" s="1997" t="e">
        <f t="shared" si="5"/>
        <v>#N/A</v>
      </c>
    </row>
    <row r="38" spans="1:29" s="1612" customFormat="1" ht="15">
      <c r="A38" s="1703"/>
      <c r="B38" s="1623" t="s">
        <v>2151</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16"/>
      <c r="Q38" s="2832" t="str">
        <f t="shared" si="11"/>
        <v>写字楼等级</v>
      </c>
      <c r="R38" s="1608" t="s">
        <v>25</v>
      </c>
      <c r="S38" s="1609">
        <f t="shared" si="12"/>
        <v>100</v>
      </c>
      <c r="T38" s="1608" t="s">
        <v>25</v>
      </c>
      <c r="U38" s="1609">
        <f t="shared" si="13"/>
        <v>100</v>
      </c>
      <c r="V38" s="1608" t="s">
        <v>25</v>
      </c>
      <c r="W38" s="1609">
        <f t="shared" si="14"/>
        <v>100</v>
      </c>
      <c r="X38" s="1610"/>
      <c r="Y38" s="3616"/>
      <c r="Z38" s="1621" t="str">
        <f t="shared" si="15"/>
        <v>写字楼等级</v>
      </c>
      <c r="AA38" s="1611">
        <f t="shared" si="3"/>
        <v>1</v>
      </c>
      <c r="AB38" s="1611">
        <f t="shared" si="4"/>
        <v>1</v>
      </c>
      <c r="AC38" s="1611">
        <f t="shared" si="5"/>
        <v>1</v>
      </c>
    </row>
    <row r="39" spans="1:29" ht="15">
      <c r="A39" s="1700"/>
      <c r="B39" s="1623" t="s">
        <v>2152</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16" t="s">
        <v>2036</v>
      </c>
      <c r="Q39" s="2833" t="str">
        <f t="shared" si="11"/>
        <v>物业管理</v>
      </c>
      <c r="R39" s="1653" t="s">
        <v>25</v>
      </c>
      <c r="S39" s="1654">
        <f t="shared" si="12"/>
        <v>100</v>
      </c>
      <c r="T39" s="1653" t="s">
        <v>25</v>
      </c>
      <c r="U39" s="1654">
        <f t="shared" si="13"/>
        <v>100</v>
      </c>
      <c r="V39" s="1653" t="s">
        <v>25</v>
      </c>
      <c r="W39" s="1654">
        <f t="shared" si="14"/>
        <v>100</v>
      </c>
      <c r="X39" s="2002"/>
      <c r="Y39" s="3616" t="s">
        <v>2036</v>
      </c>
      <c r="Z39" s="2006" t="str">
        <f t="shared" si="15"/>
        <v>物业管理</v>
      </c>
      <c r="AA39" s="1997">
        <f t="shared" si="3"/>
        <v>1</v>
      </c>
      <c r="AB39" s="1997">
        <f t="shared" si="4"/>
        <v>1</v>
      </c>
      <c r="AC39" s="1997">
        <f t="shared" si="5"/>
        <v>1</v>
      </c>
    </row>
    <row r="40" spans="1:29" ht="15">
      <c r="A40" s="1700"/>
      <c r="B40" s="1623" t="s">
        <v>2125</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16"/>
      <c r="Q40" s="2833" t="str">
        <f t="shared" si="11"/>
        <v>市政基础设施</v>
      </c>
      <c r="R40" s="1653" t="s">
        <v>25</v>
      </c>
      <c r="S40" s="1654">
        <f t="shared" si="12"/>
        <v>100</v>
      </c>
      <c r="T40" s="1653" t="s">
        <v>25</v>
      </c>
      <c r="U40" s="1654">
        <f t="shared" si="13"/>
        <v>100</v>
      </c>
      <c r="V40" s="1653" t="s">
        <v>25</v>
      </c>
      <c r="W40" s="1654">
        <f t="shared" si="14"/>
        <v>100</v>
      </c>
      <c r="X40" s="2002"/>
      <c r="Y40" s="3616"/>
      <c r="Z40" s="2006" t="str">
        <f t="shared" si="15"/>
        <v>市政基础设施</v>
      </c>
      <c r="AA40" s="1997">
        <f t="shared" si="3"/>
        <v>1</v>
      </c>
      <c r="AB40" s="1997">
        <f t="shared" si="4"/>
        <v>1</v>
      </c>
      <c r="AC40" s="1997">
        <f t="shared" si="5"/>
        <v>1</v>
      </c>
    </row>
    <row r="41" spans="1:29" ht="15">
      <c r="A41" s="1700"/>
      <c r="B41" s="1623" t="s">
        <v>2127</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16"/>
      <c r="Q41" s="2833" t="str">
        <f t="shared" si="11"/>
        <v>层高</v>
      </c>
      <c r="R41" s="1653" t="s">
        <v>25</v>
      </c>
      <c r="S41" s="1654">
        <f t="shared" si="12"/>
        <v>100</v>
      </c>
      <c r="T41" s="1653" t="s">
        <v>25</v>
      </c>
      <c r="U41" s="1654">
        <f t="shared" si="13"/>
        <v>100</v>
      </c>
      <c r="V41" s="1653" t="s">
        <v>25</v>
      </c>
      <c r="W41" s="1654">
        <f t="shared" si="14"/>
        <v>100</v>
      </c>
      <c r="X41" s="2002"/>
      <c r="Y41" s="3616"/>
      <c r="Z41" s="2006" t="str">
        <f t="shared" si="15"/>
        <v>层高</v>
      </c>
      <c r="AA41" s="1997">
        <f t="shared" si="3"/>
        <v>1</v>
      </c>
      <c r="AB41" s="1997">
        <f t="shared" si="4"/>
        <v>1</v>
      </c>
      <c r="AC41" s="1997">
        <f t="shared" si="5"/>
        <v>1</v>
      </c>
    </row>
    <row r="42" spans="1:29" s="1699" customFormat="1" ht="15">
      <c r="A42" s="1692"/>
      <c r="B42" s="1998" t="s">
        <v>2153</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16"/>
      <c r="Q42" s="1694" t="str">
        <f t="shared" si="11"/>
        <v>单套建筑面积</v>
      </c>
      <c r="R42" s="1695" t="s">
        <v>25</v>
      </c>
      <c r="S42" s="1696">
        <f t="shared" si="12"/>
        <v>100</v>
      </c>
      <c r="T42" s="1695" t="s">
        <v>25</v>
      </c>
      <c r="U42" s="1696">
        <f t="shared" si="13"/>
        <v>100</v>
      </c>
      <c r="V42" s="1695" t="s">
        <v>25</v>
      </c>
      <c r="W42" s="1696">
        <f t="shared" si="14"/>
        <v>100</v>
      </c>
      <c r="X42" s="1697"/>
      <c r="Y42" s="3616"/>
      <c r="Z42" s="1698" t="str">
        <f t="shared" si="15"/>
        <v>单套建筑面积</v>
      </c>
      <c r="AA42" s="1997">
        <f t="shared" si="3"/>
        <v>1</v>
      </c>
      <c r="AB42" s="1997">
        <f t="shared" si="4"/>
        <v>1</v>
      </c>
      <c r="AC42" s="1997">
        <f t="shared" si="5"/>
        <v>1</v>
      </c>
    </row>
    <row r="43" spans="1:29" ht="15">
      <c r="A43" s="1700"/>
      <c r="B43" s="1623" t="s">
        <v>2130</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16"/>
      <c r="Q43" s="2833" t="str">
        <f t="shared" si="11"/>
        <v>内部装修</v>
      </c>
      <c r="R43" s="1653" t="s">
        <v>25</v>
      </c>
      <c r="S43" s="1654">
        <f t="shared" si="12"/>
        <v>100</v>
      </c>
      <c r="T43" s="1653" t="s">
        <v>25</v>
      </c>
      <c r="U43" s="1654">
        <f t="shared" si="13"/>
        <v>100</v>
      </c>
      <c r="V43" s="1653" t="s">
        <v>25</v>
      </c>
      <c r="W43" s="1654">
        <f t="shared" si="14"/>
        <v>100</v>
      </c>
      <c r="X43" s="2002"/>
      <c r="Y43" s="3616"/>
      <c r="Z43" s="2006" t="str">
        <f t="shared" si="15"/>
        <v>内部装修</v>
      </c>
      <c r="AA43" s="1997">
        <f t="shared" si="3"/>
        <v>1</v>
      </c>
      <c r="AB43" s="1997">
        <f t="shared" si="4"/>
        <v>1</v>
      </c>
      <c r="AC43" s="1997">
        <f t="shared" si="5"/>
        <v>1</v>
      </c>
    </row>
    <row r="44" spans="1:29" ht="15">
      <c r="A44" s="1700"/>
      <c r="B44" s="1623" t="s">
        <v>2047</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16"/>
      <c r="Q44" s="2833" t="str">
        <f t="shared" si="11"/>
        <v>内部装修维护情况</v>
      </c>
      <c r="R44" s="1653" t="s">
        <v>25</v>
      </c>
      <c r="S44" s="1654">
        <f t="shared" si="12"/>
        <v>100</v>
      </c>
      <c r="T44" s="1653" t="s">
        <v>25</v>
      </c>
      <c r="U44" s="1654">
        <f t="shared" si="13"/>
        <v>100</v>
      </c>
      <c r="V44" s="1653" t="s">
        <v>25</v>
      </c>
      <c r="W44" s="1654">
        <f t="shared" si="14"/>
        <v>100</v>
      </c>
      <c r="X44" s="2002"/>
      <c r="Y44" s="3616"/>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16"/>
      <c r="Q45" s="2832">
        <f t="shared" si="11"/>
        <v>111</v>
      </c>
      <c r="R45" s="1608" t="s">
        <v>25</v>
      </c>
      <c r="S45" s="1609">
        <f t="shared" si="12"/>
        <v>100</v>
      </c>
      <c r="T45" s="1608" t="s">
        <v>25</v>
      </c>
      <c r="U45" s="1609">
        <f t="shared" si="13"/>
        <v>100</v>
      </c>
      <c r="V45" s="1608" t="s">
        <v>25</v>
      </c>
      <c r="W45" s="1609">
        <f t="shared" si="14"/>
        <v>100</v>
      </c>
      <c r="X45" s="1610"/>
      <c r="Y45" s="3616"/>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16"/>
      <c r="Q46" s="2833">
        <f t="shared" si="11"/>
        <v>111</v>
      </c>
      <c r="R46" s="1653" t="s">
        <v>25</v>
      </c>
      <c r="S46" s="1654">
        <f t="shared" si="12"/>
        <v>100</v>
      </c>
      <c r="T46" s="1653" t="s">
        <v>25</v>
      </c>
      <c r="U46" s="1654">
        <f t="shared" si="13"/>
        <v>100</v>
      </c>
      <c r="V46" s="1653" t="s">
        <v>25</v>
      </c>
      <c r="W46" s="1654">
        <f t="shared" si="14"/>
        <v>100</v>
      </c>
      <c r="X46" s="2002"/>
      <c r="Y46" s="3616"/>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17"/>
      <c r="Q47" s="2833">
        <f t="shared" si="11"/>
        <v>111</v>
      </c>
      <c r="R47" s="1653" t="s">
        <v>25</v>
      </c>
      <c r="S47" s="1654">
        <f t="shared" si="12"/>
        <v>100</v>
      </c>
      <c r="T47" s="1653" t="s">
        <v>25</v>
      </c>
      <c r="U47" s="1654">
        <f t="shared" si="13"/>
        <v>100</v>
      </c>
      <c r="V47" s="1653" t="s">
        <v>25</v>
      </c>
      <c r="W47" s="1654">
        <f t="shared" si="14"/>
        <v>100</v>
      </c>
      <c r="X47" s="2002"/>
      <c r="Y47" s="3617"/>
      <c r="Z47" s="2006">
        <f t="shared" si="15"/>
        <v>111</v>
      </c>
      <c r="AA47" s="1997">
        <f t="shared" si="3"/>
        <v>1</v>
      </c>
      <c r="AB47" s="1997">
        <f t="shared" si="4"/>
        <v>1</v>
      </c>
      <c r="AC47" s="1997">
        <f t="shared" si="5"/>
        <v>1</v>
      </c>
    </row>
    <row r="48" spans="1:29" ht="15">
      <c r="A48" s="1709" t="s">
        <v>2048</v>
      </c>
      <c r="B48" s="1710"/>
      <c r="C48" s="1711" t="s">
        <v>1</v>
      </c>
      <c r="D48" s="1712"/>
      <c r="E48" s="1713"/>
      <c r="F48" s="1714"/>
      <c r="G48" s="1715"/>
      <c r="H48" s="1716"/>
      <c r="I48" s="1713"/>
      <c r="J48" s="1716"/>
      <c r="K48" s="1941"/>
      <c r="L48" s="2920"/>
      <c r="M48" s="2915"/>
      <c r="N48" s="2915"/>
      <c r="O48" s="2915"/>
      <c r="P48" s="3622" t="str">
        <f>A48</f>
        <v>成交单价（元/平方米）</v>
      </c>
      <c r="Q48" s="3622"/>
      <c r="R48" s="3623">
        <f>E48</f>
        <v>0</v>
      </c>
      <c r="S48" s="3623"/>
      <c r="T48" s="3623">
        <f>G48</f>
        <v>0</v>
      </c>
      <c r="U48" s="3623"/>
      <c r="V48" s="3623">
        <f>I48</f>
        <v>0</v>
      </c>
      <c r="W48" s="3623"/>
      <c r="X48" s="1719"/>
      <c r="Y48" s="2001"/>
      <c r="Z48" s="1719"/>
      <c r="AA48" s="1719"/>
      <c r="AB48" s="1719"/>
      <c r="AC48" s="1719"/>
    </row>
    <row r="49" spans="1:29" ht="15.75" thickBot="1">
      <c r="A49" s="1721" t="s">
        <v>2131</v>
      </c>
      <c r="B49" s="1722"/>
      <c r="C49" s="1723" t="e">
        <f>R50</f>
        <v>#DIV/0!</v>
      </c>
      <c r="D49" s="1724" t="s">
        <v>2502</v>
      </c>
      <c r="E49" s="1725" t="e">
        <f>R49</f>
        <v>#DIV/0!</v>
      </c>
      <c r="F49" s="1726"/>
      <c r="G49" s="1723" t="e">
        <f>T49</f>
        <v>#DIV/0!</v>
      </c>
      <c r="H49" s="1726"/>
      <c r="I49" s="1725" t="e">
        <f>V49</f>
        <v>#DIV/0!</v>
      </c>
      <c r="J49" s="1726"/>
      <c r="K49" s="2428">
        <f>F49+H49+J49</f>
        <v>0</v>
      </c>
      <c r="L49" s="2920"/>
      <c r="M49" s="2915"/>
      <c r="N49" s="2915"/>
      <c r="O49" s="2915"/>
      <c r="P49" s="3622" t="str">
        <f>A49</f>
        <v>比较价值（元/平方米）</v>
      </c>
      <c r="Q49" s="3622"/>
      <c r="R49" s="3623" t="e">
        <f>IF(E1="售价",ROUND(PRODUCT(R48,AA7:AA47),0),ROUND(PRODUCT(R48,AA7:AA47),1))</f>
        <v>#DIV/0!</v>
      </c>
      <c r="S49" s="3623"/>
      <c r="T49" s="3623" t="e">
        <f>IF(E1="售价",ROUND(PRODUCT(T48,AB7:AB47),0),ROUND(PRODUCT(T48,AB7:AB47),1))</f>
        <v>#DIV/0!</v>
      </c>
      <c r="U49" s="3623"/>
      <c r="V49" s="3623" t="e">
        <f>IF(E1="售价",ROUND(PRODUCT(V48,AC7:AC47),0),ROUND(PRODUCT(V48,AC7:AC47),1))</f>
        <v>#DIV/0!</v>
      </c>
      <c r="W49" s="3623"/>
      <c r="X49" s="1719"/>
      <c r="Y49" s="1719"/>
      <c r="Z49" s="1719"/>
      <c r="AA49" s="1719"/>
      <c r="AB49" s="1719"/>
      <c r="AC49" s="1719"/>
    </row>
    <row r="50" spans="1:29" ht="15.75" thickBot="1">
      <c r="A50" s="1727" t="s">
        <v>2154</v>
      </c>
      <c r="B50" s="1728"/>
      <c r="C50" s="1730" t="e">
        <f>R50</f>
        <v>#DIV/0!</v>
      </c>
      <c r="D50" s="1730"/>
      <c r="E50" s="1730"/>
      <c r="F50" s="1730"/>
      <c r="G50" s="1730"/>
      <c r="H50" s="1730"/>
      <c r="I50" s="1730"/>
      <c r="J50" s="1730"/>
      <c r="K50" s="1946"/>
      <c r="L50" s="2920"/>
      <c r="M50" s="2915"/>
      <c r="N50" s="2915"/>
      <c r="O50" s="2915"/>
      <c r="P50" s="3628" t="str">
        <f>A50</f>
        <v>估价对象XX用房的比较价值（楼面单价，元/平方米）</v>
      </c>
      <c r="Q50" s="3629"/>
      <c r="R50" s="3630" t="e">
        <f>IF(E1="售价",ROUND(IF(D49="简单平均",AVERAGE(R49:V49),R49*F49+T49*H49+V49*J49),0),ROUND(IF(D49="简单平均",AVERAGE(R49:V49),R49*F49+T49*H49+V49*J49),1))</f>
        <v>#DIV/0!</v>
      </c>
      <c r="S50" s="3630"/>
      <c r="T50" s="3630"/>
      <c r="U50" s="3630"/>
      <c r="V50" s="3630"/>
      <c r="W50" s="3630"/>
      <c r="X50" s="1719"/>
      <c r="Y50" s="1719"/>
      <c r="Z50" s="1719"/>
      <c r="AA50" s="1719"/>
      <c r="AB50" s="1719"/>
      <c r="AC50" s="1719"/>
    </row>
    <row r="51" spans="1:29">
      <c r="G51" s="2924"/>
    </row>
    <row r="53" spans="1:29" ht="13.5" customHeight="1">
      <c r="C53" s="383" t="s">
        <v>2133</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2134</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2135</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2136</v>
      </c>
      <c r="B58" s="1719"/>
      <c r="C58" s="1745"/>
      <c r="D58" s="1745"/>
      <c r="E58" s="1745"/>
      <c r="F58" s="1745"/>
      <c r="G58" s="1745"/>
      <c r="H58" s="1745"/>
      <c r="I58" s="1745"/>
      <c r="J58" s="1745"/>
      <c r="K58" s="1746"/>
      <c r="L58" s="1747"/>
      <c r="M58" s="1745"/>
      <c r="N58" s="2923"/>
      <c r="O58" s="2923"/>
      <c r="P58" s="1973"/>
      <c r="Q58" s="1749"/>
    </row>
    <row r="59" spans="1:29" s="1755" customFormat="1" ht="15">
      <c r="A59" s="1750" t="s">
        <v>2018</v>
      </c>
      <c r="B59" s="1751"/>
      <c r="C59" s="1752" t="str">
        <f>YEAR(C7)&amp;"-"&amp;MONTH(C7)</f>
        <v>2022-8</v>
      </c>
      <c r="D59" s="1753">
        <f>EDATE(C59,-1)</f>
        <v>44743</v>
      </c>
      <c r="E59" s="1753">
        <f t="shared" ref="E59:O59" si="16">EDATE(D59,-1)</f>
        <v>44713</v>
      </c>
      <c r="F59" s="1753">
        <f t="shared" si="16"/>
        <v>44682</v>
      </c>
      <c r="G59" s="1753">
        <f t="shared" si="16"/>
        <v>44652</v>
      </c>
      <c r="H59" s="1753">
        <f t="shared" si="16"/>
        <v>44621</v>
      </c>
      <c r="I59" s="1753">
        <f t="shared" si="16"/>
        <v>44593</v>
      </c>
      <c r="J59" s="1753">
        <f t="shared" si="16"/>
        <v>44562</v>
      </c>
      <c r="K59" s="1753">
        <f t="shared" si="16"/>
        <v>44531</v>
      </c>
      <c r="L59" s="1753">
        <f t="shared" si="16"/>
        <v>44501</v>
      </c>
      <c r="M59" s="1753">
        <f t="shared" si="16"/>
        <v>44470</v>
      </c>
      <c r="N59" s="1753">
        <f t="shared" si="16"/>
        <v>44440</v>
      </c>
      <c r="O59" s="1753">
        <f t="shared" si="16"/>
        <v>44409</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2056</v>
      </c>
      <c r="B61" s="1763"/>
      <c r="C61" s="1764"/>
      <c r="D61" s="1765"/>
      <c r="E61" s="1765"/>
      <c r="F61" s="1765"/>
      <c r="G61" s="1765"/>
      <c r="H61" s="1765"/>
      <c r="I61" s="1765"/>
      <c r="J61" s="1765"/>
      <c r="K61" s="1765"/>
      <c r="L61" s="1765"/>
      <c r="M61" s="1766"/>
      <c r="N61" s="1765"/>
      <c r="O61" s="2422"/>
      <c r="P61" s="1749"/>
      <c r="Q61" s="1749"/>
    </row>
    <row r="62" spans="1:29" s="1612" customFormat="1" ht="15">
      <c r="A62" s="1767" t="s">
        <v>2020</v>
      </c>
      <c r="B62" s="1757"/>
      <c r="C62" s="1768" t="s">
        <v>2021</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2059</v>
      </c>
      <c r="B64" s="1775" t="s">
        <v>2024</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2027</v>
      </c>
      <c r="C66" s="1787" t="s">
        <v>2060</v>
      </c>
      <c r="D66" s="1787" t="s">
        <v>2061</v>
      </c>
      <c r="E66" s="1787" t="s">
        <v>2062</v>
      </c>
      <c r="F66" s="1787" t="s">
        <v>2063</v>
      </c>
      <c r="G66" s="1787" t="s">
        <v>2064</v>
      </c>
      <c r="H66" s="1787" t="s">
        <v>2065</v>
      </c>
      <c r="I66" s="1787" t="s">
        <v>2066</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2028</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2029</v>
      </c>
      <c r="B77" s="1775" t="s">
        <v>2155</v>
      </c>
      <c r="C77" s="1813" t="s">
        <v>2068</v>
      </c>
      <c r="D77" s="1813" t="s">
        <v>2069</v>
      </c>
      <c r="E77" s="1813" t="s">
        <v>2070</v>
      </c>
      <c r="F77" s="1813" t="s">
        <v>2071</v>
      </c>
      <c r="G77" s="1813" t="s">
        <v>2072</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2073</v>
      </c>
      <c r="C79" s="579" t="s">
        <v>2068</v>
      </c>
      <c r="D79" s="579" t="s">
        <v>2069</v>
      </c>
      <c r="E79" s="579" t="s">
        <v>2070</v>
      </c>
      <c r="F79" s="579" t="s">
        <v>2071</v>
      </c>
      <c r="G79" s="579" t="s">
        <v>2072</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2074</v>
      </c>
      <c r="C81" s="579" t="s">
        <v>2068</v>
      </c>
      <c r="D81" s="579" t="s">
        <v>2069</v>
      </c>
      <c r="E81" s="579" t="s">
        <v>2070</v>
      </c>
      <c r="F81" s="579" t="s">
        <v>2071</v>
      </c>
      <c r="G81" s="579" t="s">
        <v>2072</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2117</v>
      </c>
      <c r="C83" s="1787" t="s">
        <v>2075</v>
      </c>
      <c r="D83" s="1787" t="s">
        <v>2076</v>
      </c>
      <c r="E83" s="1787" t="s">
        <v>2077</v>
      </c>
      <c r="F83" s="1787" t="s">
        <v>2078</v>
      </c>
      <c r="G83" s="1787" t="s">
        <v>2079</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2156</v>
      </c>
      <c r="C85" s="579" t="s">
        <v>2068</v>
      </c>
      <c r="D85" s="579" t="s">
        <v>2069</v>
      </c>
      <c r="E85" s="579" t="s">
        <v>2070</v>
      </c>
      <c r="F85" s="579" t="s">
        <v>2071</v>
      </c>
      <c r="G85" s="579" t="s">
        <v>2072</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2157</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2034</v>
      </c>
      <c r="B101" s="1775" t="s">
        <v>2083</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2085</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2087</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2158</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2089</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2090</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2159</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2141</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2092</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2093</v>
      </c>
      <c r="C125" s="579" t="s">
        <v>2068</v>
      </c>
      <c r="D125" s="579" t="s">
        <v>2069</v>
      </c>
      <c r="E125" s="579" t="s">
        <v>2070</v>
      </c>
      <c r="F125" s="579" t="s">
        <v>2071</v>
      </c>
      <c r="G125" s="579" t="s">
        <v>2072</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2001</v>
      </c>
      <c r="B1" s="1154" t="s">
        <v>2160</v>
      </c>
      <c r="C1" s="1146"/>
      <c r="D1" s="1159"/>
      <c r="E1" s="1486"/>
      <c r="F1" s="1160" t="s">
        <v>2003</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2004</v>
      </c>
      <c r="D3" s="292">
        <f>IF(C1="仅计算典型户型",'数据-取费表'!E5,'数据-取费表'!B5)</f>
        <v>2380.7600000000002</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2"/>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2018</v>
      </c>
      <c r="B7" s="302"/>
      <c r="C7" s="303">
        <f>'数据-取费表'!B2</f>
        <v>44783</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39" t="s">
        <v>2019</v>
      </c>
      <c r="Q7" s="3663"/>
      <c r="R7" s="626" t="s">
        <v>25</v>
      </c>
      <c r="S7" s="627">
        <f t="shared" ref="S7:S15" si="0">F7</f>
        <v>0</v>
      </c>
      <c r="T7" s="626" t="s">
        <v>25</v>
      </c>
      <c r="U7" s="627">
        <f t="shared" ref="U7:U15" si="1">H7</f>
        <v>0</v>
      </c>
      <c r="V7" s="626" t="s">
        <v>25</v>
      </c>
      <c r="W7" s="627">
        <f t="shared" ref="W7:W15" si="2">J7</f>
        <v>0</v>
      </c>
      <c r="X7" s="628"/>
      <c r="Y7" s="3639" t="s">
        <v>2019</v>
      </c>
      <c r="Z7" s="3640"/>
      <c r="AA7" s="629" t="e">
        <f>D7/F7</f>
        <v>#DIV/0!</v>
      </c>
      <c r="AB7" s="629" t="e">
        <f>D7/H7</f>
        <v>#DIV/0!</v>
      </c>
      <c r="AC7" s="629"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39" t="s">
        <v>2022</v>
      </c>
      <c r="Q8" s="3640"/>
      <c r="R8" s="626" t="s">
        <v>25</v>
      </c>
      <c r="S8" s="627">
        <f t="shared" si="0"/>
        <v>0</v>
      </c>
      <c r="T8" s="626" t="s">
        <v>25</v>
      </c>
      <c r="U8" s="627">
        <f t="shared" si="1"/>
        <v>0</v>
      </c>
      <c r="V8" s="626" t="s">
        <v>25</v>
      </c>
      <c r="W8" s="627">
        <f t="shared" si="2"/>
        <v>0</v>
      </c>
      <c r="X8" s="628"/>
      <c r="Y8" s="3639" t="s">
        <v>2022</v>
      </c>
      <c r="Z8" s="3640"/>
      <c r="AA8" s="629" t="e">
        <f t="shared" ref="AA8:AA40" si="3">D8/F8</f>
        <v>#DIV/0!</v>
      </c>
      <c r="AB8" s="629" t="e">
        <f t="shared" ref="AB8:AB40" si="4">D8/H8</f>
        <v>#DIV/0!</v>
      </c>
      <c r="AC8" s="629"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6" t="s">
        <v>2025</v>
      </c>
      <c r="Q9" s="1254" t="str">
        <f t="shared" ref="Q9:Q15" si="6">B9</f>
        <v>用途</v>
      </c>
      <c r="R9" s="626" t="s">
        <v>25</v>
      </c>
      <c r="S9" s="627">
        <f t="shared" si="0"/>
        <v>100</v>
      </c>
      <c r="T9" s="626" t="s">
        <v>25</v>
      </c>
      <c r="U9" s="627">
        <f t="shared" si="1"/>
        <v>100</v>
      </c>
      <c r="V9" s="626" t="s">
        <v>25</v>
      </c>
      <c r="W9" s="627">
        <f t="shared" si="2"/>
        <v>100</v>
      </c>
      <c r="X9" s="628"/>
      <c r="Y9" s="3666" t="s">
        <v>2026</v>
      </c>
      <c r="Z9" s="19" t="str">
        <f t="shared" ref="Z9:Z15" si="7">Q9</f>
        <v>用途</v>
      </c>
      <c r="AA9" s="629">
        <f t="shared" si="3"/>
        <v>1</v>
      </c>
      <c r="AB9" s="629">
        <f t="shared" si="4"/>
        <v>1</v>
      </c>
      <c r="AC9" s="629">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6"/>
      <c r="Q10" s="1254" t="str">
        <f t="shared" si="6"/>
        <v>土地使用年限（年）</v>
      </c>
      <c r="R10" s="626" t="s">
        <v>25</v>
      </c>
      <c r="S10" s="627">
        <f t="shared" si="0"/>
        <v>100</v>
      </c>
      <c r="T10" s="626" t="s">
        <v>25</v>
      </c>
      <c r="U10" s="627">
        <f t="shared" si="1"/>
        <v>100</v>
      </c>
      <c r="V10" s="626" t="s">
        <v>25</v>
      </c>
      <c r="W10" s="627">
        <f t="shared" si="2"/>
        <v>100</v>
      </c>
      <c r="X10" s="628"/>
      <c r="Y10" s="3666"/>
      <c r="Z10" s="19" t="str">
        <f t="shared" si="7"/>
        <v>土地使用年限（年）</v>
      </c>
      <c r="AA10" s="629">
        <f t="shared" si="3"/>
        <v>1</v>
      </c>
      <c r="AB10" s="629">
        <f t="shared" si="4"/>
        <v>1</v>
      </c>
      <c r="AC10" s="629">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6"/>
      <c r="Q11" s="1254" t="str">
        <f t="shared" si="6"/>
        <v>容积率</v>
      </c>
      <c r="R11" s="626" t="s">
        <v>25</v>
      </c>
      <c r="S11" s="627" t="e">
        <f t="shared" si="0"/>
        <v>#N/A</v>
      </c>
      <c r="T11" s="626" t="s">
        <v>25</v>
      </c>
      <c r="U11" s="627" t="e">
        <f t="shared" si="1"/>
        <v>#N/A</v>
      </c>
      <c r="V11" s="626" t="s">
        <v>25</v>
      </c>
      <c r="W11" s="627" t="e">
        <f t="shared" si="2"/>
        <v>#N/A</v>
      </c>
      <c r="X11" s="628"/>
      <c r="Y11" s="3666"/>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36"/>
      <c r="Q12" s="1254">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36"/>
      <c r="Q13" s="1254">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36"/>
      <c r="Q14" s="1254">
        <f t="shared" si="6"/>
        <v>111</v>
      </c>
      <c r="R14" s="626" t="s">
        <v>25</v>
      </c>
      <c r="S14" s="627">
        <f t="shared" si="0"/>
        <v>100</v>
      </c>
      <c r="T14" s="626" t="s">
        <v>25</v>
      </c>
      <c r="U14" s="627">
        <f t="shared" si="1"/>
        <v>100</v>
      </c>
      <c r="V14" s="626" t="s">
        <v>25</v>
      </c>
      <c r="W14" s="627">
        <f t="shared" si="2"/>
        <v>100</v>
      </c>
      <c r="X14" s="628"/>
      <c r="Y14" s="3666"/>
      <c r="Z14" s="19">
        <f t="shared" si="7"/>
        <v>111</v>
      </c>
      <c r="AA14" s="629">
        <f t="shared" si="3"/>
        <v>1</v>
      </c>
      <c r="AB14" s="629">
        <f t="shared" si="4"/>
        <v>1</v>
      </c>
      <c r="AC14" s="629">
        <f t="shared" si="5"/>
        <v>1</v>
      </c>
    </row>
    <row r="15" spans="1:29" ht="57">
      <c r="A15" s="329" t="s">
        <v>2029</v>
      </c>
      <c r="B15" s="22" t="s">
        <v>2161</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64" t="s">
        <v>2030</v>
      </c>
      <c r="Q15" s="1261" t="str">
        <f t="shared" si="6"/>
        <v>产业集聚程度</v>
      </c>
      <c r="R15" s="630" t="s">
        <v>25</v>
      </c>
      <c r="S15" s="631">
        <f t="shared" si="0"/>
        <v>100</v>
      </c>
      <c r="T15" s="630" t="s">
        <v>25</v>
      </c>
      <c r="U15" s="631">
        <f t="shared" si="1"/>
        <v>100</v>
      </c>
      <c r="V15" s="630" t="s">
        <v>25</v>
      </c>
      <c r="W15" s="631">
        <f t="shared" si="2"/>
        <v>100</v>
      </c>
      <c r="X15" s="1262"/>
      <c r="Y15" s="3664" t="s">
        <v>2030</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65"/>
      <c r="Q16" s="1261"/>
      <c r="R16" s="630"/>
      <c r="S16" s="631"/>
      <c r="T16" s="630"/>
      <c r="U16" s="631"/>
      <c r="V16" s="630"/>
      <c r="W16" s="631"/>
      <c r="X16" s="1262"/>
      <c r="Y16" s="3665"/>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65"/>
      <c r="Q17" s="1261" t="str">
        <f>B17</f>
        <v>交通便捷度</v>
      </c>
      <c r="R17" s="630" t="s">
        <v>25</v>
      </c>
      <c r="S17" s="631">
        <f>F17</f>
        <v>100</v>
      </c>
      <c r="T17" s="630" t="s">
        <v>25</v>
      </c>
      <c r="U17" s="631">
        <f>H17</f>
        <v>100</v>
      </c>
      <c r="V17" s="630" t="s">
        <v>25</v>
      </c>
      <c r="W17" s="631">
        <f>J17</f>
        <v>100</v>
      </c>
      <c r="X17" s="1262"/>
      <c r="Y17" s="3665"/>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65"/>
      <c r="Q18" s="1261"/>
      <c r="R18" s="630"/>
      <c r="S18" s="631"/>
      <c r="T18" s="630"/>
      <c r="U18" s="631"/>
      <c r="V18" s="630"/>
      <c r="W18" s="631"/>
      <c r="X18" s="1262"/>
      <c r="Y18" s="3665"/>
      <c r="Z18" s="1263"/>
      <c r="AA18" s="1264">
        <v>1</v>
      </c>
      <c r="AB18" s="1264">
        <v>1</v>
      </c>
      <c r="AC18" s="1264">
        <v>1</v>
      </c>
    </row>
    <row r="19" spans="1:29" ht="42.75">
      <c r="A19" s="318"/>
      <c r="B19" s="513" t="s">
        <v>2145</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65"/>
      <c r="Q19" s="1261" t="str">
        <f>B19</f>
        <v>公共配套设施</v>
      </c>
      <c r="R19" s="630" t="s">
        <v>25</v>
      </c>
      <c r="S19" s="631">
        <f>F19</f>
        <v>100</v>
      </c>
      <c r="T19" s="630" t="s">
        <v>25</v>
      </c>
      <c r="U19" s="631">
        <f>H19</f>
        <v>100</v>
      </c>
      <c r="V19" s="630" t="s">
        <v>25</v>
      </c>
      <c r="W19" s="631">
        <f>J19</f>
        <v>100</v>
      </c>
      <c r="X19" s="1262"/>
      <c r="Y19" s="3665"/>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65"/>
      <c r="Q20" s="1261"/>
      <c r="R20" s="630"/>
      <c r="S20" s="631"/>
      <c r="T20" s="630"/>
      <c r="U20" s="631"/>
      <c r="V20" s="630"/>
      <c r="W20" s="631"/>
      <c r="X20" s="1262"/>
      <c r="Y20" s="3665"/>
      <c r="Z20" s="1263"/>
      <c r="AA20" s="1264">
        <v>1</v>
      </c>
      <c r="AB20" s="1264">
        <v>1</v>
      </c>
      <c r="AC20" s="1264">
        <v>1</v>
      </c>
    </row>
    <row r="21" spans="1:29" ht="28.5">
      <c r="A21" s="318"/>
      <c r="B21" s="515" t="s">
        <v>2146</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65"/>
      <c r="Q21" s="1261" t="str">
        <f>B21</f>
        <v>基础设施水平</v>
      </c>
      <c r="R21" s="630" t="s">
        <v>25</v>
      </c>
      <c r="S21" s="631">
        <f>F21</f>
        <v>100</v>
      </c>
      <c r="T21" s="630" t="s">
        <v>25</v>
      </c>
      <c r="U21" s="631">
        <f>H21</f>
        <v>100</v>
      </c>
      <c r="V21" s="630" t="s">
        <v>25</v>
      </c>
      <c r="W21" s="631">
        <f>J21</f>
        <v>100</v>
      </c>
      <c r="X21" s="1262"/>
      <c r="Y21" s="3665"/>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65"/>
      <c r="Q22" s="1261"/>
      <c r="R22" s="630"/>
      <c r="S22" s="631"/>
      <c r="T22" s="630"/>
      <c r="U22" s="631"/>
      <c r="V22" s="630"/>
      <c r="W22" s="631"/>
      <c r="X22" s="1262"/>
      <c r="Y22" s="3665"/>
      <c r="Z22" s="1263"/>
      <c r="AA22" s="1264">
        <v>1</v>
      </c>
      <c r="AB22" s="1264">
        <v>1</v>
      </c>
      <c r="AC22" s="1264">
        <v>1</v>
      </c>
    </row>
    <row r="23" spans="1:29" ht="71.25">
      <c r="A23" s="318"/>
      <c r="B23" s="340" t="s">
        <v>2147</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65"/>
      <c r="Q23" s="1261" t="str">
        <f>B23</f>
        <v>环境质量</v>
      </c>
      <c r="R23" s="630" t="s">
        <v>25</v>
      </c>
      <c r="S23" s="631">
        <f>F23</f>
        <v>100</v>
      </c>
      <c r="T23" s="630" t="s">
        <v>25</v>
      </c>
      <c r="U23" s="631">
        <f>H23</f>
        <v>100</v>
      </c>
      <c r="V23" s="630" t="s">
        <v>25</v>
      </c>
      <c r="W23" s="631">
        <f>J23</f>
        <v>100</v>
      </c>
      <c r="X23" s="1262"/>
      <c r="Y23" s="3665"/>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65"/>
      <c r="Q24" s="1261"/>
      <c r="R24" s="630"/>
      <c r="S24" s="631"/>
      <c r="T24" s="630"/>
      <c r="U24" s="631"/>
      <c r="V24" s="630"/>
      <c r="W24" s="631"/>
      <c r="X24" s="1262"/>
      <c r="Y24" s="3665"/>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65"/>
      <c r="Q25" s="1261">
        <f>B25</f>
        <v>111</v>
      </c>
      <c r="R25" s="630" t="s">
        <v>25</v>
      </c>
      <c r="S25" s="631">
        <f>F25</f>
        <v>100</v>
      </c>
      <c r="T25" s="630" t="s">
        <v>25</v>
      </c>
      <c r="U25" s="631">
        <f>H25</f>
        <v>100</v>
      </c>
      <c r="V25" s="630" t="s">
        <v>25</v>
      </c>
      <c r="W25" s="631">
        <f>J25</f>
        <v>100</v>
      </c>
      <c r="X25" s="1262"/>
      <c r="Y25" s="3665"/>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65"/>
      <c r="Q26" s="1261">
        <f t="shared" ref="Q26:Q40" si="11">B26</f>
        <v>111</v>
      </c>
      <c r="R26" s="630" t="s">
        <v>25</v>
      </c>
      <c r="S26" s="631">
        <f>F26</f>
        <v>100</v>
      </c>
      <c r="T26" s="630" t="s">
        <v>25</v>
      </c>
      <c r="U26" s="631">
        <f>H26</f>
        <v>100</v>
      </c>
      <c r="V26" s="630" t="s">
        <v>25</v>
      </c>
      <c r="W26" s="631">
        <f>J26</f>
        <v>100</v>
      </c>
      <c r="X26" s="1262"/>
      <c r="Y26" s="3665"/>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65"/>
      <c r="Q27" s="1254">
        <f t="shared" si="11"/>
        <v>111</v>
      </c>
      <c r="R27" s="626" t="s">
        <v>25</v>
      </c>
      <c r="S27" s="627">
        <f>F27</f>
        <v>100</v>
      </c>
      <c r="T27" s="626" t="s">
        <v>25</v>
      </c>
      <c r="U27" s="627">
        <f>H27</f>
        <v>100</v>
      </c>
      <c r="V27" s="626" t="s">
        <v>25</v>
      </c>
      <c r="W27" s="627">
        <f>J27</f>
        <v>100</v>
      </c>
      <c r="X27" s="628"/>
      <c r="Y27" s="3665"/>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65"/>
      <c r="Q28" s="1261">
        <f t="shared" si="11"/>
        <v>111</v>
      </c>
      <c r="R28" s="630" t="s">
        <v>25</v>
      </c>
      <c r="S28" s="631">
        <f t="shared" ref="S28:S40" si="12">F28</f>
        <v>100</v>
      </c>
      <c r="T28" s="630" t="s">
        <v>25</v>
      </c>
      <c r="U28" s="631">
        <f t="shared" ref="U28:U40" si="13">H28</f>
        <v>100</v>
      </c>
      <c r="V28" s="630" t="s">
        <v>25</v>
      </c>
      <c r="W28" s="631">
        <f t="shared" ref="W28:W40" si="14">J28</f>
        <v>100</v>
      </c>
      <c r="X28" s="1262"/>
      <c r="Y28" s="3665"/>
      <c r="Z28" s="1263">
        <f t="shared" ref="Z28:Z40" si="15">Q28</f>
        <v>111</v>
      </c>
      <c r="AA28" s="1264">
        <f t="shared" si="3"/>
        <v>1</v>
      </c>
      <c r="AB28" s="1264">
        <f t="shared" si="4"/>
        <v>1</v>
      </c>
      <c r="AC28" s="1264">
        <f t="shared" si="5"/>
        <v>1</v>
      </c>
    </row>
    <row r="29" spans="1:29" ht="28.5">
      <c r="A29" s="354" t="s">
        <v>2034</v>
      </c>
      <c r="B29" s="24" t="s">
        <v>2150</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67" t="s">
        <v>2036</v>
      </c>
      <c r="Q29" s="1261" t="str">
        <f t="shared" si="11"/>
        <v>建筑类型</v>
      </c>
      <c r="R29" s="630" t="s">
        <v>25</v>
      </c>
      <c r="S29" s="631">
        <f t="shared" si="12"/>
        <v>100</v>
      </c>
      <c r="T29" s="630" t="s">
        <v>25</v>
      </c>
      <c r="U29" s="631">
        <f t="shared" si="13"/>
        <v>100</v>
      </c>
      <c r="V29" s="630" t="s">
        <v>25</v>
      </c>
      <c r="W29" s="631">
        <f t="shared" si="14"/>
        <v>100</v>
      </c>
      <c r="X29" s="1262"/>
      <c r="Y29" s="3668" t="s">
        <v>2036</v>
      </c>
      <c r="Z29" s="1263" t="str">
        <f t="shared" si="15"/>
        <v>建筑类型</v>
      </c>
      <c r="AA29" s="1264">
        <f t="shared" si="3"/>
        <v>1</v>
      </c>
      <c r="AB29" s="1264">
        <f t="shared" si="4"/>
        <v>1</v>
      </c>
      <c r="AC29" s="1264">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68"/>
      <c r="Q30" s="632" t="str">
        <f t="shared" si="11"/>
        <v>项目建筑规模</v>
      </c>
      <c r="R30" s="633" t="s">
        <v>25</v>
      </c>
      <c r="S30" s="634" t="e">
        <f t="shared" si="12"/>
        <v>#N/A</v>
      </c>
      <c r="T30" s="633" t="s">
        <v>25</v>
      </c>
      <c r="U30" s="634" t="e">
        <f t="shared" si="13"/>
        <v>#N/A</v>
      </c>
      <c r="V30" s="633" t="s">
        <v>25</v>
      </c>
      <c r="W30" s="634" t="e">
        <f t="shared" si="14"/>
        <v>#N/A</v>
      </c>
      <c r="X30" s="635"/>
      <c r="Y30" s="3668"/>
      <c r="Z30" s="636" t="str">
        <f t="shared" si="15"/>
        <v>项目建筑规模</v>
      </c>
      <c r="AA30" s="1264" t="e">
        <f t="shared" si="3"/>
        <v>#N/A</v>
      </c>
      <c r="AB30" s="1264" t="e">
        <f t="shared" si="4"/>
        <v>#N/A</v>
      </c>
      <c r="AC30" s="1264"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68"/>
      <c r="Q31" s="1261" t="str">
        <f t="shared" si="11"/>
        <v>建筑结构</v>
      </c>
      <c r="R31" s="630" t="s">
        <v>25</v>
      </c>
      <c r="S31" s="631">
        <f t="shared" si="12"/>
        <v>100</v>
      </c>
      <c r="T31" s="630" t="s">
        <v>25</v>
      </c>
      <c r="U31" s="631">
        <f t="shared" si="13"/>
        <v>100</v>
      </c>
      <c r="V31" s="630" t="s">
        <v>25</v>
      </c>
      <c r="W31" s="631">
        <f t="shared" si="14"/>
        <v>100</v>
      </c>
      <c r="X31" s="1262"/>
      <c r="Y31" s="3668"/>
      <c r="Z31" s="1263" t="str">
        <f t="shared" si="15"/>
        <v>建筑结构</v>
      </c>
      <c r="AA31" s="1264">
        <f t="shared" si="3"/>
        <v>1</v>
      </c>
      <c r="AB31" s="1264">
        <f t="shared" si="4"/>
        <v>1</v>
      </c>
      <c r="AC31" s="1264">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68"/>
      <c r="Q32" s="1261" t="str">
        <f t="shared" si="11"/>
        <v>公共部分装修</v>
      </c>
      <c r="R32" s="630" t="s">
        <v>25</v>
      </c>
      <c r="S32" s="631">
        <f t="shared" si="12"/>
        <v>100</v>
      </c>
      <c r="T32" s="630" t="s">
        <v>25</v>
      </c>
      <c r="U32" s="631">
        <f t="shared" si="13"/>
        <v>100</v>
      </c>
      <c r="V32" s="630" t="s">
        <v>25</v>
      </c>
      <c r="W32" s="631">
        <f t="shared" si="14"/>
        <v>100</v>
      </c>
      <c r="X32" s="1262"/>
      <c r="Y32" s="3668"/>
      <c r="Z32" s="1263" t="str">
        <f t="shared" si="15"/>
        <v>公共部分装修</v>
      </c>
      <c r="AA32" s="1264">
        <f t="shared" si="3"/>
        <v>1</v>
      </c>
      <c r="AB32" s="1264">
        <f t="shared" si="4"/>
        <v>1</v>
      </c>
      <c r="AC32" s="1264">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68"/>
      <c r="Q33" s="1261" t="str">
        <f t="shared" si="11"/>
        <v>成新度</v>
      </c>
      <c r="R33" s="630" t="s">
        <v>25</v>
      </c>
      <c r="S33" s="631" t="e">
        <f t="shared" si="12"/>
        <v>#N/A</v>
      </c>
      <c r="T33" s="630" t="s">
        <v>25</v>
      </c>
      <c r="U33" s="631" t="e">
        <f t="shared" si="13"/>
        <v>#N/A</v>
      </c>
      <c r="V33" s="630" t="s">
        <v>25</v>
      </c>
      <c r="W33" s="631" t="e">
        <f t="shared" si="14"/>
        <v>#N/A</v>
      </c>
      <c r="X33" s="1262"/>
      <c r="Y33" s="3668"/>
      <c r="Z33" s="1263" t="str">
        <f t="shared" si="15"/>
        <v>成新度</v>
      </c>
      <c r="AA33" s="1264" t="e">
        <f t="shared" si="3"/>
        <v>#N/A</v>
      </c>
      <c r="AB33" s="1264" t="e">
        <f t="shared" si="4"/>
        <v>#N/A</v>
      </c>
      <c r="AC33" s="1264"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68"/>
      <c r="Q34" s="1254" t="str">
        <f t="shared" si="11"/>
        <v>物业管理</v>
      </c>
      <c r="R34" s="626" t="s">
        <v>25</v>
      </c>
      <c r="S34" s="627">
        <f t="shared" si="12"/>
        <v>100</v>
      </c>
      <c r="T34" s="626" t="s">
        <v>25</v>
      </c>
      <c r="U34" s="627">
        <f t="shared" si="13"/>
        <v>100</v>
      </c>
      <c r="V34" s="626" t="s">
        <v>25</v>
      </c>
      <c r="W34" s="627">
        <f t="shared" si="14"/>
        <v>100</v>
      </c>
      <c r="X34" s="628"/>
      <c r="Y34" s="3668"/>
      <c r="Z34" s="19" t="str">
        <f t="shared" si="15"/>
        <v>物业管理</v>
      </c>
      <c r="AA34" s="629">
        <f t="shared" si="3"/>
        <v>1</v>
      </c>
      <c r="AB34" s="629">
        <f t="shared" si="4"/>
        <v>1</v>
      </c>
      <c r="AC34" s="629">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68" t="s">
        <v>2036</v>
      </c>
      <c r="Q35" s="1261" t="str">
        <f t="shared" si="11"/>
        <v>市政基础设施</v>
      </c>
      <c r="R35" s="630" t="s">
        <v>25</v>
      </c>
      <c r="S35" s="631">
        <f t="shared" si="12"/>
        <v>100</v>
      </c>
      <c r="T35" s="630" t="s">
        <v>25</v>
      </c>
      <c r="U35" s="631">
        <f t="shared" si="13"/>
        <v>100</v>
      </c>
      <c r="V35" s="630" t="s">
        <v>25</v>
      </c>
      <c r="W35" s="631">
        <f t="shared" si="14"/>
        <v>100</v>
      </c>
      <c r="X35" s="1262"/>
      <c r="Y35" s="3668" t="s">
        <v>2036</v>
      </c>
      <c r="Z35" s="1263" t="str">
        <f t="shared" si="15"/>
        <v>市政基础设施</v>
      </c>
      <c r="AA35" s="1264">
        <f t="shared" si="3"/>
        <v>1</v>
      </c>
      <c r="AB35" s="1264">
        <f t="shared" si="4"/>
        <v>1</v>
      </c>
      <c r="AC35" s="1264">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68"/>
      <c r="Q36" s="1261" t="str">
        <f t="shared" si="11"/>
        <v>内部装修</v>
      </c>
      <c r="R36" s="630" t="s">
        <v>25</v>
      </c>
      <c r="S36" s="631">
        <f t="shared" si="12"/>
        <v>100</v>
      </c>
      <c r="T36" s="630" t="s">
        <v>25</v>
      </c>
      <c r="U36" s="631">
        <f t="shared" si="13"/>
        <v>100</v>
      </c>
      <c r="V36" s="630" t="s">
        <v>25</v>
      </c>
      <c r="W36" s="631">
        <f t="shared" si="14"/>
        <v>100</v>
      </c>
      <c r="X36" s="1262"/>
      <c r="Y36" s="3668"/>
      <c r="Z36" s="1263" t="str">
        <f t="shared" si="15"/>
        <v>内部装修</v>
      </c>
      <c r="AA36" s="1264">
        <f t="shared" si="3"/>
        <v>1</v>
      </c>
      <c r="AB36" s="1264">
        <f t="shared" si="4"/>
        <v>1</v>
      </c>
      <c r="AC36" s="1264">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68"/>
      <c r="Q37" s="1261" t="str">
        <f t="shared" si="11"/>
        <v>内部装修状况</v>
      </c>
      <c r="R37" s="630" t="s">
        <v>25</v>
      </c>
      <c r="S37" s="631">
        <f t="shared" si="12"/>
        <v>100</v>
      </c>
      <c r="T37" s="630" t="s">
        <v>25</v>
      </c>
      <c r="U37" s="631">
        <f t="shared" si="13"/>
        <v>100</v>
      </c>
      <c r="V37" s="630" t="s">
        <v>25</v>
      </c>
      <c r="W37" s="631">
        <f t="shared" si="14"/>
        <v>100</v>
      </c>
      <c r="X37" s="1262"/>
      <c r="Y37" s="366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68"/>
      <c r="Q38" s="632">
        <f t="shared" si="11"/>
        <v>111</v>
      </c>
      <c r="R38" s="633" t="s">
        <v>25</v>
      </c>
      <c r="S38" s="634">
        <f t="shared" si="12"/>
        <v>100</v>
      </c>
      <c r="T38" s="633" t="s">
        <v>25</v>
      </c>
      <c r="U38" s="634">
        <f t="shared" si="13"/>
        <v>100</v>
      </c>
      <c r="V38" s="633" t="s">
        <v>25</v>
      </c>
      <c r="W38" s="634">
        <f t="shared" si="14"/>
        <v>100</v>
      </c>
      <c r="X38" s="635"/>
      <c r="Y38" s="3668"/>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68"/>
      <c r="Q39" s="1261">
        <f t="shared" si="11"/>
        <v>111</v>
      </c>
      <c r="R39" s="630" t="s">
        <v>25</v>
      </c>
      <c r="S39" s="631">
        <f t="shared" si="12"/>
        <v>100</v>
      </c>
      <c r="T39" s="630" t="s">
        <v>25</v>
      </c>
      <c r="U39" s="631">
        <f t="shared" si="13"/>
        <v>100</v>
      </c>
      <c r="V39" s="630" t="s">
        <v>25</v>
      </c>
      <c r="W39" s="631">
        <f t="shared" si="14"/>
        <v>100</v>
      </c>
      <c r="X39" s="1262"/>
      <c r="Y39" s="366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69"/>
      <c r="Q40" s="1261">
        <f t="shared" si="11"/>
        <v>111</v>
      </c>
      <c r="R40" s="630" t="s">
        <v>25</v>
      </c>
      <c r="S40" s="631">
        <f t="shared" si="12"/>
        <v>100</v>
      </c>
      <c r="T40" s="630" t="s">
        <v>25</v>
      </c>
      <c r="U40" s="631">
        <f t="shared" si="13"/>
        <v>100</v>
      </c>
      <c r="V40" s="630" t="s">
        <v>25</v>
      </c>
      <c r="W40" s="631">
        <f t="shared" si="14"/>
        <v>100</v>
      </c>
      <c r="X40" s="1262"/>
      <c r="Y40" s="3669"/>
      <c r="Z40" s="1263">
        <f t="shared" si="15"/>
        <v>111</v>
      </c>
      <c r="AA40" s="1264">
        <f t="shared" si="3"/>
        <v>1</v>
      </c>
      <c r="AB40" s="1264">
        <f t="shared" si="4"/>
        <v>1</v>
      </c>
      <c r="AC40" s="1264">
        <f t="shared" si="5"/>
        <v>1</v>
      </c>
    </row>
    <row r="41" spans="1:29" ht="15">
      <c r="A41" s="367" t="s">
        <v>2048</v>
      </c>
      <c r="B41" s="368"/>
      <c r="C41" s="1081" t="s">
        <v>1</v>
      </c>
      <c r="D41" s="1082"/>
      <c r="E41" s="1083"/>
      <c r="F41" s="1084"/>
      <c r="G41" s="1085"/>
      <c r="H41" s="1086"/>
      <c r="I41" s="1083"/>
      <c r="J41" s="1086"/>
      <c r="K41" s="639"/>
      <c r="L41" s="2954"/>
      <c r="N41" s="2943"/>
      <c r="P41" s="3636" t="str">
        <f>A41</f>
        <v>成交单价（元/平方米）</v>
      </c>
      <c r="Q41" s="3636"/>
      <c r="R41" s="3670">
        <f>E41</f>
        <v>0</v>
      </c>
      <c r="S41" s="3670"/>
      <c r="T41" s="3670">
        <f>G41</f>
        <v>0</v>
      </c>
      <c r="U41" s="3670"/>
      <c r="V41" s="3670">
        <f>I41</f>
        <v>0</v>
      </c>
      <c r="W41" s="3670"/>
      <c r="X41" s="617"/>
      <c r="Y41" s="637"/>
      <c r="Z41" s="617"/>
      <c r="AA41" s="617"/>
      <c r="AB41" s="617"/>
      <c r="AC41" s="617"/>
    </row>
    <row r="42" spans="1:29" ht="15.75" thickBot="1">
      <c r="A42" s="374" t="s">
        <v>2131</v>
      </c>
      <c r="B42" s="375"/>
      <c r="C42" s="1087" t="e">
        <f>R43</f>
        <v>#DIV/0!</v>
      </c>
      <c r="D42" s="1724" t="s">
        <v>2502</v>
      </c>
      <c r="E42" s="1088" t="e">
        <f>R42</f>
        <v>#DIV/0!</v>
      </c>
      <c r="F42" s="1726"/>
      <c r="G42" s="1087" t="e">
        <f>T42</f>
        <v>#DIV/0!</v>
      </c>
      <c r="H42" s="1726"/>
      <c r="I42" s="1088" t="e">
        <f>V42</f>
        <v>#DIV/0!</v>
      </c>
      <c r="J42" s="1726"/>
      <c r="K42" s="2428">
        <f>F42+H42+J42</f>
        <v>0</v>
      </c>
      <c r="L42" s="2954"/>
      <c r="N42" s="2943"/>
      <c r="P42" s="3636" t="str">
        <f>A42</f>
        <v>比较价值（元/平方米）</v>
      </c>
      <c r="Q42" s="3636"/>
      <c r="R42" s="3670" t="e">
        <f>IF(E1="售价",ROUND(PRODUCT(R41,AA7:AA40),0),ROUND(PRODUCT(R41,AA7:AA40),1))</f>
        <v>#DIV/0!</v>
      </c>
      <c r="S42" s="3670"/>
      <c r="T42" s="3670" t="e">
        <f>IF(E1="售价",ROUND(PRODUCT(T41,AB7:AB40),0),ROUND(PRODUCT(T41,AB7:AB40),1))</f>
        <v>#DIV/0!</v>
      </c>
      <c r="U42" s="3670"/>
      <c r="V42" s="3670" t="e">
        <f>IF(E1="售价",ROUND(PRODUCT(V41,AC7:AC40),0),ROUND(PRODUCT(V41,AC7:AC40),1))</f>
        <v>#DIV/0!</v>
      </c>
      <c r="W42" s="3670"/>
      <c r="X42" s="617"/>
      <c r="Y42" s="617"/>
      <c r="Z42" s="617"/>
      <c r="AA42" s="617"/>
      <c r="AB42" s="617"/>
      <c r="AC42" s="617"/>
    </row>
    <row r="43" spans="1:29" ht="15.75" thickBot="1">
      <c r="A43" s="378" t="s">
        <v>2154</v>
      </c>
      <c r="B43" s="379"/>
      <c r="C43" s="1089" t="e">
        <f>R43</f>
        <v>#DIV/0!</v>
      </c>
      <c r="D43" s="1089"/>
      <c r="E43" s="1089"/>
      <c r="F43" s="1089"/>
      <c r="G43" s="1089"/>
      <c r="H43" s="1089"/>
      <c r="I43" s="1089"/>
      <c r="J43" s="1089"/>
      <c r="K43" s="640"/>
      <c r="L43" s="2954"/>
      <c r="P43" s="3671" t="str">
        <f>A43</f>
        <v>估价对象XX用房的比较价值（楼面单价，元/平方米）</v>
      </c>
      <c r="Q43" s="3672"/>
      <c r="R43" s="3673" t="e">
        <f>IF(E1="售价",ROUND(IF(D42="简单平均",AVERAGE(R42:V42),R42*F42+T42*H42+V42*J42),0),ROUND(IF(D42="简单平均",AVERAGE(R42:V42),R42*F42+T42*H42+V42*J42),1))</f>
        <v>#DIV/0!</v>
      </c>
      <c r="S43" s="3673"/>
      <c r="T43" s="3673"/>
      <c r="U43" s="3673"/>
      <c r="V43" s="3673"/>
      <c r="W43" s="3673"/>
      <c r="X43" s="617"/>
      <c r="Y43" s="617"/>
      <c r="Z43" s="617"/>
      <c r="AA43" s="617"/>
      <c r="AB43" s="617"/>
      <c r="AC43" s="617"/>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19" t="s">
        <v>2136</v>
      </c>
      <c r="B51" s="617"/>
      <c r="C51" s="620"/>
      <c r="D51" s="620"/>
      <c r="E51" s="620"/>
      <c r="F51" s="621"/>
      <c r="G51" s="621"/>
      <c r="H51" s="620"/>
      <c r="I51" s="620"/>
      <c r="J51" s="620"/>
      <c r="K51" s="622"/>
      <c r="L51" s="623"/>
      <c r="M51" s="620"/>
      <c r="N51" s="2960"/>
      <c r="O51" s="2960"/>
      <c r="P51" s="389"/>
      <c r="Q51" s="390"/>
    </row>
    <row r="52" spans="1:17" s="394" customFormat="1" ht="15">
      <c r="A52" s="391" t="s">
        <v>2018</v>
      </c>
      <c r="B52" s="392"/>
      <c r="C52" s="1115" t="str">
        <f>YEAR(C7)&amp;"-"&amp;MONTH(C7)</f>
        <v>2022-8</v>
      </c>
      <c r="D52" s="1116">
        <f>EDATE(C52,-1)</f>
        <v>44743</v>
      </c>
      <c r="E52" s="1117">
        <f t="shared" ref="E52:O52" si="16">EDATE(D52,-1)</f>
        <v>44713</v>
      </c>
      <c r="F52" s="1117">
        <f t="shared" si="16"/>
        <v>44682</v>
      </c>
      <c r="G52" s="1117">
        <f t="shared" si="16"/>
        <v>44652</v>
      </c>
      <c r="H52" s="1117">
        <f t="shared" si="16"/>
        <v>44621</v>
      </c>
      <c r="I52" s="1117">
        <f t="shared" si="16"/>
        <v>44593</v>
      </c>
      <c r="J52" s="1117">
        <f t="shared" si="16"/>
        <v>44562</v>
      </c>
      <c r="K52" s="1117">
        <f t="shared" si="16"/>
        <v>44531</v>
      </c>
      <c r="L52" s="1117">
        <f t="shared" si="16"/>
        <v>44501</v>
      </c>
      <c r="M52" s="1117">
        <f t="shared" si="16"/>
        <v>44470</v>
      </c>
      <c r="N52" s="1117">
        <f t="shared" si="16"/>
        <v>44440</v>
      </c>
      <c r="O52" s="1117">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2165</v>
      </c>
      <c r="B1" s="1509"/>
      <c r="C1" s="1149"/>
      <c r="D1" s="1150"/>
      <c r="E1" s="1486"/>
      <c r="F1" s="1151" t="s">
        <v>2003</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4" t="e">
        <f ca="1">SUMIF(INDIRECT("'"&amp;G2&amp;"'"&amp;"!A:A"),"承租人权益价值",INDIRECT("'"&amp;G2&amp;"'"&amp;"!c:c"))</f>
        <v>#REF!</v>
      </c>
      <c r="F2" s="1488" t="str">
        <f>C2</f>
        <v>万元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2004</v>
      </c>
      <c r="D3" s="292">
        <f>IF(C1="仅计算典型户型",'数据-取费表'!E5,'数据-取费表'!B5)</f>
        <v>2380.7600000000002</v>
      </c>
      <c r="E3" s="796" t="s">
        <v>2166</v>
      </c>
      <c r="F3" s="293">
        <f>'数据-取费表'!B42</f>
        <v>0</v>
      </c>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2"/>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2018</v>
      </c>
      <c r="B7" s="302"/>
      <c r="C7" s="303">
        <f>'数据-取费表'!B2</f>
        <v>44783</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39" t="s">
        <v>2019</v>
      </c>
      <c r="Q7" s="3663"/>
      <c r="R7" s="626" t="s">
        <v>25</v>
      </c>
      <c r="S7" s="627">
        <f t="shared" ref="S7:S14" si="0">F7</f>
        <v>0</v>
      </c>
      <c r="T7" s="626" t="s">
        <v>25</v>
      </c>
      <c r="U7" s="627">
        <f t="shared" ref="U7:U14" si="1">H7</f>
        <v>0</v>
      </c>
      <c r="V7" s="626" t="s">
        <v>25</v>
      </c>
      <c r="W7" s="627">
        <f t="shared" ref="W7:W14" si="2">J7</f>
        <v>0</v>
      </c>
      <c r="X7" s="628"/>
      <c r="Y7" s="3639" t="s">
        <v>2019</v>
      </c>
      <c r="Z7" s="3640"/>
      <c r="AA7" s="629" t="e">
        <f>D7/F7</f>
        <v>#DIV/0!</v>
      </c>
      <c r="AB7" s="629" t="e">
        <f>D7/H7</f>
        <v>#DIV/0!</v>
      </c>
      <c r="AC7" s="629"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39" t="s">
        <v>2022</v>
      </c>
      <c r="Q8" s="3640"/>
      <c r="R8" s="626" t="s">
        <v>25</v>
      </c>
      <c r="S8" s="627">
        <f t="shared" si="0"/>
        <v>0</v>
      </c>
      <c r="T8" s="626" t="s">
        <v>25</v>
      </c>
      <c r="U8" s="627">
        <f t="shared" si="1"/>
        <v>0</v>
      </c>
      <c r="V8" s="626" t="s">
        <v>25</v>
      </c>
      <c r="W8" s="627">
        <f t="shared" si="2"/>
        <v>0</v>
      </c>
      <c r="X8" s="628"/>
      <c r="Y8" s="3639" t="s">
        <v>2022</v>
      </c>
      <c r="Z8" s="3640"/>
      <c r="AA8" s="629" t="e">
        <f t="shared" ref="AA8:AA36" si="3">D8/F8</f>
        <v>#DIV/0!</v>
      </c>
      <c r="AB8" s="629" t="e">
        <f t="shared" ref="AB8:AB36" si="4">D8/H8</f>
        <v>#DIV/0!</v>
      </c>
      <c r="AC8" s="629"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6" t="s">
        <v>2025</v>
      </c>
      <c r="Q9" s="1254" t="str">
        <f t="shared" ref="Q9:Q14" si="6">B9</f>
        <v>用途</v>
      </c>
      <c r="R9" s="626" t="s">
        <v>25</v>
      </c>
      <c r="S9" s="627">
        <f t="shared" si="0"/>
        <v>100</v>
      </c>
      <c r="T9" s="626" t="s">
        <v>25</v>
      </c>
      <c r="U9" s="627">
        <f t="shared" si="1"/>
        <v>100</v>
      </c>
      <c r="V9" s="626" t="s">
        <v>25</v>
      </c>
      <c r="W9" s="627">
        <f t="shared" si="2"/>
        <v>100</v>
      </c>
      <c r="X9" s="628"/>
      <c r="Y9" s="3666" t="s">
        <v>2026</v>
      </c>
      <c r="Z9" s="19" t="str">
        <f t="shared" ref="Z9:Z14" si="7">Q9</f>
        <v>用途</v>
      </c>
      <c r="AA9" s="629">
        <f t="shared" si="3"/>
        <v>1</v>
      </c>
      <c r="AB9" s="629">
        <f t="shared" si="4"/>
        <v>1</v>
      </c>
      <c r="AC9" s="629">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6"/>
      <c r="Q10" s="1254" t="str">
        <f t="shared" si="6"/>
        <v>土地使用年限（年）</v>
      </c>
      <c r="R10" s="626" t="s">
        <v>25</v>
      </c>
      <c r="S10" s="627">
        <f t="shared" si="0"/>
        <v>100</v>
      </c>
      <c r="T10" s="626" t="s">
        <v>25</v>
      </c>
      <c r="U10" s="627">
        <f t="shared" si="1"/>
        <v>100</v>
      </c>
      <c r="V10" s="626" t="s">
        <v>25</v>
      </c>
      <c r="W10" s="627">
        <f t="shared" si="2"/>
        <v>100</v>
      </c>
      <c r="X10" s="628"/>
      <c r="Y10" s="366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6"/>
      <c r="Q11" s="1254">
        <f t="shared" si="6"/>
        <v>111</v>
      </c>
      <c r="R11" s="626" t="s">
        <v>25</v>
      </c>
      <c r="S11" s="627">
        <f t="shared" si="0"/>
        <v>100</v>
      </c>
      <c r="T11" s="626" t="s">
        <v>25</v>
      </c>
      <c r="U11" s="627">
        <f t="shared" si="1"/>
        <v>100</v>
      </c>
      <c r="V11" s="626" t="s">
        <v>25</v>
      </c>
      <c r="W11" s="627">
        <f t="shared" si="2"/>
        <v>100</v>
      </c>
      <c r="X11" s="628"/>
      <c r="Y11" s="366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6"/>
      <c r="Q12" s="1254">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6"/>
      <c r="Q13" s="1254">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85.5">
      <c r="A14" s="294" t="s">
        <v>2029</v>
      </c>
      <c r="B14" s="511" t="s">
        <v>2167</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64" t="s">
        <v>2030</v>
      </c>
      <c r="Q14" s="1261" t="str">
        <f t="shared" si="6"/>
        <v>交通便捷度</v>
      </c>
      <c r="R14" s="630" t="s">
        <v>25</v>
      </c>
      <c r="S14" s="631">
        <f t="shared" si="0"/>
        <v>100</v>
      </c>
      <c r="T14" s="630" t="s">
        <v>25</v>
      </c>
      <c r="U14" s="631">
        <f t="shared" si="1"/>
        <v>100</v>
      </c>
      <c r="V14" s="630" t="s">
        <v>25</v>
      </c>
      <c r="W14" s="631">
        <f t="shared" si="2"/>
        <v>100</v>
      </c>
      <c r="X14" s="1262"/>
      <c r="Y14" s="3664" t="s">
        <v>2030</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65"/>
      <c r="Q15" s="1261"/>
      <c r="R15" s="630"/>
      <c r="S15" s="631"/>
      <c r="T15" s="630"/>
      <c r="U15" s="631"/>
      <c r="V15" s="630"/>
      <c r="W15" s="631"/>
      <c r="X15" s="1262"/>
      <c r="Y15" s="3665"/>
      <c r="Z15" s="1263"/>
      <c r="AA15" s="1264">
        <v>1</v>
      </c>
      <c r="AB15" s="1264">
        <v>1</v>
      </c>
      <c r="AC15" s="1264">
        <v>1</v>
      </c>
    </row>
    <row r="16" spans="1:29" ht="42.75">
      <c r="A16" s="297"/>
      <c r="B16" s="513" t="s">
        <v>2145</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65"/>
      <c r="Q16" s="1261" t="str">
        <f>B16</f>
        <v>公共配套设施</v>
      </c>
      <c r="R16" s="630" t="s">
        <v>25</v>
      </c>
      <c r="S16" s="631">
        <f>F16</f>
        <v>100</v>
      </c>
      <c r="T16" s="630" t="s">
        <v>25</v>
      </c>
      <c r="U16" s="631">
        <f>H16</f>
        <v>100</v>
      </c>
      <c r="V16" s="630" t="s">
        <v>25</v>
      </c>
      <c r="W16" s="631">
        <f>J16</f>
        <v>100</v>
      </c>
      <c r="X16" s="1262"/>
      <c r="Y16" s="3665"/>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65"/>
      <c r="Q17" s="1261"/>
      <c r="R17" s="630"/>
      <c r="S17" s="631"/>
      <c r="T17" s="630"/>
      <c r="U17" s="631"/>
      <c r="V17" s="630"/>
      <c r="W17" s="631"/>
      <c r="X17" s="1262"/>
      <c r="Y17" s="3665"/>
      <c r="Z17" s="1263"/>
      <c r="AA17" s="1264">
        <v>1</v>
      </c>
      <c r="AB17" s="1264">
        <v>1</v>
      </c>
      <c r="AC17" s="1264">
        <v>1</v>
      </c>
    </row>
    <row r="18" spans="1:29" ht="28.5">
      <c r="A18" s="297"/>
      <c r="B18" s="515" t="s">
        <v>2146</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65"/>
      <c r="Q18" s="1261" t="str">
        <f>B18</f>
        <v>基础设施水平</v>
      </c>
      <c r="R18" s="630" t="s">
        <v>25</v>
      </c>
      <c r="S18" s="631">
        <f>F18</f>
        <v>100</v>
      </c>
      <c r="T18" s="630" t="s">
        <v>25</v>
      </c>
      <c r="U18" s="631">
        <f>H18</f>
        <v>100</v>
      </c>
      <c r="V18" s="630" t="s">
        <v>25</v>
      </c>
      <c r="W18" s="631">
        <f>J18</f>
        <v>100</v>
      </c>
      <c r="X18" s="1262"/>
      <c r="Y18" s="3665"/>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65"/>
      <c r="Q19" s="1261"/>
      <c r="R19" s="630"/>
      <c r="S19" s="631"/>
      <c r="T19" s="630"/>
      <c r="U19" s="631"/>
      <c r="V19" s="630"/>
      <c r="W19" s="631"/>
      <c r="X19" s="1262"/>
      <c r="Y19" s="3665"/>
      <c r="Z19" s="1263"/>
      <c r="AA19" s="1264">
        <v>1</v>
      </c>
      <c r="AB19" s="1264">
        <v>1</v>
      </c>
      <c r="AC19" s="1264">
        <v>1</v>
      </c>
    </row>
    <row r="20" spans="1:29" ht="57">
      <c r="A20" s="297"/>
      <c r="B20" s="513" t="s">
        <v>2168</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65"/>
      <c r="Q20" s="1261" t="str">
        <f>B20</f>
        <v>自然及人文环境</v>
      </c>
      <c r="R20" s="630" t="s">
        <v>25</v>
      </c>
      <c r="S20" s="631">
        <f>F20</f>
        <v>100</v>
      </c>
      <c r="T20" s="630" t="s">
        <v>25</v>
      </c>
      <c r="U20" s="631">
        <f>H20</f>
        <v>100</v>
      </c>
      <c r="V20" s="630" t="s">
        <v>25</v>
      </c>
      <c r="W20" s="631">
        <f>J20</f>
        <v>100</v>
      </c>
      <c r="X20" s="1262"/>
      <c r="Y20" s="3665"/>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65"/>
      <c r="Q21" s="1261"/>
      <c r="R21" s="630"/>
      <c r="S21" s="631"/>
      <c r="T21" s="630"/>
      <c r="U21" s="631"/>
      <c r="V21" s="630"/>
      <c r="W21" s="631"/>
      <c r="X21" s="1262"/>
      <c r="Y21" s="3665"/>
      <c r="Z21" s="1263"/>
      <c r="AA21" s="1264">
        <v>1</v>
      </c>
      <c r="AB21" s="1264">
        <v>1</v>
      </c>
      <c r="AC21" s="1264">
        <v>1</v>
      </c>
    </row>
    <row r="22" spans="1:29" ht="15">
      <c r="A22" s="297"/>
      <c r="B22" s="513" t="s">
        <v>2169</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65"/>
      <c r="Q22" s="1261" t="str">
        <f>B22</f>
        <v>楼层</v>
      </c>
      <c r="R22" s="630" t="s">
        <v>25</v>
      </c>
      <c r="S22" s="631">
        <f>F22</f>
        <v>100</v>
      </c>
      <c r="T22" s="630" t="s">
        <v>25</v>
      </c>
      <c r="U22" s="631">
        <f>H22</f>
        <v>100</v>
      </c>
      <c r="V22" s="630" t="s">
        <v>25</v>
      </c>
      <c r="W22" s="631">
        <f>J22</f>
        <v>100</v>
      </c>
      <c r="X22" s="1262"/>
      <c r="Y22" s="3665"/>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65"/>
      <c r="Q23" s="1261">
        <f>B23</f>
        <v>111</v>
      </c>
      <c r="R23" s="630" t="s">
        <v>25</v>
      </c>
      <c r="S23" s="631">
        <f>F23</f>
        <v>100</v>
      </c>
      <c r="T23" s="630" t="s">
        <v>25</v>
      </c>
      <c r="U23" s="631">
        <f>H23</f>
        <v>100</v>
      </c>
      <c r="V23" s="630" t="s">
        <v>25</v>
      </c>
      <c r="W23" s="631">
        <f>J23</f>
        <v>100</v>
      </c>
      <c r="X23" s="1262"/>
      <c r="Y23" s="3665"/>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65"/>
      <c r="Q24" s="1261">
        <f t="shared" ref="Q24:Q36" si="11">B24</f>
        <v>111</v>
      </c>
      <c r="R24" s="630" t="s">
        <v>25</v>
      </c>
      <c r="S24" s="631">
        <f>F24</f>
        <v>100</v>
      </c>
      <c r="T24" s="630" t="s">
        <v>25</v>
      </c>
      <c r="U24" s="631">
        <f>H24</f>
        <v>100</v>
      </c>
      <c r="V24" s="630" t="s">
        <v>25</v>
      </c>
      <c r="W24" s="631">
        <f>J24</f>
        <v>100</v>
      </c>
      <c r="X24" s="1262"/>
      <c r="Y24" s="3665"/>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65"/>
      <c r="Q25" s="1254">
        <f t="shared" si="11"/>
        <v>111</v>
      </c>
      <c r="R25" s="626" t="s">
        <v>25</v>
      </c>
      <c r="S25" s="627">
        <f>F25</f>
        <v>100</v>
      </c>
      <c r="T25" s="626" t="s">
        <v>25</v>
      </c>
      <c r="U25" s="627">
        <f>H25</f>
        <v>100</v>
      </c>
      <c r="V25" s="626" t="s">
        <v>25</v>
      </c>
      <c r="W25" s="627">
        <f>J25</f>
        <v>100</v>
      </c>
      <c r="X25" s="628"/>
      <c r="Y25" s="3665"/>
      <c r="Z25" s="19">
        <f>Q25</f>
        <v>111</v>
      </c>
      <c r="AA25" s="1264">
        <f>D25/F25</f>
        <v>1</v>
      </c>
      <c r="AB25" s="1264">
        <f>D25/H25</f>
        <v>1</v>
      </c>
      <c r="AC25" s="1264">
        <f>D25/J25</f>
        <v>1</v>
      </c>
    </row>
    <row r="26" spans="1:29" ht="28.5">
      <c r="A26" s="533" t="s">
        <v>2034</v>
      </c>
      <c r="B26" s="23" t="s">
        <v>2170</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67" t="s">
        <v>2036</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68" t="s">
        <v>2036</v>
      </c>
      <c r="Z26" s="1263" t="str">
        <f t="shared" ref="Z26:Z36" si="15">Q26</f>
        <v>配套类型</v>
      </c>
      <c r="AA26" s="1264">
        <f t="shared" si="3"/>
        <v>1</v>
      </c>
      <c r="AB26" s="1264">
        <f t="shared" si="4"/>
        <v>1</v>
      </c>
      <c r="AC26" s="1264">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68"/>
      <c r="Q27" s="632" t="str">
        <f t="shared" si="11"/>
        <v>项目停车位配比</v>
      </c>
      <c r="R27" s="633" t="s">
        <v>25</v>
      </c>
      <c r="S27" s="634">
        <f t="shared" si="12"/>
        <v>100</v>
      </c>
      <c r="T27" s="633" t="s">
        <v>25</v>
      </c>
      <c r="U27" s="634">
        <f t="shared" si="13"/>
        <v>100</v>
      </c>
      <c r="V27" s="633" t="s">
        <v>25</v>
      </c>
      <c r="W27" s="634">
        <f t="shared" si="14"/>
        <v>100</v>
      </c>
      <c r="X27" s="635"/>
      <c r="Y27" s="3668"/>
      <c r="Z27" s="636" t="str">
        <f t="shared" si="15"/>
        <v>项目停车位配比</v>
      </c>
      <c r="AA27" s="1264">
        <f t="shared" si="3"/>
        <v>1</v>
      </c>
      <c r="AB27" s="1264">
        <f t="shared" si="4"/>
        <v>1</v>
      </c>
      <c r="AC27" s="1264">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68"/>
      <c r="Q28" s="1261" t="str">
        <f t="shared" si="11"/>
        <v>公共部分装修</v>
      </c>
      <c r="R28" s="630" t="s">
        <v>25</v>
      </c>
      <c r="S28" s="631">
        <f t="shared" si="12"/>
        <v>100</v>
      </c>
      <c r="T28" s="630" t="s">
        <v>25</v>
      </c>
      <c r="U28" s="631">
        <f t="shared" si="13"/>
        <v>100</v>
      </c>
      <c r="V28" s="630" t="s">
        <v>25</v>
      </c>
      <c r="W28" s="631">
        <f t="shared" si="14"/>
        <v>100</v>
      </c>
      <c r="X28" s="1262"/>
      <c r="Y28" s="3668"/>
      <c r="Z28" s="1263" t="str">
        <f t="shared" si="15"/>
        <v>公共部分装修</v>
      </c>
      <c r="AA28" s="1264">
        <f t="shared" si="3"/>
        <v>1</v>
      </c>
      <c r="AB28" s="1264">
        <f t="shared" si="4"/>
        <v>1</v>
      </c>
      <c r="AC28" s="1264">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68"/>
      <c r="Q29" s="1261" t="str">
        <f t="shared" si="11"/>
        <v>成新率</v>
      </c>
      <c r="R29" s="630" t="s">
        <v>25</v>
      </c>
      <c r="S29" s="631" t="e">
        <f t="shared" si="12"/>
        <v>#N/A</v>
      </c>
      <c r="T29" s="630" t="s">
        <v>25</v>
      </c>
      <c r="U29" s="631" t="e">
        <f t="shared" si="13"/>
        <v>#N/A</v>
      </c>
      <c r="V29" s="630" t="s">
        <v>25</v>
      </c>
      <c r="W29" s="631" t="e">
        <f t="shared" si="14"/>
        <v>#N/A</v>
      </c>
      <c r="X29" s="1262"/>
      <c r="Y29" s="3668"/>
      <c r="Z29" s="1263" t="str">
        <f t="shared" si="15"/>
        <v>成新率</v>
      </c>
      <c r="AA29" s="1264" t="e">
        <f t="shared" si="3"/>
        <v>#N/A</v>
      </c>
      <c r="AB29" s="1264" t="e">
        <f t="shared" si="4"/>
        <v>#N/A</v>
      </c>
      <c r="AC29" s="1264"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68"/>
      <c r="Q30" s="1261" t="str">
        <f t="shared" si="11"/>
        <v>物业等级</v>
      </c>
      <c r="R30" s="630" t="s">
        <v>25</v>
      </c>
      <c r="S30" s="631">
        <f t="shared" si="12"/>
        <v>100</v>
      </c>
      <c r="T30" s="630" t="s">
        <v>25</v>
      </c>
      <c r="U30" s="631">
        <f t="shared" si="13"/>
        <v>100</v>
      </c>
      <c r="V30" s="630" t="s">
        <v>25</v>
      </c>
      <c r="W30" s="631">
        <f t="shared" si="14"/>
        <v>100</v>
      </c>
      <c r="X30" s="1262"/>
      <c r="Y30" s="3668"/>
      <c r="Z30" s="1263" t="str">
        <f t="shared" si="15"/>
        <v>物业等级</v>
      </c>
      <c r="AA30" s="1264">
        <f t="shared" si="3"/>
        <v>1</v>
      </c>
      <c r="AB30" s="1264">
        <f t="shared" si="4"/>
        <v>1</v>
      </c>
      <c r="AC30" s="1264">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68"/>
      <c r="Q31" s="1254" t="str">
        <f t="shared" si="11"/>
        <v>停车位面积</v>
      </c>
      <c r="R31" s="626" t="s">
        <v>25</v>
      </c>
      <c r="S31" s="627" t="e">
        <f t="shared" si="12"/>
        <v>#N/A</v>
      </c>
      <c r="T31" s="626" t="s">
        <v>25</v>
      </c>
      <c r="U31" s="627" t="e">
        <f t="shared" si="13"/>
        <v>#N/A</v>
      </c>
      <c r="V31" s="626" t="s">
        <v>25</v>
      </c>
      <c r="W31" s="627" t="e">
        <f t="shared" si="14"/>
        <v>#N/A</v>
      </c>
      <c r="X31" s="628"/>
      <c r="Y31" s="3668"/>
      <c r="Z31" s="19" t="str">
        <f t="shared" si="15"/>
        <v>停车位面积</v>
      </c>
      <c r="AA31" s="629" t="e">
        <f t="shared" si="3"/>
        <v>#N/A</v>
      </c>
      <c r="AB31" s="629" t="e">
        <f t="shared" si="4"/>
        <v>#N/A</v>
      </c>
      <c r="AC31" s="629"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68" t="s">
        <v>2036</v>
      </c>
      <c r="Q32" s="1261" t="str">
        <f t="shared" si="11"/>
        <v>车位类型</v>
      </c>
      <c r="R32" s="630" t="s">
        <v>25</v>
      </c>
      <c r="S32" s="631">
        <f t="shared" si="12"/>
        <v>100</v>
      </c>
      <c r="T32" s="630" t="s">
        <v>25</v>
      </c>
      <c r="U32" s="631">
        <f t="shared" si="13"/>
        <v>100</v>
      </c>
      <c r="V32" s="630" t="s">
        <v>25</v>
      </c>
      <c r="W32" s="631">
        <f t="shared" si="14"/>
        <v>100</v>
      </c>
      <c r="X32" s="1262"/>
      <c r="Y32" s="3668" t="s">
        <v>2036</v>
      </c>
      <c r="Z32" s="1263" t="str">
        <f t="shared" si="15"/>
        <v>车位类型</v>
      </c>
      <c r="AA32" s="1264">
        <f t="shared" si="3"/>
        <v>1</v>
      </c>
      <c r="AB32" s="1264">
        <f t="shared" si="4"/>
        <v>1</v>
      </c>
      <c r="AC32" s="1264">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68"/>
      <c r="Q33" s="1261" t="str">
        <f t="shared" si="11"/>
        <v>是否直接入户</v>
      </c>
      <c r="R33" s="630" t="s">
        <v>25</v>
      </c>
      <c r="S33" s="631">
        <f t="shared" si="12"/>
        <v>100</v>
      </c>
      <c r="T33" s="630" t="s">
        <v>25</v>
      </c>
      <c r="U33" s="631">
        <f t="shared" si="13"/>
        <v>100</v>
      </c>
      <c r="V33" s="630" t="s">
        <v>25</v>
      </c>
      <c r="W33" s="631">
        <f t="shared" si="14"/>
        <v>100</v>
      </c>
      <c r="X33" s="1262"/>
      <c r="Y33" s="366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68"/>
      <c r="Q34" s="1261">
        <f t="shared" si="11"/>
        <v>111</v>
      </c>
      <c r="R34" s="630" t="s">
        <v>25</v>
      </c>
      <c r="S34" s="631">
        <f t="shared" si="12"/>
        <v>100</v>
      </c>
      <c r="T34" s="630" t="s">
        <v>25</v>
      </c>
      <c r="U34" s="631">
        <f t="shared" si="13"/>
        <v>100</v>
      </c>
      <c r="V34" s="630" t="s">
        <v>25</v>
      </c>
      <c r="W34" s="631">
        <f t="shared" si="14"/>
        <v>100</v>
      </c>
      <c r="X34" s="1262"/>
      <c r="Y34" s="366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68"/>
      <c r="Q35" s="632">
        <f t="shared" si="11"/>
        <v>111</v>
      </c>
      <c r="R35" s="633" t="s">
        <v>25</v>
      </c>
      <c r="S35" s="634">
        <f t="shared" si="12"/>
        <v>100</v>
      </c>
      <c r="T35" s="633" t="s">
        <v>25</v>
      </c>
      <c r="U35" s="634">
        <f t="shared" si="13"/>
        <v>100</v>
      </c>
      <c r="V35" s="633" t="s">
        <v>25</v>
      </c>
      <c r="W35" s="634">
        <f t="shared" si="14"/>
        <v>100</v>
      </c>
      <c r="X35" s="635"/>
      <c r="Y35" s="3668"/>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68"/>
      <c r="Q36" s="1261">
        <f t="shared" si="11"/>
        <v>111</v>
      </c>
      <c r="R36" s="630" t="s">
        <v>25</v>
      </c>
      <c r="S36" s="631">
        <f t="shared" si="12"/>
        <v>100</v>
      </c>
      <c r="T36" s="630" t="s">
        <v>25</v>
      </c>
      <c r="U36" s="631">
        <f t="shared" si="13"/>
        <v>100</v>
      </c>
      <c r="V36" s="630" t="s">
        <v>25</v>
      </c>
      <c r="W36" s="631">
        <f t="shared" si="14"/>
        <v>100</v>
      </c>
      <c r="X36" s="1262"/>
      <c r="Y36" s="3668"/>
      <c r="Z36" s="1263">
        <f t="shared" si="15"/>
        <v>111</v>
      </c>
      <c r="AA36" s="1264">
        <f t="shared" si="3"/>
        <v>1</v>
      </c>
      <c r="AB36" s="1264">
        <f t="shared" si="4"/>
        <v>1</v>
      </c>
      <c r="AC36" s="1264">
        <f t="shared" si="5"/>
        <v>1</v>
      </c>
    </row>
    <row r="37" spans="1:29" ht="15">
      <c r="A37" s="367" t="s">
        <v>2178</v>
      </c>
      <c r="B37" s="797" t="s">
        <v>2179</v>
      </c>
      <c r="C37" s="1081" t="s">
        <v>1</v>
      </c>
      <c r="D37" s="1082"/>
      <c r="E37" s="1083"/>
      <c r="F37" s="1084"/>
      <c r="G37" s="1085"/>
      <c r="H37" s="1086"/>
      <c r="I37" s="1083"/>
      <c r="J37" s="1086"/>
      <c r="K37" s="503"/>
      <c r="L37" s="2954"/>
      <c r="N37" s="2943"/>
      <c r="P37" s="3636" t="str">
        <f>A37</f>
        <v>成交单价</v>
      </c>
      <c r="Q37" s="3636"/>
      <c r="R37" s="3670">
        <f>E37</f>
        <v>0</v>
      </c>
      <c r="S37" s="3670"/>
      <c r="T37" s="3670">
        <f>G37</f>
        <v>0</v>
      </c>
      <c r="U37" s="3670"/>
      <c r="V37" s="3670">
        <f>I37</f>
        <v>0</v>
      </c>
      <c r="W37" s="3670"/>
      <c r="X37" s="617"/>
      <c r="Y37" s="637"/>
      <c r="Z37" s="617"/>
      <c r="AA37" s="617"/>
      <c r="AB37" s="617"/>
      <c r="AC37" s="617"/>
    </row>
    <row r="38" spans="1:29" ht="15.75" thickBot="1">
      <c r="A38" s="374" t="s">
        <v>2180</v>
      </c>
      <c r="B38" s="375" t="str">
        <f>B37</f>
        <v>元/平方米</v>
      </c>
      <c r="C38" s="1087" t="e">
        <f>R39</f>
        <v>#DIV/0!</v>
      </c>
      <c r="D38" s="1724" t="s">
        <v>2502</v>
      </c>
      <c r="E38" s="1088" t="e">
        <f>R38</f>
        <v>#DIV/0!</v>
      </c>
      <c r="F38" s="1726"/>
      <c r="G38" s="1087" t="e">
        <f>T38</f>
        <v>#DIV/0!</v>
      </c>
      <c r="H38" s="1726"/>
      <c r="I38" s="1088" t="e">
        <f>V38</f>
        <v>#DIV/0!</v>
      </c>
      <c r="J38" s="1726"/>
      <c r="K38" s="2428">
        <f>F38+H38+J38</f>
        <v>0</v>
      </c>
      <c r="L38" s="2954"/>
      <c r="P38" s="3636" t="str">
        <f>A38</f>
        <v>比较价值</v>
      </c>
      <c r="Q38" s="3636"/>
      <c r="R38" s="3670" t="e">
        <f>IF(E1="售价",ROUND(PRODUCT(R37,AA7:AA36),0),ROUND(PRODUCT(R37,AA7:AA36),1))</f>
        <v>#DIV/0!</v>
      </c>
      <c r="S38" s="3670"/>
      <c r="T38" s="3670" t="e">
        <f>IF(E1="售价",ROUND(PRODUCT(T37,AB7:AB36),0),ROUND(PRODUCT(T37,AB7:AB36),1))</f>
        <v>#DIV/0!</v>
      </c>
      <c r="U38" s="3670"/>
      <c r="V38" s="3670" t="e">
        <f>IF(E1="售价",ROUND(PRODUCT(V37,AC7:AC36),0),ROUND(PRODUCT(V37,AC7:AC36),1))</f>
        <v>#DIV/0!</v>
      </c>
      <c r="W38" s="3670"/>
      <c r="X38" s="617"/>
      <c r="Y38" s="617"/>
      <c r="Z38" s="617"/>
      <c r="AA38" s="617"/>
      <c r="AB38" s="617"/>
      <c r="AC38" s="617"/>
    </row>
    <row r="39" spans="1:29" ht="15.75" thickBot="1">
      <c r="A39" s="378" t="s">
        <v>2181</v>
      </c>
      <c r="B39" s="379"/>
      <c r="C39" s="1089" t="e">
        <f>R39</f>
        <v>#DIV/0!</v>
      </c>
      <c r="D39" s="1089"/>
      <c r="E39" s="1089"/>
      <c r="F39" s="1089"/>
      <c r="G39" s="1089"/>
      <c r="H39" s="1089"/>
      <c r="I39" s="1089"/>
      <c r="J39" s="1089"/>
      <c r="K39" s="504"/>
      <c r="L39" s="2954"/>
      <c r="P39" s="3671" t="str">
        <f>A39</f>
        <v>估价对象XX用房的比较价值（楼面单价，元/平方米）</v>
      </c>
      <c r="Q39" s="3672"/>
      <c r="R39" s="3673" t="e">
        <f>IF(E1="售价",ROUND(IF(D38="简单平均",AVERAGE(R38:W38),R38*F38+T38*H38+V38*J38),0),ROUND(IF(D38="简单平均",AVERAGE(R38:V38),R38*F38+T38*H38+V38*J38),1))</f>
        <v>#DIV/0!</v>
      </c>
      <c r="S39" s="3673"/>
      <c r="T39" s="3673"/>
      <c r="U39" s="3673"/>
      <c r="V39" s="3673"/>
      <c r="W39" s="3673"/>
      <c r="X39" s="617"/>
      <c r="Y39" s="617"/>
      <c r="Z39" s="617"/>
      <c r="AA39" s="617"/>
      <c r="AB39" s="617"/>
      <c r="AC39" s="617"/>
    </row>
    <row r="40" spans="1:29">
      <c r="G40" s="295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8"/>
      <c r="Q44" s="618"/>
      <c r="R44" s="618"/>
      <c r="S44" s="618"/>
      <c r="T44" s="618"/>
      <c r="U44" s="618"/>
      <c r="V44" s="618"/>
      <c r="W44" s="618"/>
      <c r="X44" s="618"/>
      <c r="Y44" s="618"/>
      <c r="Z44" s="618"/>
      <c r="AA44" s="618"/>
      <c r="AB44" s="618"/>
      <c r="AC44" s="618"/>
    </row>
    <row r="45" spans="1:29" s="388" customFormat="1">
      <c r="B45" s="2956"/>
      <c r="C45" s="2959"/>
      <c r="K45" s="2958"/>
      <c r="L45" s="2955"/>
      <c r="P45" s="618"/>
      <c r="Q45" s="618"/>
      <c r="R45" s="618"/>
      <c r="S45" s="618"/>
      <c r="T45" s="618"/>
      <c r="U45" s="618"/>
      <c r="V45" s="618"/>
      <c r="W45" s="618"/>
      <c r="X45" s="618"/>
      <c r="Y45" s="618"/>
      <c r="Z45" s="618"/>
      <c r="AA45" s="618"/>
      <c r="AB45" s="618"/>
      <c r="AC45" s="618"/>
    </row>
    <row r="46" spans="1:29">
      <c r="B46" s="2956"/>
      <c r="C46" s="2959"/>
      <c r="P46" s="617"/>
      <c r="Q46" s="617"/>
      <c r="R46" s="617"/>
      <c r="S46" s="617"/>
      <c r="T46" s="617"/>
      <c r="U46" s="617"/>
      <c r="V46" s="617"/>
      <c r="W46" s="617"/>
      <c r="X46" s="617"/>
      <c r="Y46" s="617"/>
      <c r="Z46" s="617"/>
      <c r="AA46" s="617"/>
      <c r="AB46" s="617"/>
      <c r="AC46" s="617"/>
    </row>
    <row r="47" spans="1:29" ht="21.75" thickBot="1">
      <c r="A47" s="1091" t="s">
        <v>2185</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2186</v>
      </c>
      <c r="B48" s="392"/>
      <c r="C48" s="1115" t="str">
        <f>YEAR(C7)&amp;"-"&amp;MONTH(C7)</f>
        <v>2022-8</v>
      </c>
      <c r="D48" s="1116">
        <f>EDATE(C48,-1)</f>
        <v>44743</v>
      </c>
      <c r="E48" s="1116">
        <f t="shared" ref="E48:O48" si="16">EDATE(D48,-1)</f>
        <v>44713</v>
      </c>
      <c r="F48" s="1116">
        <f t="shared" si="16"/>
        <v>44682</v>
      </c>
      <c r="G48" s="1116">
        <f t="shared" si="16"/>
        <v>44652</v>
      </c>
      <c r="H48" s="1116">
        <f t="shared" si="16"/>
        <v>44621</v>
      </c>
      <c r="I48" s="1116">
        <f t="shared" si="16"/>
        <v>44593</v>
      </c>
      <c r="J48" s="1116">
        <f t="shared" si="16"/>
        <v>44562</v>
      </c>
      <c r="K48" s="1116">
        <f t="shared" si="16"/>
        <v>44531</v>
      </c>
      <c r="L48" s="1116">
        <f t="shared" si="16"/>
        <v>44501</v>
      </c>
      <c r="M48" s="1116">
        <f t="shared" si="16"/>
        <v>44470</v>
      </c>
      <c r="N48" s="1116">
        <f t="shared" si="16"/>
        <v>44440</v>
      </c>
      <c r="O48" s="1116">
        <f t="shared" si="16"/>
        <v>44409</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2165</v>
      </c>
      <c r="B1" s="1509"/>
      <c r="C1" s="1149"/>
      <c r="D1" s="1159"/>
      <c r="E1" s="1486" t="s">
        <v>2503</v>
      </c>
      <c r="F1" s="1160" t="s">
        <v>2003</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2004</v>
      </c>
      <c r="D3" s="292">
        <f>IF(C1="仅计算典型户型",'数据-取费表'!E5,'数据-取费表'!B5)</f>
        <v>2380.7600000000002</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2"/>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2018</v>
      </c>
      <c r="B7" s="302"/>
      <c r="C7" s="303">
        <f>'数据-取费表'!B2</f>
        <v>44783</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39" t="s">
        <v>2019</v>
      </c>
      <c r="Q7" s="3663"/>
      <c r="R7" s="626" t="s">
        <v>25</v>
      </c>
      <c r="S7" s="627">
        <f t="shared" ref="S7:S14" si="0">F7</f>
        <v>0</v>
      </c>
      <c r="T7" s="626" t="s">
        <v>25</v>
      </c>
      <c r="U7" s="627">
        <f t="shared" ref="U7:U14" si="1">H7</f>
        <v>0</v>
      </c>
      <c r="V7" s="626" t="s">
        <v>25</v>
      </c>
      <c r="W7" s="627">
        <f t="shared" ref="W7:W14" si="2">J7</f>
        <v>0</v>
      </c>
      <c r="X7" s="628"/>
      <c r="Y7" s="3639" t="s">
        <v>2019</v>
      </c>
      <c r="Z7" s="3640"/>
      <c r="AA7" s="629" t="e">
        <f>D7/F7</f>
        <v>#DIV/0!</v>
      </c>
      <c r="AB7" s="629" t="e">
        <f>D7/H7</f>
        <v>#DIV/0!</v>
      </c>
      <c r="AC7" s="629"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39" t="s">
        <v>2022</v>
      </c>
      <c r="Q8" s="3640"/>
      <c r="R8" s="626" t="s">
        <v>25</v>
      </c>
      <c r="S8" s="627">
        <f t="shared" si="0"/>
        <v>0</v>
      </c>
      <c r="T8" s="626" t="s">
        <v>25</v>
      </c>
      <c r="U8" s="627">
        <f t="shared" si="1"/>
        <v>0</v>
      </c>
      <c r="V8" s="626" t="s">
        <v>25</v>
      </c>
      <c r="W8" s="627">
        <f t="shared" si="2"/>
        <v>0</v>
      </c>
      <c r="X8" s="628"/>
      <c r="Y8" s="3639" t="s">
        <v>2022</v>
      </c>
      <c r="Z8" s="3640"/>
      <c r="AA8" s="629" t="e">
        <f t="shared" ref="AA8:AA34" si="3">D8/F8</f>
        <v>#DIV/0!</v>
      </c>
      <c r="AB8" s="629" t="e">
        <f t="shared" ref="AB8:AB34" si="4">D8/H8</f>
        <v>#DIV/0!</v>
      </c>
      <c r="AC8" s="629"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6" t="s">
        <v>2025</v>
      </c>
      <c r="Q9" s="1254" t="str">
        <f t="shared" ref="Q9:Q14" si="6">B9</f>
        <v>用途</v>
      </c>
      <c r="R9" s="626" t="s">
        <v>25</v>
      </c>
      <c r="S9" s="627">
        <f t="shared" si="0"/>
        <v>100</v>
      </c>
      <c r="T9" s="626" t="s">
        <v>25</v>
      </c>
      <c r="U9" s="627">
        <f t="shared" si="1"/>
        <v>100</v>
      </c>
      <c r="V9" s="626" t="s">
        <v>25</v>
      </c>
      <c r="W9" s="627">
        <f t="shared" si="2"/>
        <v>100</v>
      </c>
      <c r="X9" s="628"/>
      <c r="Y9" s="3666" t="s">
        <v>2026</v>
      </c>
      <c r="Z9" s="19" t="str">
        <f t="shared" ref="Z9:Z14" si="7">Q9</f>
        <v>用途</v>
      </c>
      <c r="AA9" s="629">
        <f t="shared" si="3"/>
        <v>1</v>
      </c>
      <c r="AB9" s="629">
        <f t="shared" si="4"/>
        <v>1</v>
      </c>
      <c r="AC9" s="629">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6"/>
      <c r="Q10" s="1254" t="str">
        <f t="shared" si="6"/>
        <v>土地使用年限（年）</v>
      </c>
      <c r="R10" s="626" t="s">
        <v>25</v>
      </c>
      <c r="S10" s="627">
        <f t="shared" si="0"/>
        <v>100</v>
      </c>
      <c r="T10" s="626" t="s">
        <v>25</v>
      </c>
      <c r="U10" s="627">
        <f t="shared" si="1"/>
        <v>100</v>
      </c>
      <c r="V10" s="626" t="s">
        <v>25</v>
      </c>
      <c r="W10" s="627">
        <f t="shared" si="2"/>
        <v>100</v>
      </c>
      <c r="X10" s="628"/>
      <c r="Y10" s="3666"/>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6"/>
      <c r="Q11" s="1254">
        <f t="shared" si="6"/>
        <v>111</v>
      </c>
      <c r="R11" s="626" t="s">
        <v>25</v>
      </c>
      <c r="S11" s="627">
        <f t="shared" si="0"/>
        <v>100</v>
      </c>
      <c r="T11" s="626" t="s">
        <v>25</v>
      </c>
      <c r="U11" s="627">
        <f t="shared" si="1"/>
        <v>100</v>
      </c>
      <c r="V11" s="626" t="s">
        <v>25</v>
      </c>
      <c r="W11" s="627">
        <f t="shared" si="2"/>
        <v>100</v>
      </c>
      <c r="X11" s="628"/>
      <c r="Y11" s="3666"/>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6"/>
      <c r="Q12" s="1254">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6"/>
      <c r="Q13" s="1254">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85.5">
      <c r="A14" s="329" t="s">
        <v>2029</v>
      </c>
      <c r="B14" s="22" t="s">
        <v>2167</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64" t="s">
        <v>2030</v>
      </c>
      <c r="Q14" s="1261" t="str">
        <f t="shared" si="6"/>
        <v>交通便捷度</v>
      </c>
      <c r="R14" s="630" t="s">
        <v>25</v>
      </c>
      <c r="S14" s="631">
        <f t="shared" si="0"/>
        <v>100</v>
      </c>
      <c r="T14" s="630" t="s">
        <v>25</v>
      </c>
      <c r="U14" s="631">
        <f t="shared" si="1"/>
        <v>100</v>
      </c>
      <c r="V14" s="630" t="s">
        <v>25</v>
      </c>
      <c r="W14" s="631">
        <f t="shared" si="2"/>
        <v>100</v>
      </c>
      <c r="X14" s="1262"/>
      <c r="Y14" s="3664" t="s">
        <v>2030</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65"/>
      <c r="Q15" s="1261"/>
      <c r="R15" s="630"/>
      <c r="S15" s="631"/>
      <c r="T15" s="630"/>
      <c r="U15" s="631"/>
      <c r="V15" s="630"/>
      <c r="W15" s="631"/>
      <c r="X15" s="1262"/>
      <c r="Y15" s="3665"/>
      <c r="Z15" s="1263"/>
      <c r="AA15" s="1264">
        <v>1</v>
      </c>
      <c r="AB15" s="1264">
        <v>1</v>
      </c>
      <c r="AC15" s="1264">
        <v>1</v>
      </c>
    </row>
    <row r="16" spans="1:29" ht="42.75">
      <c r="A16" s="318"/>
      <c r="B16" s="513" t="s">
        <v>2145</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65"/>
      <c r="Q16" s="1261" t="str">
        <f>B16</f>
        <v>公共配套设施</v>
      </c>
      <c r="R16" s="630" t="s">
        <v>25</v>
      </c>
      <c r="S16" s="631">
        <f>F16</f>
        <v>100</v>
      </c>
      <c r="T16" s="630" t="s">
        <v>25</v>
      </c>
      <c r="U16" s="631">
        <f>H16</f>
        <v>100</v>
      </c>
      <c r="V16" s="630" t="s">
        <v>25</v>
      </c>
      <c r="W16" s="631">
        <f>J16</f>
        <v>100</v>
      </c>
      <c r="X16" s="1262"/>
      <c r="Y16" s="3665"/>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65"/>
      <c r="Q17" s="1261"/>
      <c r="R17" s="630"/>
      <c r="S17" s="631"/>
      <c r="T17" s="630"/>
      <c r="U17" s="631"/>
      <c r="V17" s="630"/>
      <c r="W17" s="631"/>
      <c r="X17" s="1262"/>
      <c r="Y17" s="3665"/>
      <c r="Z17" s="1263"/>
      <c r="AA17" s="1264">
        <v>1</v>
      </c>
      <c r="AB17" s="1264">
        <v>1</v>
      </c>
      <c r="AC17" s="1264">
        <v>1</v>
      </c>
    </row>
    <row r="18" spans="1:29" ht="28.5">
      <c r="A18" s="318"/>
      <c r="B18" s="515" t="s">
        <v>2146</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65"/>
      <c r="Q18" s="1261" t="str">
        <f>B18</f>
        <v>基础设施水平</v>
      </c>
      <c r="R18" s="630" t="s">
        <v>25</v>
      </c>
      <c r="S18" s="631">
        <f>F18</f>
        <v>100</v>
      </c>
      <c r="T18" s="630" t="s">
        <v>25</v>
      </c>
      <c r="U18" s="631">
        <f>H18</f>
        <v>100</v>
      </c>
      <c r="V18" s="630" t="s">
        <v>25</v>
      </c>
      <c r="W18" s="631">
        <f>J18</f>
        <v>100</v>
      </c>
      <c r="X18" s="1262"/>
      <c r="Y18" s="3665"/>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65"/>
      <c r="Q19" s="1261"/>
      <c r="R19" s="630"/>
      <c r="S19" s="631"/>
      <c r="T19" s="630"/>
      <c r="U19" s="631"/>
      <c r="V19" s="630"/>
      <c r="W19" s="631"/>
      <c r="X19" s="1262"/>
      <c r="Y19" s="3665"/>
      <c r="Z19" s="1263"/>
      <c r="AA19" s="1264">
        <v>1</v>
      </c>
      <c r="AB19" s="1264">
        <v>1</v>
      </c>
      <c r="AC19" s="1264">
        <v>1</v>
      </c>
    </row>
    <row r="20" spans="1:29" ht="57">
      <c r="A20" s="318"/>
      <c r="B20" s="340" t="s">
        <v>2168</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65"/>
      <c r="Q20" s="1261" t="str">
        <f>B20</f>
        <v>自然及人文环境</v>
      </c>
      <c r="R20" s="630" t="s">
        <v>25</v>
      </c>
      <c r="S20" s="631">
        <f>F20</f>
        <v>100</v>
      </c>
      <c r="T20" s="630" t="s">
        <v>25</v>
      </c>
      <c r="U20" s="631">
        <f>H20</f>
        <v>100</v>
      </c>
      <c r="V20" s="630" t="s">
        <v>25</v>
      </c>
      <c r="W20" s="631">
        <f>J20</f>
        <v>100</v>
      </c>
      <c r="X20" s="1262"/>
      <c r="Y20" s="3665"/>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65"/>
      <c r="Q21" s="1261"/>
      <c r="R21" s="630"/>
      <c r="S21" s="631"/>
      <c r="T21" s="630"/>
      <c r="U21" s="631"/>
      <c r="V21" s="630"/>
      <c r="W21" s="631"/>
      <c r="X21" s="1262"/>
      <c r="Y21" s="3665"/>
      <c r="Z21" s="1263"/>
      <c r="AA21" s="1264">
        <v>1</v>
      </c>
      <c r="AB21" s="1264">
        <v>1</v>
      </c>
      <c r="AC21" s="1264">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65"/>
      <c r="Q22" s="1261" t="str">
        <f>B22</f>
        <v>楼层</v>
      </c>
      <c r="R22" s="630" t="s">
        <v>25</v>
      </c>
      <c r="S22" s="631">
        <f>F22</f>
        <v>100</v>
      </c>
      <c r="T22" s="630" t="s">
        <v>25</v>
      </c>
      <c r="U22" s="631">
        <f>H22</f>
        <v>100</v>
      </c>
      <c r="V22" s="630" t="s">
        <v>25</v>
      </c>
      <c r="W22" s="631">
        <f>J22</f>
        <v>100</v>
      </c>
      <c r="X22" s="1262"/>
      <c r="Y22" s="3665"/>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65"/>
      <c r="Q23" s="1261">
        <f>B23</f>
        <v>111</v>
      </c>
      <c r="R23" s="630" t="s">
        <v>25</v>
      </c>
      <c r="S23" s="631">
        <f>F23</f>
        <v>100</v>
      </c>
      <c r="T23" s="630" t="s">
        <v>25</v>
      </c>
      <c r="U23" s="631">
        <f>H23</f>
        <v>100</v>
      </c>
      <c r="V23" s="630" t="s">
        <v>25</v>
      </c>
      <c r="W23" s="631">
        <f>J23</f>
        <v>100</v>
      </c>
      <c r="X23" s="1262"/>
      <c r="Y23" s="3665"/>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65"/>
      <c r="Q24" s="1261">
        <f t="shared" ref="Q24:Q34" si="11">B24</f>
        <v>111</v>
      </c>
      <c r="R24" s="630" t="s">
        <v>25</v>
      </c>
      <c r="S24" s="631">
        <f>F24</f>
        <v>100</v>
      </c>
      <c r="T24" s="630" t="s">
        <v>25</v>
      </c>
      <c r="U24" s="631">
        <f>H24</f>
        <v>100</v>
      </c>
      <c r="V24" s="630" t="s">
        <v>25</v>
      </c>
      <c r="W24" s="631">
        <f>J24</f>
        <v>100</v>
      </c>
      <c r="X24" s="1262"/>
      <c r="Y24" s="3665"/>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65"/>
      <c r="Q25" s="1254">
        <f t="shared" si="11"/>
        <v>111</v>
      </c>
      <c r="R25" s="626" t="s">
        <v>25</v>
      </c>
      <c r="S25" s="627">
        <f>F25</f>
        <v>100</v>
      </c>
      <c r="T25" s="626" t="s">
        <v>25</v>
      </c>
      <c r="U25" s="627">
        <f>H25</f>
        <v>100</v>
      </c>
      <c r="V25" s="626" t="s">
        <v>25</v>
      </c>
      <c r="W25" s="627">
        <f>J25</f>
        <v>100</v>
      </c>
      <c r="X25" s="628"/>
      <c r="Y25" s="3665"/>
      <c r="Z25" s="19">
        <f>Q25</f>
        <v>111</v>
      </c>
      <c r="AA25" s="1264">
        <f>D25/F25</f>
        <v>1</v>
      </c>
      <c r="AB25" s="1264">
        <f>D25/H25</f>
        <v>1</v>
      </c>
      <c r="AC25" s="1264">
        <f>D25/J25</f>
        <v>1</v>
      </c>
    </row>
    <row r="26" spans="1:29" ht="28.5">
      <c r="A26" s="354" t="s">
        <v>2034</v>
      </c>
      <c r="B26" s="24" t="s">
        <v>2172</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67" t="s">
        <v>2036</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68" t="s">
        <v>2036</v>
      </c>
      <c r="Z26" s="1263" t="str">
        <f t="shared" ref="Z26:Z34" si="15">Q26</f>
        <v>公共部分装修</v>
      </c>
      <c r="AA26" s="1264">
        <f t="shared" si="3"/>
        <v>1</v>
      </c>
      <c r="AB26" s="1264">
        <f t="shared" si="4"/>
        <v>1</v>
      </c>
      <c r="AC26" s="1264">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68"/>
      <c r="Q27" s="632" t="str">
        <f t="shared" si="11"/>
        <v>成新率</v>
      </c>
      <c r="R27" s="633" t="s">
        <v>25</v>
      </c>
      <c r="S27" s="634" t="e">
        <f t="shared" si="12"/>
        <v>#N/A</v>
      </c>
      <c r="T27" s="633" t="s">
        <v>25</v>
      </c>
      <c r="U27" s="634" t="e">
        <f t="shared" si="13"/>
        <v>#N/A</v>
      </c>
      <c r="V27" s="633" t="s">
        <v>25</v>
      </c>
      <c r="W27" s="634" t="e">
        <f t="shared" si="14"/>
        <v>#N/A</v>
      </c>
      <c r="X27" s="635"/>
      <c r="Y27" s="3668"/>
      <c r="Z27" s="636" t="str">
        <f t="shared" si="15"/>
        <v>成新率</v>
      </c>
      <c r="AA27" s="1264" t="e">
        <f t="shared" si="3"/>
        <v>#N/A</v>
      </c>
      <c r="AB27" s="1264" t="e">
        <f t="shared" si="4"/>
        <v>#N/A</v>
      </c>
      <c r="AC27" s="1264"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68"/>
      <c r="Q28" s="1261" t="str">
        <f t="shared" si="11"/>
        <v>物业等级</v>
      </c>
      <c r="R28" s="630" t="s">
        <v>25</v>
      </c>
      <c r="S28" s="631">
        <f t="shared" si="12"/>
        <v>100</v>
      </c>
      <c r="T28" s="630" t="s">
        <v>25</v>
      </c>
      <c r="U28" s="631">
        <f t="shared" si="13"/>
        <v>100</v>
      </c>
      <c r="V28" s="630" t="s">
        <v>25</v>
      </c>
      <c r="W28" s="631">
        <f t="shared" si="14"/>
        <v>100</v>
      </c>
      <c r="X28" s="1262"/>
      <c r="Y28" s="3668"/>
      <c r="Z28" s="1263" t="str">
        <f t="shared" si="15"/>
        <v>物业等级</v>
      </c>
      <c r="AA28" s="1264">
        <f t="shared" si="3"/>
        <v>1</v>
      </c>
      <c r="AB28" s="1264">
        <f t="shared" si="4"/>
        <v>1</v>
      </c>
      <c r="AC28" s="1264">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68"/>
      <c r="Q29" s="1261" t="str">
        <f t="shared" si="11"/>
        <v>有无电梯</v>
      </c>
      <c r="R29" s="630" t="s">
        <v>25</v>
      </c>
      <c r="S29" s="631">
        <f t="shared" si="12"/>
        <v>100</v>
      </c>
      <c r="T29" s="630" t="s">
        <v>25</v>
      </c>
      <c r="U29" s="631">
        <f t="shared" si="13"/>
        <v>100</v>
      </c>
      <c r="V29" s="630" t="s">
        <v>25</v>
      </c>
      <c r="W29" s="631">
        <f t="shared" si="14"/>
        <v>100</v>
      </c>
      <c r="X29" s="1262"/>
      <c r="Y29" s="3668"/>
      <c r="Z29" s="1263" t="str">
        <f t="shared" si="15"/>
        <v>有无电梯</v>
      </c>
      <c r="AA29" s="1264">
        <f t="shared" si="3"/>
        <v>1</v>
      </c>
      <c r="AB29" s="1264">
        <f t="shared" si="4"/>
        <v>1</v>
      </c>
      <c r="AC29" s="1264">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68"/>
      <c r="Q30" s="1261" t="str">
        <f t="shared" si="11"/>
        <v>建筑面积</v>
      </c>
      <c r="R30" s="630" t="s">
        <v>25</v>
      </c>
      <c r="S30" s="631" t="e">
        <f t="shared" si="12"/>
        <v>#N/A</v>
      </c>
      <c r="T30" s="630" t="s">
        <v>25</v>
      </c>
      <c r="U30" s="631" t="e">
        <f t="shared" si="13"/>
        <v>#N/A</v>
      </c>
      <c r="V30" s="630" t="s">
        <v>25</v>
      </c>
      <c r="W30" s="631" t="e">
        <f t="shared" si="14"/>
        <v>#N/A</v>
      </c>
      <c r="X30" s="1262"/>
      <c r="Y30" s="3668"/>
      <c r="Z30" s="1263" t="str">
        <f t="shared" si="15"/>
        <v>建筑面积</v>
      </c>
      <c r="AA30" s="1264" t="e">
        <f t="shared" si="3"/>
        <v>#N/A</v>
      </c>
      <c r="AB30" s="1264" t="e">
        <f t="shared" si="4"/>
        <v>#N/A</v>
      </c>
      <c r="AC30" s="1264"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68"/>
      <c r="Q31" s="1254" t="str">
        <f t="shared" si="11"/>
        <v>是否封闭</v>
      </c>
      <c r="R31" s="626" t="s">
        <v>25</v>
      </c>
      <c r="S31" s="627">
        <f t="shared" si="12"/>
        <v>100</v>
      </c>
      <c r="T31" s="626" t="s">
        <v>25</v>
      </c>
      <c r="U31" s="627">
        <f t="shared" si="13"/>
        <v>100</v>
      </c>
      <c r="V31" s="626" t="s">
        <v>25</v>
      </c>
      <c r="W31" s="627">
        <f t="shared" si="14"/>
        <v>100</v>
      </c>
      <c r="X31" s="628"/>
      <c r="Y31" s="3668"/>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68" t="s">
        <v>2036</v>
      </c>
      <c r="Q32" s="1261">
        <f t="shared" si="11"/>
        <v>111</v>
      </c>
      <c r="R32" s="630" t="s">
        <v>25</v>
      </c>
      <c r="S32" s="631">
        <f t="shared" si="12"/>
        <v>100</v>
      </c>
      <c r="T32" s="630" t="s">
        <v>25</v>
      </c>
      <c r="U32" s="631">
        <f t="shared" si="13"/>
        <v>100</v>
      </c>
      <c r="V32" s="630" t="s">
        <v>25</v>
      </c>
      <c r="W32" s="631">
        <f t="shared" si="14"/>
        <v>100</v>
      </c>
      <c r="X32" s="1262"/>
      <c r="Y32" s="3668" t="s">
        <v>2036</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68"/>
      <c r="Q33" s="1261">
        <f t="shared" si="11"/>
        <v>111</v>
      </c>
      <c r="R33" s="630" t="s">
        <v>25</v>
      </c>
      <c r="S33" s="631">
        <f t="shared" si="12"/>
        <v>100</v>
      </c>
      <c r="T33" s="630" t="s">
        <v>25</v>
      </c>
      <c r="U33" s="631">
        <f t="shared" si="13"/>
        <v>100</v>
      </c>
      <c r="V33" s="630" t="s">
        <v>25</v>
      </c>
      <c r="W33" s="631">
        <f t="shared" si="14"/>
        <v>100</v>
      </c>
      <c r="X33" s="1262"/>
      <c r="Y33" s="366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68"/>
      <c r="Q34" s="1261">
        <f t="shared" si="11"/>
        <v>111</v>
      </c>
      <c r="R34" s="630" t="s">
        <v>25</v>
      </c>
      <c r="S34" s="631">
        <f t="shared" si="12"/>
        <v>100</v>
      </c>
      <c r="T34" s="630" t="s">
        <v>25</v>
      </c>
      <c r="U34" s="631">
        <f t="shared" si="13"/>
        <v>100</v>
      </c>
      <c r="V34" s="630" t="s">
        <v>25</v>
      </c>
      <c r="W34" s="631">
        <f t="shared" si="14"/>
        <v>100</v>
      </c>
      <c r="X34" s="1262"/>
      <c r="Y34" s="3668"/>
      <c r="Z34" s="1263">
        <f t="shared" si="15"/>
        <v>111</v>
      </c>
      <c r="AA34" s="1264">
        <f t="shared" si="3"/>
        <v>1</v>
      </c>
      <c r="AB34" s="1264">
        <f t="shared" si="4"/>
        <v>1</v>
      </c>
      <c r="AC34" s="1264">
        <f t="shared" si="5"/>
        <v>1</v>
      </c>
    </row>
    <row r="35" spans="1:29" ht="15">
      <c r="A35" s="367" t="s">
        <v>2048</v>
      </c>
      <c r="B35" s="368"/>
      <c r="C35" s="1081" t="s">
        <v>1</v>
      </c>
      <c r="D35" s="1082"/>
      <c r="E35" s="1083"/>
      <c r="F35" s="1084"/>
      <c r="G35" s="1085"/>
      <c r="H35" s="1086"/>
      <c r="I35" s="1083"/>
      <c r="J35" s="1086"/>
      <c r="K35" s="639"/>
      <c r="L35" s="2954"/>
      <c r="N35" s="2943"/>
      <c r="P35" s="3636" t="str">
        <f>A35</f>
        <v>成交单价（元/平方米）</v>
      </c>
      <c r="Q35" s="3636"/>
      <c r="R35" s="3670">
        <f>E35</f>
        <v>0</v>
      </c>
      <c r="S35" s="3670"/>
      <c r="T35" s="3670">
        <f>G35</f>
        <v>0</v>
      </c>
      <c r="U35" s="3670"/>
      <c r="V35" s="3670">
        <f>I35</f>
        <v>0</v>
      </c>
      <c r="W35" s="3670"/>
      <c r="X35" s="617"/>
      <c r="Y35" s="637"/>
      <c r="Z35" s="617"/>
      <c r="AA35" s="617"/>
      <c r="AB35" s="617"/>
      <c r="AC35" s="617"/>
    </row>
    <row r="36" spans="1:29" ht="15.75" thickBot="1">
      <c r="A36" s="374" t="s">
        <v>2131</v>
      </c>
      <c r="B36" s="375"/>
      <c r="C36" s="1087" t="e">
        <f>R37</f>
        <v>#DIV/0!</v>
      </c>
      <c r="D36" s="1724" t="s">
        <v>2502</v>
      </c>
      <c r="E36" s="1088" t="e">
        <f>R36</f>
        <v>#DIV/0!</v>
      </c>
      <c r="F36" s="1726"/>
      <c r="G36" s="1087" t="e">
        <f>T36</f>
        <v>#DIV/0!</v>
      </c>
      <c r="H36" s="1726"/>
      <c r="I36" s="1088" t="e">
        <f>V36</f>
        <v>#DIV/0!</v>
      </c>
      <c r="J36" s="1726"/>
      <c r="K36" s="2428">
        <f>F36+H36+J36</f>
        <v>0</v>
      </c>
      <c r="L36" s="2954"/>
      <c r="N36" s="2943"/>
      <c r="P36" s="3636" t="str">
        <f>A36</f>
        <v>比较价值（元/平方米）</v>
      </c>
      <c r="Q36" s="3636"/>
      <c r="R36" s="3670" t="e">
        <f>IF(E1="售价",ROUND(PRODUCT(R35,AA7:AA34),0),ROUND(PRODUCT(R35,AA7:AA34),1))</f>
        <v>#DIV/0!</v>
      </c>
      <c r="S36" s="3670"/>
      <c r="T36" s="3670" t="e">
        <f>IF(E1="售价",ROUND(PRODUCT(T35,AB7:AB34),0),ROUND(PRODUCT(T35,AB7:AB34),1))</f>
        <v>#DIV/0!</v>
      </c>
      <c r="U36" s="3670"/>
      <c r="V36" s="3670" t="e">
        <f>IF(E1="售价",ROUND(PRODUCT(V35,AC7:AC34),0),ROUND(PRODUCT(V35,AC7:AC34),1))</f>
        <v>#DIV/0!</v>
      </c>
      <c r="W36" s="3670"/>
      <c r="X36" s="617"/>
      <c r="Y36" s="617"/>
      <c r="Z36" s="617"/>
      <c r="AA36" s="617"/>
      <c r="AB36" s="617"/>
      <c r="AC36" s="617"/>
    </row>
    <row r="37" spans="1:29" ht="15.75" thickBot="1">
      <c r="A37" s="378" t="s">
        <v>2154</v>
      </c>
      <c r="B37" s="379"/>
      <c r="C37" s="1089" t="e">
        <f>R37</f>
        <v>#DIV/0!</v>
      </c>
      <c r="D37" s="1089"/>
      <c r="E37" s="1089"/>
      <c r="F37" s="1089"/>
      <c r="G37" s="1089"/>
      <c r="H37" s="1089"/>
      <c r="I37" s="1089"/>
      <c r="J37" s="1089"/>
      <c r="K37" s="640"/>
      <c r="L37" s="2954"/>
      <c r="P37" s="3671" t="str">
        <f>A37</f>
        <v>估价对象XX用房的比较价值（楼面单价，元/平方米）</v>
      </c>
      <c r="Q37" s="3672"/>
      <c r="R37" s="3673" t="e">
        <f>IF(E1="售价",ROUND(IF(D36="简单平均",AVERAGE(R36:W36),R36*F36+T36*H36+V36*J36),0),ROUND(IF(D36="简单平均",AVERAGE(R36:V36),R36*F36+T36*H36+V36*J36),1))</f>
        <v>#DIV/0!</v>
      </c>
      <c r="S37" s="3673"/>
      <c r="T37" s="3673"/>
      <c r="U37" s="3673"/>
      <c r="V37" s="3673"/>
      <c r="W37" s="3673"/>
      <c r="X37" s="617"/>
      <c r="Y37" s="617"/>
      <c r="Z37" s="617"/>
      <c r="AA37" s="617"/>
      <c r="AB37" s="617"/>
      <c r="AC37" s="617"/>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19" t="s">
        <v>2136</v>
      </c>
      <c r="B45" s="617"/>
      <c r="C45" s="620"/>
      <c r="D45" s="620"/>
      <c r="E45" s="620"/>
      <c r="F45" s="621"/>
      <c r="G45" s="621"/>
      <c r="H45" s="620"/>
      <c r="I45" s="620"/>
      <c r="J45" s="620"/>
      <c r="K45" s="622"/>
      <c r="L45" s="623"/>
      <c r="M45" s="620"/>
      <c r="N45" s="2960"/>
      <c r="O45" s="2960"/>
      <c r="P45" s="389"/>
      <c r="Q45" s="390"/>
    </row>
    <row r="46" spans="1:29" s="394" customFormat="1" ht="15">
      <c r="A46" s="391" t="s">
        <v>2018</v>
      </c>
      <c r="B46" s="392"/>
      <c r="C46" s="1115" t="str">
        <f>YEAR(C7)&amp;"-"&amp;MONTH(C7)</f>
        <v>2022-8</v>
      </c>
      <c r="D46" s="1116">
        <f>EDATE(C46,-1)</f>
        <v>44743</v>
      </c>
      <c r="E46" s="1116">
        <f t="shared" ref="E46:O46" si="16">EDATE(D46,-1)</f>
        <v>44713</v>
      </c>
      <c r="F46" s="1116">
        <f t="shared" si="16"/>
        <v>44682</v>
      </c>
      <c r="G46" s="1116">
        <f t="shared" si="16"/>
        <v>44652</v>
      </c>
      <c r="H46" s="1116">
        <f t="shared" si="16"/>
        <v>44621</v>
      </c>
      <c r="I46" s="1116">
        <f t="shared" si="16"/>
        <v>44593</v>
      </c>
      <c r="J46" s="1116">
        <f t="shared" si="16"/>
        <v>44562</v>
      </c>
      <c r="K46" s="1116">
        <f t="shared" si="16"/>
        <v>44531</v>
      </c>
      <c r="L46" s="1116">
        <f t="shared" si="16"/>
        <v>44501</v>
      </c>
      <c r="M46" s="1116">
        <f t="shared" si="16"/>
        <v>44470</v>
      </c>
      <c r="N46" s="1116">
        <f t="shared" si="16"/>
        <v>44440</v>
      </c>
      <c r="O46" s="1116">
        <f t="shared" si="16"/>
        <v>44409</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17" sqref="G17"/>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2201</v>
      </c>
      <c r="B1" s="1879"/>
      <c r="C1" s="1880" t="s">
        <v>2202</v>
      </c>
      <c r="D1" s="1879"/>
      <c r="E1" s="1879"/>
      <c r="F1" s="1881" t="s">
        <v>2003</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2203</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2204</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2005</v>
      </c>
      <c r="B4" s="1591"/>
      <c r="C4" s="3586" t="s">
        <v>2006</v>
      </c>
      <c r="D4" s="3587"/>
      <c r="E4" s="3588" t="s">
        <v>2007</v>
      </c>
      <c r="F4" s="3589"/>
      <c r="G4" s="3586" t="s">
        <v>2008</v>
      </c>
      <c r="H4" s="3587"/>
      <c r="I4" s="3586" t="s">
        <v>2009</v>
      </c>
      <c r="J4" s="3587"/>
      <c r="K4" s="1893" t="s">
        <v>2010</v>
      </c>
      <c r="L4" s="2914"/>
      <c r="M4" s="2915"/>
      <c r="N4" s="2915"/>
      <c r="O4" s="2915"/>
      <c r="P4" s="3590" t="s">
        <v>2011</v>
      </c>
      <c r="Q4" s="3591"/>
      <c r="R4" s="3596" t="s">
        <v>2007</v>
      </c>
      <c r="S4" s="3597"/>
      <c r="T4" s="3596" t="s">
        <v>2008</v>
      </c>
      <c r="U4" s="3597"/>
      <c r="V4" s="3602" t="s">
        <v>2009</v>
      </c>
      <c r="W4" s="3602"/>
      <c r="X4" s="1593"/>
      <c r="Y4" s="3596" t="s">
        <v>2011</v>
      </c>
      <c r="Z4" s="3597"/>
      <c r="AA4" s="3583" t="s">
        <v>2007</v>
      </c>
      <c r="AB4" s="3584" t="s">
        <v>2008</v>
      </c>
      <c r="AC4" s="3583" t="s">
        <v>2009</v>
      </c>
    </row>
    <row r="5" spans="1:30" ht="15">
      <c r="A5" s="1595"/>
      <c r="B5" s="1596"/>
      <c r="C5" s="3605" t="s">
        <v>2012</v>
      </c>
      <c r="D5" s="3606"/>
      <c r="E5" s="3603" t="s">
        <v>2013</v>
      </c>
      <c r="F5" s="3604"/>
      <c r="G5" s="3605" t="s">
        <v>2014</v>
      </c>
      <c r="H5" s="3606"/>
      <c r="I5" s="3605" t="s">
        <v>2015</v>
      </c>
      <c r="J5" s="3606"/>
      <c r="K5" s="1893"/>
      <c r="L5" s="2914"/>
      <c r="M5" s="2915"/>
      <c r="N5" s="2915"/>
      <c r="O5" s="2915"/>
      <c r="P5" s="3592"/>
      <c r="Q5" s="3593"/>
      <c r="R5" s="3598"/>
      <c r="S5" s="3599"/>
      <c r="T5" s="3598"/>
      <c r="U5" s="3599"/>
      <c r="V5" s="3602"/>
      <c r="W5" s="3602"/>
      <c r="X5" s="1593"/>
      <c r="Y5" s="3598"/>
      <c r="Z5" s="3599"/>
      <c r="AA5" s="3584"/>
      <c r="AB5" s="3584"/>
      <c r="AC5" s="3584"/>
    </row>
    <row r="6" spans="1:30" ht="15.75" thickBot="1">
      <c r="A6" s="1598"/>
      <c r="B6" s="1599"/>
      <c r="C6" s="3607" t="s">
        <v>2016</v>
      </c>
      <c r="D6" s="3608"/>
      <c r="E6" s="3609" t="s">
        <v>2016</v>
      </c>
      <c r="F6" s="3610"/>
      <c r="G6" s="3607" t="s">
        <v>2016</v>
      </c>
      <c r="H6" s="3608"/>
      <c r="I6" s="3607" t="s">
        <v>2016</v>
      </c>
      <c r="J6" s="3608"/>
      <c r="K6" s="1893" t="s">
        <v>2017</v>
      </c>
      <c r="L6" s="2914"/>
      <c r="M6" s="2915"/>
      <c r="N6" s="2915"/>
      <c r="O6" s="2915"/>
      <c r="P6" s="3594"/>
      <c r="Q6" s="3595"/>
      <c r="R6" s="3598"/>
      <c r="S6" s="3599"/>
      <c r="T6" s="3600"/>
      <c r="U6" s="3601"/>
      <c r="V6" s="3602"/>
      <c r="W6" s="3602"/>
      <c r="X6" s="1593"/>
      <c r="Y6" s="3600"/>
      <c r="Z6" s="3601"/>
      <c r="AA6" s="3585"/>
      <c r="AB6" s="3585"/>
      <c r="AC6" s="3585"/>
    </row>
    <row r="7" spans="1:30" s="1612" customFormat="1" ht="15.75" thickBot="1">
      <c r="A7" s="1600" t="s">
        <v>2018</v>
      </c>
      <c r="B7" s="1601"/>
      <c r="C7" s="1602">
        <f>'数据-取费表'!B2</f>
        <v>44783</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18" t="s">
        <v>2019</v>
      </c>
      <c r="Q7" s="3620"/>
      <c r="R7" s="1608" t="s">
        <v>25</v>
      </c>
      <c r="S7" s="1609">
        <f t="shared" ref="S7:S15" si="0">F7</f>
        <v>0</v>
      </c>
      <c r="T7" s="1608" t="s">
        <v>25</v>
      </c>
      <c r="U7" s="1609">
        <f t="shared" ref="U7:U15" si="1">H7</f>
        <v>0</v>
      </c>
      <c r="V7" s="1608" t="s">
        <v>25</v>
      </c>
      <c r="W7" s="1609">
        <f t="shared" ref="W7:W15" si="2">J7</f>
        <v>0</v>
      </c>
      <c r="X7" s="1610"/>
      <c r="Y7" s="3618" t="s">
        <v>2019</v>
      </c>
      <c r="Z7" s="3619"/>
      <c r="AA7" s="1611" t="e">
        <f>D7/F7</f>
        <v>#DIV/0!</v>
      </c>
      <c r="AB7" s="1611" t="e">
        <f>D7/H7</f>
        <v>#DIV/0!</v>
      </c>
      <c r="AC7" s="1611" t="e">
        <f>D7/J7</f>
        <v>#DIV/0!</v>
      </c>
    </row>
    <row r="8" spans="1:30" s="1612" customFormat="1" ht="15.75" thickBot="1">
      <c r="A8" s="1600" t="s">
        <v>2020</v>
      </c>
      <c r="B8" s="1601"/>
      <c r="C8" s="1613" t="s">
        <v>2205</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18" t="s">
        <v>2022</v>
      </c>
      <c r="Q8" s="3619"/>
      <c r="R8" s="1608" t="s">
        <v>25</v>
      </c>
      <c r="S8" s="1609">
        <f t="shared" si="0"/>
        <v>0</v>
      </c>
      <c r="T8" s="1608" t="s">
        <v>25</v>
      </c>
      <c r="U8" s="1609">
        <f t="shared" si="1"/>
        <v>0</v>
      </c>
      <c r="V8" s="1608" t="s">
        <v>25</v>
      </c>
      <c r="W8" s="1609">
        <f t="shared" si="2"/>
        <v>0</v>
      </c>
      <c r="X8" s="1610"/>
      <c r="Y8" s="3618" t="s">
        <v>2022</v>
      </c>
      <c r="Z8" s="3619"/>
      <c r="AA8" s="1611" t="e">
        <f t="shared" ref="AA8:AA45" si="3">D8/F8</f>
        <v>#DIV/0!</v>
      </c>
      <c r="AB8" s="1611" t="e">
        <f t="shared" ref="AB8:AB45" si="4">D8/H8</f>
        <v>#DIV/0!</v>
      </c>
      <c r="AC8" s="1611" t="e">
        <f t="shared" ref="AC8:AC45" si="5">D8/J8</f>
        <v>#DIV/0!</v>
      </c>
    </row>
    <row r="9" spans="1:30" s="1612" customFormat="1">
      <c r="A9" s="1563" t="s">
        <v>2023</v>
      </c>
      <c r="B9" s="1615" t="s">
        <v>2024</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22" t="s">
        <v>2025</v>
      </c>
      <c r="Q9" s="1562" t="str">
        <f t="shared" ref="Q9:Q15" si="6">B9</f>
        <v>用途</v>
      </c>
      <c r="R9" s="1608" t="s">
        <v>25</v>
      </c>
      <c r="S9" s="1609">
        <f t="shared" si="0"/>
        <v>100</v>
      </c>
      <c r="T9" s="1608" t="s">
        <v>25</v>
      </c>
      <c r="U9" s="1609">
        <f t="shared" si="1"/>
        <v>100</v>
      </c>
      <c r="V9" s="1608" t="s">
        <v>25</v>
      </c>
      <c r="W9" s="1609">
        <f t="shared" si="2"/>
        <v>100</v>
      </c>
      <c r="X9" s="1610"/>
      <c r="Y9" s="3486" t="s">
        <v>2026</v>
      </c>
      <c r="Z9" s="1621" t="str">
        <f t="shared" ref="Z9:Z15" si="7">Q9</f>
        <v>用途</v>
      </c>
      <c r="AA9" s="1611">
        <f t="shared" si="3"/>
        <v>1</v>
      </c>
      <c r="AB9" s="1611">
        <f t="shared" si="4"/>
        <v>1</v>
      </c>
      <c r="AC9" s="1611">
        <f t="shared" si="5"/>
        <v>1</v>
      </c>
    </row>
    <row r="10" spans="1:30" s="1629" customFormat="1" ht="27">
      <c r="A10" s="1622"/>
      <c r="B10" s="1623" t="s">
        <v>2027</v>
      </c>
      <c r="C10" s="1635"/>
      <c r="D10" s="1625">
        <v>100</v>
      </c>
      <c r="E10" s="1687"/>
      <c r="F10" s="1625">
        <f>ROUND(100/'数据-取费表'!B14,0)</f>
        <v>106</v>
      </c>
      <c r="G10" s="1685"/>
      <c r="H10" s="1625">
        <f>ROUND(100/'数据-取费表'!B14,0)</f>
        <v>106</v>
      </c>
      <c r="I10" s="1685"/>
      <c r="J10" s="1625">
        <f>ROUND(100/'数据-取费表'!B14,0)</f>
        <v>106</v>
      </c>
      <c r="K10" s="1897"/>
      <c r="L10" s="2916"/>
      <c r="M10" s="2917"/>
      <c r="N10" s="2917"/>
      <c r="O10" s="2962"/>
      <c r="P10" s="3622"/>
      <c r="Q10" s="1562" t="str">
        <f t="shared" si="6"/>
        <v>土地使用年限（年）</v>
      </c>
      <c r="R10" s="1608" t="s">
        <v>25</v>
      </c>
      <c r="S10" s="1609">
        <f t="shared" si="0"/>
        <v>106</v>
      </c>
      <c r="T10" s="1608" t="s">
        <v>25</v>
      </c>
      <c r="U10" s="1609">
        <f t="shared" si="1"/>
        <v>106</v>
      </c>
      <c r="V10" s="1608" t="s">
        <v>25</v>
      </c>
      <c r="W10" s="1609">
        <f t="shared" si="2"/>
        <v>106</v>
      </c>
      <c r="X10" s="1610"/>
      <c r="Y10" s="3486"/>
      <c r="Z10" s="1621" t="str">
        <f t="shared" si="7"/>
        <v>土地使用年限（年）</v>
      </c>
      <c r="AA10" s="1611">
        <f t="shared" si="3"/>
        <v>0.94339622641509435</v>
      </c>
      <c r="AB10" s="1611">
        <f t="shared" si="4"/>
        <v>0.94339622641509435</v>
      </c>
      <c r="AC10" s="1611">
        <f t="shared" si="5"/>
        <v>0.94339622641509435</v>
      </c>
    </row>
    <row r="11" spans="1:30" ht="15">
      <c r="A11" s="1630"/>
      <c r="B11" s="1623" t="s">
        <v>2028</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22"/>
      <c r="Q11" s="1562" t="str">
        <f t="shared" si="6"/>
        <v>容积率</v>
      </c>
      <c r="R11" s="1608" t="s">
        <v>25</v>
      </c>
      <c r="S11" s="1609" t="e">
        <f t="shared" si="0"/>
        <v>#N/A</v>
      </c>
      <c r="T11" s="1608" t="s">
        <v>25</v>
      </c>
      <c r="U11" s="1609" t="e">
        <f t="shared" si="1"/>
        <v>#N/A</v>
      </c>
      <c r="V11" s="1608" t="s">
        <v>25</v>
      </c>
      <c r="W11" s="1609" t="e">
        <f t="shared" si="2"/>
        <v>#N/A</v>
      </c>
      <c r="X11" s="1610"/>
      <c r="Y11" s="3486"/>
      <c r="Z11" s="1621" t="str">
        <f t="shared" si="7"/>
        <v>容积率</v>
      </c>
      <c r="AA11" s="1611" t="e">
        <f t="shared" si="3"/>
        <v>#N/A</v>
      </c>
      <c r="AB11" s="1611" t="e">
        <f t="shared" si="4"/>
        <v>#N/A</v>
      </c>
      <c r="AC11" s="1611" t="e">
        <f t="shared" si="5"/>
        <v>#N/A</v>
      </c>
    </row>
    <row r="12" spans="1:30" s="1612" customFormat="1" ht="15">
      <c r="A12" s="1633"/>
      <c r="B12" s="1634" t="s">
        <v>2206</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22"/>
      <c r="Q12" s="1562" t="str">
        <f t="shared" si="6"/>
        <v>配建</v>
      </c>
      <c r="R12" s="1608" t="s">
        <v>25</v>
      </c>
      <c r="S12" s="1609">
        <f t="shared" si="0"/>
        <v>100</v>
      </c>
      <c r="T12" s="1608" t="s">
        <v>25</v>
      </c>
      <c r="U12" s="1609">
        <f t="shared" si="1"/>
        <v>100</v>
      </c>
      <c r="V12" s="1608" t="s">
        <v>25</v>
      </c>
      <c r="W12" s="1609">
        <f t="shared" si="2"/>
        <v>100</v>
      </c>
      <c r="X12" s="1610"/>
      <c r="Y12" s="3486"/>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22"/>
      <c r="Q13" s="1562">
        <f t="shared" si="6"/>
        <v>111</v>
      </c>
      <c r="R13" s="1608" t="s">
        <v>25</v>
      </c>
      <c r="S13" s="1609">
        <f t="shared" si="0"/>
        <v>100</v>
      </c>
      <c r="T13" s="1608" t="s">
        <v>25</v>
      </c>
      <c r="U13" s="1609">
        <f t="shared" si="1"/>
        <v>100</v>
      </c>
      <c r="V13" s="1608" t="s">
        <v>25</v>
      </c>
      <c r="W13" s="1609">
        <f t="shared" si="2"/>
        <v>100</v>
      </c>
      <c r="X13" s="1610"/>
      <c r="Y13" s="3486"/>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22"/>
      <c r="Q14" s="1562">
        <f t="shared" si="6"/>
        <v>111</v>
      </c>
      <c r="R14" s="1608" t="s">
        <v>25</v>
      </c>
      <c r="S14" s="1609">
        <f t="shared" si="0"/>
        <v>100</v>
      </c>
      <c r="T14" s="1608" t="s">
        <v>25</v>
      </c>
      <c r="U14" s="1609">
        <f t="shared" si="1"/>
        <v>100</v>
      </c>
      <c r="V14" s="1608" t="s">
        <v>25</v>
      </c>
      <c r="W14" s="1609">
        <f t="shared" si="2"/>
        <v>100</v>
      </c>
      <c r="X14" s="1610"/>
      <c r="Y14" s="3486"/>
      <c r="Z14" s="1621">
        <f t="shared" si="7"/>
        <v>111</v>
      </c>
      <c r="AA14" s="1611">
        <f>D14/F14</f>
        <v>1</v>
      </c>
      <c r="AB14" s="1611">
        <f>D14/H14</f>
        <v>1</v>
      </c>
      <c r="AC14" s="1611">
        <f>D14/J14</f>
        <v>1</v>
      </c>
    </row>
    <row r="15" spans="1:30" ht="99.75">
      <c r="A15" s="1590" t="s">
        <v>2029</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1" t="s">
        <v>2030</v>
      </c>
      <c r="Q15" s="1543" t="str">
        <f t="shared" si="6"/>
        <v>居住社区成熟度</v>
      </c>
      <c r="R15" s="1653" t="s">
        <v>25</v>
      </c>
      <c r="S15" s="1654">
        <f t="shared" si="0"/>
        <v>100</v>
      </c>
      <c r="T15" s="1653" t="s">
        <v>25</v>
      </c>
      <c r="U15" s="1654">
        <f t="shared" si="1"/>
        <v>100</v>
      </c>
      <c r="V15" s="1653" t="s">
        <v>25</v>
      </c>
      <c r="W15" s="1654">
        <f t="shared" si="2"/>
        <v>100</v>
      </c>
      <c r="X15" s="1593"/>
      <c r="Y15" s="3611" t="s">
        <v>2030</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12"/>
      <c r="Q16" s="1543"/>
      <c r="R16" s="1653"/>
      <c r="S16" s="1654"/>
      <c r="T16" s="1653"/>
      <c r="U16" s="1654"/>
      <c r="V16" s="1653"/>
      <c r="W16" s="1654"/>
      <c r="X16" s="1593"/>
      <c r="Y16" s="3612"/>
      <c r="Z16" s="1655"/>
      <c r="AA16" s="1656">
        <v>1</v>
      </c>
      <c r="AB16" s="1656">
        <v>1</v>
      </c>
      <c r="AC16" s="1656">
        <v>1</v>
      </c>
    </row>
    <row r="17" spans="1:29" ht="71.25">
      <c r="A17" s="1595"/>
      <c r="B17" s="1904" t="s">
        <v>2115</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12"/>
      <c r="Q17" s="1543" t="str">
        <f>B17</f>
        <v>商业繁华度</v>
      </c>
      <c r="R17" s="1653" t="s">
        <v>25</v>
      </c>
      <c r="S17" s="1654">
        <f>F17</f>
        <v>100</v>
      </c>
      <c r="T17" s="1653" t="s">
        <v>25</v>
      </c>
      <c r="U17" s="1654">
        <f>H17</f>
        <v>100</v>
      </c>
      <c r="V17" s="1653" t="s">
        <v>25</v>
      </c>
      <c r="W17" s="1654">
        <f>J17</f>
        <v>100</v>
      </c>
      <c r="X17" s="1593"/>
      <c r="Y17" s="3612"/>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12"/>
      <c r="Q18" s="1543"/>
      <c r="R18" s="1653"/>
      <c r="S18" s="1654"/>
      <c r="T18" s="1653"/>
      <c r="U18" s="1654"/>
      <c r="V18" s="1653"/>
      <c r="W18" s="1654"/>
      <c r="X18" s="1593"/>
      <c r="Y18" s="3612"/>
      <c r="Z18" s="1655"/>
      <c r="AA18" s="1656">
        <v>1</v>
      </c>
      <c r="AB18" s="1656">
        <v>1</v>
      </c>
      <c r="AC18" s="1656">
        <v>1</v>
      </c>
    </row>
    <row r="19" spans="1:29" ht="71.25">
      <c r="A19" s="1595"/>
      <c r="B19" s="1904" t="s">
        <v>2144</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12"/>
      <c r="Q19" s="1543" t="str">
        <f>B19</f>
        <v>办公集聚程度</v>
      </c>
      <c r="R19" s="1653" t="s">
        <v>25</v>
      </c>
      <c r="S19" s="1654">
        <f>F19</f>
        <v>100</v>
      </c>
      <c r="T19" s="1653" t="s">
        <v>25</v>
      </c>
      <c r="U19" s="1654">
        <f>H19</f>
        <v>100</v>
      </c>
      <c r="V19" s="1653" t="s">
        <v>25</v>
      </c>
      <c r="W19" s="1654">
        <f>J19</f>
        <v>100</v>
      </c>
      <c r="X19" s="1593"/>
      <c r="Y19" s="3612"/>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12"/>
      <c r="Q20" s="1543"/>
      <c r="R20" s="1653"/>
      <c r="S20" s="1654"/>
      <c r="T20" s="1653"/>
      <c r="U20" s="1654"/>
      <c r="V20" s="1653"/>
      <c r="W20" s="1654"/>
      <c r="X20" s="1593"/>
      <c r="Y20" s="3612"/>
      <c r="Z20" s="1655"/>
      <c r="AA20" s="1656">
        <v>1</v>
      </c>
      <c r="AB20" s="1656">
        <v>1</v>
      </c>
      <c r="AC20" s="1656">
        <v>1</v>
      </c>
    </row>
    <row r="21" spans="1:29" ht="85.5">
      <c r="A21" s="1595"/>
      <c r="B21" s="1904" t="s">
        <v>2167</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12"/>
      <c r="Q21" s="1543" t="str">
        <f>B21</f>
        <v>交通便捷度</v>
      </c>
      <c r="R21" s="1653" t="s">
        <v>25</v>
      </c>
      <c r="S21" s="1654">
        <f>F21</f>
        <v>100</v>
      </c>
      <c r="T21" s="1653" t="s">
        <v>25</v>
      </c>
      <c r="U21" s="1654">
        <f>H21</f>
        <v>100</v>
      </c>
      <c r="V21" s="1653" t="s">
        <v>25</v>
      </c>
      <c r="W21" s="1654">
        <f>J21</f>
        <v>100</v>
      </c>
      <c r="X21" s="1593"/>
      <c r="Y21" s="3612"/>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12"/>
      <c r="Q22" s="1543"/>
      <c r="R22" s="1653"/>
      <c r="S22" s="1654"/>
      <c r="T22" s="1653"/>
      <c r="U22" s="1654"/>
      <c r="V22" s="1653"/>
      <c r="W22" s="1654"/>
      <c r="X22" s="1593"/>
      <c r="Y22" s="3612"/>
      <c r="Z22" s="1655"/>
      <c r="AA22" s="1656">
        <v>1</v>
      </c>
      <c r="AB22" s="1656">
        <v>1</v>
      </c>
      <c r="AC22" s="1656">
        <v>1</v>
      </c>
    </row>
    <row r="23" spans="1:29" ht="15">
      <c r="A23" s="1595"/>
      <c r="B23" s="1385" t="s">
        <v>2207</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12"/>
      <c r="Q23" s="1543" t="str">
        <f t="shared" ref="Q23:Q37" si="8">B23</f>
        <v>区域土地利用方向</v>
      </c>
      <c r="R23" s="1653" t="s">
        <v>25</v>
      </c>
      <c r="S23" s="1654">
        <f>F23</f>
        <v>100</v>
      </c>
      <c r="T23" s="1653" t="s">
        <v>25</v>
      </c>
      <c r="U23" s="1654">
        <f>H23</f>
        <v>100</v>
      </c>
      <c r="V23" s="1653" t="s">
        <v>25</v>
      </c>
      <c r="W23" s="1654">
        <f>J23</f>
        <v>100</v>
      </c>
      <c r="X23" s="1593"/>
      <c r="Y23" s="3612"/>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12"/>
      <c r="Q24" s="1543"/>
      <c r="R24" s="1653"/>
      <c r="S24" s="1654"/>
      <c r="T24" s="1653"/>
      <c r="U24" s="1654"/>
      <c r="V24" s="1653"/>
      <c r="W24" s="1654"/>
      <c r="X24" s="1593"/>
      <c r="Y24" s="3612"/>
      <c r="Z24" s="1655"/>
      <c r="AA24" s="1656"/>
      <c r="AB24" s="1656"/>
      <c r="AC24" s="1656"/>
    </row>
    <row r="25" spans="1:29" ht="57">
      <c r="A25" s="1595"/>
      <c r="B25" s="1909" t="s">
        <v>2208</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12"/>
      <c r="Q25" s="1543" t="str">
        <f t="shared" si="8"/>
        <v>自然及人文环境状况</v>
      </c>
      <c r="R25" s="1653" t="s">
        <v>25</v>
      </c>
      <c r="S25" s="1654">
        <f>F25</f>
        <v>100</v>
      </c>
      <c r="T25" s="1653" t="s">
        <v>25</v>
      </c>
      <c r="U25" s="1654">
        <f>H25</f>
        <v>100</v>
      </c>
      <c r="V25" s="1653" t="s">
        <v>25</v>
      </c>
      <c r="W25" s="1654">
        <f>J25</f>
        <v>100</v>
      </c>
      <c r="X25" s="1593"/>
      <c r="Y25" s="3612"/>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12"/>
      <c r="Q26" s="1543"/>
      <c r="R26" s="1653"/>
      <c r="S26" s="1654"/>
      <c r="T26" s="1653"/>
      <c r="U26" s="1654"/>
      <c r="V26" s="1653"/>
      <c r="W26" s="1654"/>
      <c r="X26" s="1593"/>
      <c r="Y26" s="3612"/>
      <c r="Z26" s="1655"/>
      <c r="AA26" s="1656">
        <v>1</v>
      </c>
      <c r="AB26" s="1656">
        <v>1</v>
      </c>
      <c r="AC26" s="1656">
        <v>1</v>
      </c>
    </row>
    <row r="27" spans="1:29" ht="42.75">
      <c r="A27" s="1595"/>
      <c r="B27" s="1909" t="s">
        <v>2116</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12"/>
      <c r="Q27" s="1562" t="str">
        <f t="shared" ref="Q27" si="9">B27</f>
        <v>公共配套设施</v>
      </c>
      <c r="R27" s="1608" t="s">
        <v>25</v>
      </c>
      <c r="S27" s="1609">
        <f>F27</f>
        <v>100</v>
      </c>
      <c r="T27" s="1608" t="s">
        <v>25</v>
      </c>
      <c r="U27" s="1609">
        <f>H27</f>
        <v>100</v>
      </c>
      <c r="V27" s="1608" t="s">
        <v>25</v>
      </c>
      <c r="W27" s="1609">
        <f>J27</f>
        <v>100</v>
      </c>
      <c r="X27" s="1593"/>
      <c r="Y27" s="3612"/>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12"/>
      <c r="Q28" s="1543"/>
      <c r="R28" s="1653"/>
      <c r="S28" s="1654"/>
      <c r="T28" s="1653"/>
      <c r="U28" s="1654"/>
      <c r="V28" s="1653"/>
      <c r="W28" s="1654"/>
      <c r="X28" s="1593"/>
      <c r="Y28" s="3612"/>
      <c r="Z28" s="1621"/>
      <c r="AA28" s="1656">
        <v>1</v>
      </c>
      <c r="AB28" s="1656">
        <v>1</v>
      </c>
      <c r="AC28" s="1656">
        <v>1</v>
      </c>
    </row>
    <row r="29" spans="1:29" s="1612" customFormat="1" ht="28.5">
      <c r="A29" s="1915"/>
      <c r="B29" s="1909" t="s">
        <v>2117</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12"/>
      <c r="Q29" s="1562" t="str">
        <f t="shared" si="8"/>
        <v>基础设施水平</v>
      </c>
      <c r="R29" s="1608" t="s">
        <v>25</v>
      </c>
      <c r="S29" s="1609">
        <f>F29</f>
        <v>100</v>
      </c>
      <c r="T29" s="1608" t="s">
        <v>25</v>
      </c>
      <c r="U29" s="1609">
        <f>H29</f>
        <v>100</v>
      </c>
      <c r="V29" s="1608" t="s">
        <v>25</v>
      </c>
      <c r="W29" s="1609">
        <f>J29</f>
        <v>100</v>
      </c>
      <c r="X29" s="1610"/>
      <c r="Y29" s="3612"/>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12"/>
      <c r="Q30" s="1562"/>
      <c r="R30" s="1608"/>
      <c r="S30" s="1609"/>
      <c r="T30" s="1608"/>
      <c r="U30" s="1609"/>
      <c r="V30" s="1608"/>
      <c r="W30" s="1609"/>
      <c r="X30" s="1610"/>
      <c r="Y30" s="3612"/>
      <c r="Z30" s="1621"/>
      <c r="AA30" s="1656">
        <v>1</v>
      </c>
      <c r="AB30" s="1656">
        <v>1</v>
      </c>
      <c r="AC30" s="1656">
        <v>1</v>
      </c>
    </row>
    <row r="31" spans="1:29" ht="15">
      <c r="A31" s="1595"/>
      <c r="B31" s="1906" t="s">
        <v>2118</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12"/>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12"/>
      <c r="Z31" s="1655" t="str">
        <f t="shared" ref="Z31:Z45" si="13">Q31</f>
        <v>临街状况</v>
      </c>
      <c r="AA31" s="1656">
        <f t="shared" si="3"/>
        <v>1</v>
      </c>
      <c r="AB31" s="1656">
        <f t="shared" si="4"/>
        <v>1</v>
      </c>
      <c r="AC31" s="1656">
        <f t="shared" si="5"/>
        <v>1</v>
      </c>
    </row>
    <row r="32" spans="1:29" ht="27">
      <c r="A32" s="1595"/>
      <c r="B32" s="1909" t="s">
        <v>2148</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12"/>
      <c r="Q32" s="1543" t="str">
        <f t="shared" si="8"/>
        <v>毗邻道路的类型与等级</v>
      </c>
      <c r="R32" s="1653" t="s">
        <v>25</v>
      </c>
      <c r="S32" s="1654">
        <f t="shared" si="10"/>
        <v>100</v>
      </c>
      <c r="T32" s="1653" t="s">
        <v>25</v>
      </c>
      <c r="U32" s="1654">
        <f t="shared" si="11"/>
        <v>100</v>
      </c>
      <c r="V32" s="1653" t="s">
        <v>25</v>
      </c>
      <c r="W32" s="1654">
        <f t="shared" si="12"/>
        <v>100</v>
      </c>
      <c r="X32" s="1593"/>
      <c r="Y32" s="3612"/>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12"/>
      <c r="Q33" s="1543"/>
      <c r="R33" s="1653"/>
      <c r="S33" s="1654"/>
      <c r="T33" s="1653"/>
      <c r="U33" s="1654"/>
      <c r="V33" s="1653"/>
      <c r="W33" s="1654"/>
      <c r="X33" s="1593"/>
      <c r="Y33" s="3612"/>
      <c r="Z33" s="1655"/>
      <c r="AA33" s="1656">
        <v>1</v>
      </c>
      <c r="AB33" s="1656">
        <v>1</v>
      </c>
      <c r="AC33" s="1656">
        <v>1</v>
      </c>
    </row>
    <row r="34" spans="1:29" ht="15">
      <c r="A34" s="1595"/>
      <c r="B34" s="1918" t="s">
        <v>2209</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12"/>
      <c r="Q34" s="1543" t="str">
        <f t="shared" si="8"/>
        <v>土地级别</v>
      </c>
      <c r="R34" s="1653" t="s">
        <v>25</v>
      </c>
      <c r="S34" s="1654">
        <f t="shared" si="10"/>
        <v>100</v>
      </c>
      <c r="T34" s="1653" t="s">
        <v>25</v>
      </c>
      <c r="U34" s="1654">
        <f t="shared" si="11"/>
        <v>100</v>
      </c>
      <c r="V34" s="1653" t="s">
        <v>25</v>
      </c>
      <c r="W34" s="1654">
        <f t="shared" si="12"/>
        <v>100</v>
      </c>
      <c r="X34" s="1593"/>
      <c r="Y34" s="3612"/>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12"/>
      <c r="Q35" s="1543">
        <f t="shared" si="8"/>
        <v>111</v>
      </c>
      <c r="R35" s="1653" t="s">
        <v>25</v>
      </c>
      <c r="S35" s="1654">
        <f t="shared" si="10"/>
        <v>100</v>
      </c>
      <c r="T35" s="1653" t="s">
        <v>25</v>
      </c>
      <c r="U35" s="1654">
        <f t="shared" si="11"/>
        <v>100</v>
      </c>
      <c r="V35" s="1653" t="s">
        <v>25</v>
      </c>
      <c r="W35" s="1654">
        <f t="shared" si="12"/>
        <v>100</v>
      </c>
      <c r="X35" s="1593"/>
      <c r="Y35" s="3612"/>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1" t="s">
        <v>2036</v>
      </c>
      <c r="Q36" s="1543">
        <f t="shared" si="8"/>
        <v>111</v>
      </c>
      <c r="R36" s="1653" t="s">
        <v>25</v>
      </c>
      <c r="S36" s="1654">
        <f t="shared" si="10"/>
        <v>100</v>
      </c>
      <c r="T36" s="1653" t="s">
        <v>25</v>
      </c>
      <c r="U36" s="1654">
        <f t="shared" si="11"/>
        <v>100</v>
      </c>
      <c r="V36" s="1653" t="s">
        <v>25</v>
      </c>
      <c r="W36" s="1654">
        <f t="shared" si="12"/>
        <v>100</v>
      </c>
      <c r="X36" s="1593"/>
      <c r="Y36" s="3616" t="s">
        <v>2036</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16"/>
      <c r="Q37" s="1543">
        <f t="shared" si="8"/>
        <v>111</v>
      </c>
      <c r="R37" s="1695" t="s">
        <v>25</v>
      </c>
      <c r="S37" s="1696">
        <f t="shared" si="10"/>
        <v>100</v>
      </c>
      <c r="T37" s="1695" t="s">
        <v>25</v>
      </c>
      <c r="U37" s="1696">
        <f t="shared" si="11"/>
        <v>100</v>
      </c>
      <c r="V37" s="1695" t="s">
        <v>25</v>
      </c>
      <c r="W37" s="1696">
        <f t="shared" si="12"/>
        <v>100</v>
      </c>
      <c r="X37" s="1697"/>
      <c r="Y37" s="3616"/>
      <c r="Z37" s="1698">
        <f t="shared" si="13"/>
        <v>111</v>
      </c>
      <c r="AA37" s="1656">
        <f t="shared" si="3"/>
        <v>1</v>
      </c>
      <c r="AB37" s="1656">
        <f t="shared" si="4"/>
        <v>1</v>
      </c>
      <c r="AC37" s="1656">
        <f t="shared" si="5"/>
        <v>1</v>
      </c>
    </row>
    <row r="38" spans="1:29" ht="15">
      <c r="A38" s="1590" t="s">
        <v>2034</v>
      </c>
      <c r="B38" s="1671" t="s">
        <v>2210</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16"/>
      <c r="Q38" s="1543" t="str">
        <f>B38</f>
        <v>宗地面积</v>
      </c>
      <c r="R38" s="1653" t="s">
        <v>25</v>
      </c>
      <c r="S38" s="1654" t="e">
        <f t="shared" si="10"/>
        <v>#N/A</v>
      </c>
      <c r="T38" s="1653" t="s">
        <v>25</v>
      </c>
      <c r="U38" s="1654" t="e">
        <f t="shared" si="11"/>
        <v>#N/A</v>
      </c>
      <c r="V38" s="1653" t="s">
        <v>25</v>
      </c>
      <c r="W38" s="1654" t="e">
        <f t="shared" si="12"/>
        <v>#N/A</v>
      </c>
      <c r="X38" s="1593"/>
      <c r="Y38" s="3616"/>
      <c r="Z38" s="1655" t="str">
        <f t="shared" si="13"/>
        <v>宗地面积</v>
      </c>
      <c r="AA38" s="1656" t="e">
        <f t="shared" si="3"/>
        <v>#N/A</v>
      </c>
      <c r="AB38" s="1656" t="e">
        <f t="shared" si="4"/>
        <v>#N/A</v>
      </c>
      <c r="AC38" s="1656" t="e">
        <f t="shared" si="5"/>
        <v>#N/A</v>
      </c>
    </row>
    <row r="39" spans="1:29" ht="15">
      <c r="A39" s="1700"/>
      <c r="B39" s="1623" t="s">
        <v>2211</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16"/>
      <c r="Q39" s="1543" t="str">
        <f t="shared" ref="Q39:Q45" si="14">B39</f>
        <v>宗地形状</v>
      </c>
      <c r="R39" s="1653" t="s">
        <v>25</v>
      </c>
      <c r="S39" s="1654">
        <f t="shared" si="10"/>
        <v>100</v>
      </c>
      <c r="T39" s="1653" t="s">
        <v>25</v>
      </c>
      <c r="U39" s="1654">
        <f t="shared" si="11"/>
        <v>100</v>
      </c>
      <c r="V39" s="1653" t="s">
        <v>25</v>
      </c>
      <c r="W39" s="1654">
        <f t="shared" si="12"/>
        <v>100</v>
      </c>
      <c r="X39" s="1593"/>
      <c r="Y39" s="3616"/>
      <c r="Z39" s="1655" t="str">
        <f t="shared" si="13"/>
        <v>宗地形状</v>
      </c>
      <c r="AA39" s="1656">
        <f t="shared" si="3"/>
        <v>1</v>
      </c>
      <c r="AB39" s="1656">
        <f t="shared" si="4"/>
        <v>1</v>
      </c>
      <c r="AC39" s="1656">
        <f t="shared" si="5"/>
        <v>1</v>
      </c>
    </row>
    <row r="40" spans="1:29" ht="15">
      <c r="A40" s="1700"/>
      <c r="B40" s="1623" t="s">
        <v>2212</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16"/>
      <c r="Q40" s="1543" t="str">
        <f t="shared" si="14"/>
        <v>临街宽度及深度</v>
      </c>
      <c r="R40" s="1653" t="s">
        <v>25</v>
      </c>
      <c r="S40" s="1654">
        <f t="shared" si="10"/>
        <v>100</v>
      </c>
      <c r="T40" s="1653" t="s">
        <v>25</v>
      </c>
      <c r="U40" s="1654">
        <f t="shared" si="11"/>
        <v>100</v>
      </c>
      <c r="V40" s="1653" t="s">
        <v>25</v>
      </c>
      <c r="W40" s="1654">
        <f t="shared" si="12"/>
        <v>100</v>
      </c>
      <c r="X40" s="1593"/>
      <c r="Y40" s="3616"/>
      <c r="Z40" s="1655" t="str">
        <f t="shared" si="13"/>
        <v>临街宽度及深度</v>
      </c>
      <c r="AA40" s="1656">
        <f t="shared" si="3"/>
        <v>1</v>
      </c>
      <c r="AB40" s="1656">
        <f t="shared" si="4"/>
        <v>1</v>
      </c>
      <c r="AC40" s="1656">
        <f t="shared" si="5"/>
        <v>1</v>
      </c>
    </row>
    <row r="41" spans="1:29" s="1612" customFormat="1" ht="15">
      <c r="A41" s="1703"/>
      <c r="B41" s="1623" t="s">
        <v>2213</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16"/>
      <c r="Q41" s="1543" t="str">
        <f t="shared" si="14"/>
        <v>宗地开发程度</v>
      </c>
      <c r="R41" s="1608" t="s">
        <v>25</v>
      </c>
      <c r="S41" s="1609">
        <f t="shared" si="10"/>
        <v>100</v>
      </c>
      <c r="T41" s="1608" t="s">
        <v>25</v>
      </c>
      <c r="U41" s="1609">
        <f t="shared" si="11"/>
        <v>100</v>
      </c>
      <c r="V41" s="1608" t="s">
        <v>25</v>
      </c>
      <c r="W41" s="1609">
        <f t="shared" si="12"/>
        <v>100</v>
      </c>
      <c r="X41" s="1610"/>
      <c r="Y41" s="3616"/>
      <c r="Z41" s="1621" t="str">
        <f t="shared" si="13"/>
        <v>宗地开发程度</v>
      </c>
      <c r="AA41" s="1611">
        <f t="shared" si="3"/>
        <v>1</v>
      </c>
      <c r="AB41" s="1611">
        <f t="shared" si="4"/>
        <v>1</v>
      </c>
      <c r="AC41" s="1611">
        <f t="shared" si="5"/>
        <v>1</v>
      </c>
    </row>
    <row r="42" spans="1:29" ht="15">
      <c r="A42" s="1700"/>
      <c r="B42" s="1623" t="s">
        <v>2214</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16" t="s">
        <v>2036</v>
      </c>
      <c r="Q42" s="1543" t="str">
        <f t="shared" si="14"/>
        <v>工程地质条件</v>
      </c>
      <c r="R42" s="1653" t="s">
        <v>25</v>
      </c>
      <c r="S42" s="1654">
        <f t="shared" si="10"/>
        <v>100</v>
      </c>
      <c r="T42" s="1653" t="s">
        <v>25</v>
      </c>
      <c r="U42" s="1654">
        <f t="shared" si="11"/>
        <v>100</v>
      </c>
      <c r="V42" s="1653" t="s">
        <v>25</v>
      </c>
      <c r="W42" s="1654">
        <f t="shared" si="12"/>
        <v>100</v>
      </c>
      <c r="X42" s="1593"/>
      <c r="Y42" s="3616" t="s">
        <v>2036</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16"/>
      <c r="Q43" s="1543">
        <f t="shared" si="14"/>
        <v>111</v>
      </c>
      <c r="R43" s="1653" t="s">
        <v>25</v>
      </c>
      <c r="S43" s="1654">
        <f t="shared" si="10"/>
        <v>100</v>
      </c>
      <c r="T43" s="1653" t="s">
        <v>25</v>
      </c>
      <c r="U43" s="1654">
        <f t="shared" si="11"/>
        <v>100</v>
      </c>
      <c r="V43" s="1653" t="s">
        <v>25</v>
      </c>
      <c r="W43" s="1654">
        <f t="shared" si="12"/>
        <v>100</v>
      </c>
      <c r="X43" s="1593"/>
      <c r="Y43" s="3616"/>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16"/>
      <c r="Q44" s="1543">
        <f t="shared" si="14"/>
        <v>111</v>
      </c>
      <c r="R44" s="1653" t="s">
        <v>25</v>
      </c>
      <c r="S44" s="1654">
        <f t="shared" si="10"/>
        <v>100</v>
      </c>
      <c r="T44" s="1653" t="s">
        <v>25</v>
      </c>
      <c r="U44" s="1654">
        <f t="shared" si="11"/>
        <v>100</v>
      </c>
      <c r="V44" s="1653" t="s">
        <v>25</v>
      </c>
      <c r="W44" s="1654">
        <f t="shared" si="12"/>
        <v>100</v>
      </c>
      <c r="X44" s="1593"/>
      <c r="Y44" s="3616"/>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16"/>
      <c r="Q45" s="1543">
        <f t="shared" si="14"/>
        <v>111</v>
      </c>
      <c r="R45" s="1695" t="s">
        <v>25</v>
      </c>
      <c r="S45" s="1696">
        <f t="shared" si="10"/>
        <v>100</v>
      </c>
      <c r="T45" s="1695" t="s">
        <v>25</v>
      </c>
      <c r="U45" s="1696">
        <f t="shared" si="11"/>
        <v>100</v>
      </c>
      <c r="V45" s="1695" t="s">
        <v>25</v>
      </c>
      <c r="W45" s="1696">
        <f t="shared" si="12"/>
        <v>100</v>
      </c>
      <c r="X45" s="1697"/>
      <c r="Y45" s="3616"/>
      <c r="Z45" s="1698">
        <f t="shared" si="13"/>
        <v>111</v>
      </c>
      <c r="AA45" s="1656">
        <f t="shared" si="3"/>
        <v>1</v>
      </c>
      <c r="AB45" s="1656">
        <f t="shared" si="4"/>
        <v>1</v>
      </c>
      <c r="AC45" s="1656">
        <f t="shared" si="5"/>
        <v>1</v>
      </c>
    </row>
    <row r="46" spans="1:29" ht="15">
      <c r="A46" s="1709" t="s">
        <v>2178</v>
      </c>
      <c r="B46" s="1934" t="s">
        <v>2215</v>
      </c>
      <c r="C46" s="1935" t="s">
        <v>1</v>
      </c>
      <c r="D46" s="1936"/>
      <c r="E46" s="1937"/>
      <c r="F46" s="1938"/>
      <c r="G46" s="1939"/>
      <c r="H46" s="1940"/>
      <c r="I46" s="1937"/>
      <c r="J46" s="1940"/>
      <c r="K46" s="1941"/>
      <c r="L46" s="2920"/>
      <c r="N46" s="2915"/>
      <c r="P46" s="3622" t="str">
        <f>A46</f>
        <v>成交单价</v>
      </c>
      <c r="Q46" s="3622"/>
      <c r="R46" s="3602">
        <f>E46</f>
        <v>0</v>
      </c>
      <c r="S46" s="3602"/>
      <c r="T46" s="3602">
        <f>G46</f>
        <v>0</v>
      </c>
      <c r="U46" s="3602"/>
      <c r="V46" s="3602">
        <f>I46</f>
        <v>0</v>
      </c>
      <c r="W46" s="3602"/>
      <c r="X46" s="1719"/>
      <c r="Y46" s="1720"/>
      <c r="Z46" s="1719"/>
      <c r="AA46" s="1719"/>
      <c r="AB46" s="1719"/>
      <c r="AC46" s="1719"/>
    </row>
    <row r="47" spans="1:29" ht="15.75" thickBot="1">
      <c r="A47" s="1721" t="s">
        <v>2131</v>
      </c>
      <c r="B47" s="1942"/>
      <c r="C47" s="1943" t="e">
        <f>R48</f>
        <v>#DIV/0!</v>
      </c>
      <c r="D47" s="1724" t="s">
        <v>2502</v>
      </c>
      <c r="E47" s="1943" t="e">
        <f>R47</f>
        <v>#DIV/0!</v>
      </c>
      <c r="F47" s="1726"/>
      <c r="G47" s="1944" t="e">
        <f>T47</f>
        <v>#DIV/0!</v>
      </c>
      <c r="H47" s="1726"/>
      <c r="I47" s="1943" t="e">
        <f>V47</f>
        <v>#DIV/0!</v>
      </c>
      <c r="J47" s="1726"/>
      <c r="K47" s="2428">
        <f>F47+H47+J47</f>
        <v>0</v>
      </c>
      <c r="L47" s="2920"/>
      <c r="P47" s="3622" t="str">
        <f>A47</f>
        <v>比较价值（元/平方米）</v>
      </c>
      <c r="Q47" s="3622"/>
      <c r="R47" s="3674" t="e">
        <f>ROUND(PRODUCT(R46,AA7:AA45),0)</f>
        <v>#DIV/0!</v>
      </c>
      <c r="S47" s="3674"/>
      <c r="T47" s="3674" t="e">
        <f>ROUND(PRODUCT(T46,AB7:AB45),0)</f>
        <v>#DIV/0!</v>
      </c>
      <c r="U47" s="3674"/>
      <c r="V47" s="3674" t="e">
        <f>ROUND(PRODUCT(V46,AC7:AC45),0)</f>
        <v>#DIV/0!</v>
      </c>
      <c r="W47" s="3674"/>
      <c r="X47" s="1719"/>
      <c r="Y47" s="1719"/>
      <c r="Z47" s="1719"/>
      <c r="AA47" s="1719"/>
      <c r="AB47" s="1719"/>
      <c r="AC47" s="1719"/>
    </row>
    <row r="48" spans="1:29" ht="15.75" thickBot="1">
      <c r="A48" s="1727" t="s">
        <v>2154</v>
      </c>
      <c r="B48" s="1728"/>
      <c r="C48" s="1945" t="e">
        <f>R48</f>
        <v>#DIV/0!</v>
      </c>
      <c r="D48" s="1945"/>
      <c r="E48" s="1945"/>
      <c r="F48" s="1945"/>
      <c r="G48" s="1945"/>
      <c r="H48" s="1945"/>
      <c r="I48" s="1945"/>
      <c r="J48" s="1945"/>
      <c r="K48" s="1946"/>
      <c r="L48" s="2920"/>
      <c r="P48" s="3628" t="str">
        <f>A48</f>
        <v>估价对象XX用房的比较价值（楼面单价，元/平方米）</v>
      </c>
      <c r="Q48" s="3629"/>
      <c r="R48" s="3675" t="e">
        <f>ROUND(IF(D47="简单平均",AVERAGE(R47:W47),R47*F47+T47*H47+V47*J47),0)</f>
        <v>#DIV/0!</v>
      </c>
      <c r="S48" s="3675"/>
      <c r="T48" s="3675"/>
      <c r="U48" s="3675"/>
      <c r="V48" s="3675"/>
      <c r="W48" s="3675"/>
      <c r="X48" s="1719"/>
      <c r="Y48" s="1719"/>
      <c r="Z48" s="1719"/>
      <c r="AA48" s="1719"/>
      <c r="AB48" s="1719"/>
      <c r="AC48" s="1719"/>
    </row>
    <row r="49" spans="1:14">
      <c r="G49" s="2924"/>
    </row>
    <row r="51" spans="1:14" ht="13.5" customHeight="1">
      <c r="C51" s="383" t="s">
        <v>2133</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2134</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2135</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2216</v>
      </c>
      <c r="B55" s="1947" t="s">
        <v>2217</v>
      </c>
      <c r="C55" s="1948" t="s">
        <v>2218</v>
      </c>
      <c r="D55" s="1949" t="s">
        <v>2219</v>
      </c>
      <c r="E55" s="1950" t="s">
        <v>2220</v>
      </c>
      <c r="F55" s="1951" t="s">
        <v>2221</v>
      </c>
      <c r="G55" s="1846" t="s">
        <v>2222</v>
      </c>
      <c r="H55" s="1846" t="str">
        <f>项目基本情况!G8</f>
        <v>XX</v>
      </c>
      <c r="I55" s="1521" t="s">
        <v>2223</v>
      </c>
      <c r="J55" s="1952"/>
      <c r="K55" s="1733"/>
    </row>
    <row r="56" spans="1:14" s="1959" customFormat="1">
      <c r="A56" s="1953" t="s">
        <v>2224</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2225</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2226</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2227</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2228</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2229</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2230</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2231</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2232</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2233</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2022-8-1</v>
      </c>
      <c r="D67" s="1968">
        <f>EDATE(C67,-3)</f>
        <v>44682</v>
      </c>
      <c r="E67" s="1968">
        <f t="shared" ref="E67:O67" si="18">EDATE(D67,-3)</f>
        <v>44593</v>
      </c>
      <c r="F67" s="1968">
        <f t="shared" si="18"/>
        <v>44501</v>
      </c>
      <c r="G67" s="1968">
        <f t="shared" si="18"/>
        <v>44409</v>
      </c>
      <c r="H67" s="1968">
        <f t="shared" si="18"/>
        <v>44317</v>
      </c>
      <c r="I67" s="1968">
        <f t="shared" si="18"/>
        <v>44228</v>
      </c>
      <c r="J67" s="1968">
        <f t="shared" si="18"/>
        <v>44136</v>
      </c>
      <c r="K67" s="1968">
        <f t="shared" si="18"/>
        <v>44044</v>
      </c>
      <c r="L67" s="1968">
        <f t="shared" si="18"/>
        <v>43952</v>
      </c>
      <c r="M67" s="1968">
        <f t="shared" si="18"/>
        <v>43862</v>
      </c>
      <c r="N67" s="1968">
        <f t="shared" si="18"/>
        <v>43770</v>
      </c>
      <c r="O67" s="1968">
        <f t="shared" si="18"/>
        <v>43678</v>
      </c>
    </row>
    <row r="68" spans="1:17" ht="21.75" thickBot="1">
      <c r="A68" s="1744" t="s">
        <v>2136</v>
      </c>
      <c r="B68" s="1719"/>
      <c r="C68" s="1745"/>
      <c r="D68" s="1745"/>
      <c r="E68" s="1745"/>
      <c r="F68" s="1745"/>
      <c r="G68" s="1745"/>
      <c r="H68" s="1745"/>
      <c r="I68" s="1970"/>
      <c r="J68" s="1970"/>
      <c r="K68" s="1971"/>
      <c r="L68" s="1972"/>
      <c r="M68" s="1970"/>
      <c r="N68" s="1970"/>
      <c r="O68" s="1970"/>
      <c r="P68" s="1973"/>
      <c r="Q68" s="1749"/>
    </row>
    <row r="69" spans="1:17" s="1978" customFormat="1" ht="15">
      <c r="A69" s="1974" t="s">
        <v>2234</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2235</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2056</v>
      </c>
      <c r="B71" s="1763"/>
      <c r="C71" s="1764"/>
      <c r="D71" s="1765"/>
      <c r="E71" s="1765"/>
      <c r="F71" s="1765"/>
      <c r="G71" s="1765"/>
      <c r="H71" s="1765"/>
      <c r="I71" s="1765"/>
      <c r="J71" s="1765"/>
      <c r="K71" s="1765"/>
      <c r="L71" s="1765"/>
      <c r="M71" s="1766"/>
      <c r="N71" s="1765"/>
      <c r="O71" s="1983"/>
      <c r="P71" s="1749"/>
      <c r="Q71" s="1749"/>
    </row>
    <row r="72" spans="1:17" s="1612" customFormat="1" ht="15">
      <c r="A72" s="1767" t="s">
        <v>2020</v>
      </c>
      <c r="B72" s="1757"/>
      <c r="C72" s="1768" t="s">
        <v>2021</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2059</v>
      </c>
      <c r="B74" s="1775" t="s">
        <v>2024</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2027</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2028</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2029</v>
      </c>
      <c r="B87" s="1775" t="s">
        <v>2067</v>
      </c>
      <c r="C87" s="1813" t="s">
        <v>2068</v>
      </c>
      <c r="D87" s="1813" t="s">
        <v>2069</v>
      </c>
      <c r="E87" s="1813" t="s">
        <v>2070</v>
      </c>
      <c r="F87" s="1813" t="s">
        <v>2071</v>
      </c>
      <c r="G87" s="1813" t="s">
        <v>2072</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2236</v>
      </c>
      <c r="C89" s="579" t="s">
        <v>2068</v>
      </c>
      <c r="D89" s="579" t="s">
        <v>2069</v>
      </c>
      <c r="E89" s="579" t="s">
        <v>2070</v>
      </c>
      <c r="F89" s="579" t="s">
        <v>2071</v>
      </c>
      <c r="G89" s="579" t="s">
        <v>2072</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2155</v>
      </c>
      <c r="C91" s="579" t="s">
        <v>2068</v>
      </c>
      <c r="D91" s="579" t="s">
        <v>2069</v>
      </c>
      <c r="E91" s="579" t="s">
        <v>2070</v>
      </c>
      <c r="F91" s="579" t="s">
        <v>2071</v>
      </c>
      <c r="G91" s="579" t="s">
        <v>2072</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2073</v>
      </c>
      <c r="C93" s="579" t="s">
        <v>2068</v>
      </c>
      <c r="D93" s="579" t="s">
        <v>2069</v>
      </c>
      <c r="E93" s="579" t="s">
        <v>2070</v>
      </c>
      <c r="F93" s="579" t="s">
        <v>2071</v>
      </c>
      <c r="G93" s="579" t="s">
        <v>2072</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2237</v>
      </c>
      <c r="C95" s="579" t="s">
        <v>2068</v>
      </c>
      <c r="D95" s="579" t="s">
        <v>2069</v>
      </c>
      <c r="E95" s="579" t="s">
        <v>2070</v>
      </c>
      <c r="F95" s="579" t="s">
        <v>2071</v>
      </c>
      <c r="G95" s="579" t="s">
        <v>2072</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2238</v>
      </c>
      <c r="C97" s="1813" t="s">
        <v>2068</v>
      </c>
      <c r="D97" s="1813" t="s">
        <v>2069</v>
      </c>
      <c r="E97" s="1813" t="s">
        <v>2070</v>
      </c>
      <c r="F97" s="1813" t="s">
        <v>2071</v>
      </c>
      <c r="G97" s="1813" t="s">
        <v>2072</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2116</v>
      </c>
      <c r="C99" s="1813" t="s">
        <v>2068</v>
      </c>
      <c r="D99" s="1813" t="s">
        <v>2069</v>
      </c>
      <c r="E99" s="1813" t="s">
        <v>2070</v>
      </c>
      <c r="F99" s="1813" t="s">
        <v>2071</v>
      </c>
      <c r="G99" s="1813" t="s">
        <v>2072</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2117</v>
      </c>
      <c r="C101" s="1787" t="s">
        <v>2075</v>
      </c>
      <c r="D101" s="1787" t="s">
        <v>2076</v>
      </c>
      <c r="E101" s="1787" t="s">
        <v>2077</v>
      </c>
      <c r="F101" s="1787" t="s">
        <v>2078</v>
      </c>
      <c r="G101" s="1787" t="s">
        <v>2079</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2239</v>
      </c>
      <c r="D103" s="1787" t="s">
        <v>2240</v>
      </c>
      <c r="E103" s="1787" t="s">
        <v>2241</v>
      </c>
      <c r="F103" s="1787" t="s">
        <v>2242</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2148</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2209</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2034</v>
      </c>
      <c r="B115" s="1775" t="s">
        <v>2243</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2244</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2245</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2246</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2247</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17" sqref="G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3"/>
      <c r="E1" s="613"/>
      <c r="F1" s="612" t="s">
        <v>2003</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2203</v>
      </c>
      <c r="D2" s="2937"/>
      <c r="E2" s="2937"/>
      <c r="F2" s="2940"/>
      <c r="G2" s="2937"/>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2204</v>
      </c>
      <c r="D3" s="2937"/>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2005</v>
      </c>
      <c r="B4" s="295"/>
      <c r="C4" s="3644" t="s">
        <v>2006</v>
      </c>
      <c r="D4" s="3645"/>
      <c r="E4" s="3646" t="s">
        <v>2007</v>
      </c>
      <c r="F4" s="3647"/>
      <c r="G4" s="3644" t="s">
        <v>2008</v>
      </c>
      <c r="H4" s="3645"/>
      <c r="I4" s="3644" t="s">
        <v>2009</v>
      </c>
      <c r="J4" s="3645"/>
      <c r="K4" s="496" t="s">
        <v>2010</v>
      </c>
      <c r="L4" s="2942"/>
      <c r="M4" s="2943"/>
      <c r="N4" s="2943"/>
      <c r="O4" s="2943"/>
      <c r="P4" s="3648" t="s">
        <v>2011</v>
      </c>
      <c r="Q4" s="3649"/>
      <c r="R4" s="3654" t="s">
        <v>2007</v>
      </c>
      <c r="S4" s="3655"/>
      <c r="T4" s="3654" t="s">
        <v>2008</v>
      </c>
      <c r="U4" s="3655"/>
      <c r="V4" s="3660" t="s">
        <v>2009</v>
      </c>
      <c r="W4" s="3660"/>
      <c r="X4" s="1262"/>
      <c r="Y4" s="3654" t="s">
        <v>2011</v>
      </c>
      <c r="Z4" s="3655"/>
      <c r="AA4" s="3641" t="s">
        <v>2007</v>
      </c>
      <c r="AB4" s="3642" t="s">
        <v>2008</v>
      </c>
      <c r="AC4" s="3641" t="s">
        <v>2009</v>
      </c>
    </row>
    <row r="5" spans="1:29" ht="15">
      <c r="A5" s="297"/>
      <c r="B5" s="298"/>
      <c r="C5" s="3637" t="s">
        <v>2012</v>
      </c>
      <c r="D5" s="3638"/>
      <c r="E5" s="3661" t="s">
        <v>2013</v>
      </c>
      <c r="F5" s="3662"/>
      <c r="G5" s="3637" t="s">
        <v>2014</v>
      </c>
      <c r="H5" s="3638"/>
      <c r="I5" s="3637" t="s">
        <v>2015</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2016</v>
      </c>
      <c r="D6" s="3635"/>
      <c r="E6" s="3632" t="s">
        <v>2016</v>
      </c>
      <c r="F6" s="3633"/>
      <c r="G6" s="3634" t="s">
        <v>2016</v>
      </c>
      <c r="H6" s="3635"/>
      <c r="I6" s="3634" t="s">
        <v>2016</v>
      </c>
      <c r="J6" s="3635"/>
      <c r="K6" s="496" t="s">
        <v>2017</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2018</v>
      </c>
      <c r="B7" s="302"/>
      <c r="C7" s="303">
        <f>'数据-取费表'!B2</f>
        <v>44783</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39" t="s">
        <v>2019</v>
      </c>
      <c r="Q7" s="3663"/>
      <c r="R7" s="626" t="s">
        <v>25</v>
      </c>
      <c r="S7" s="627">
        <f t="shared" ref="S7:S15" si="0">F7</f>
        <v>0</v>
      </c>
      <c r="T7" s="626" t="s">
        <v>25</v>
      </c>
      <c r="U7" s="627">
        <f t="shared" ref="U7:U15" si="1">H7</f>
        <v>0</v>
      </c>
      <c r="V7" s="626" t="s">
        <v>25</v>
      </c>
      <c r="W7" s="627">
        <f t="shared" ref="W7:W15" si="2">J7</f>
        <v>0</v>
      </c>
      <c r="X7" s="628"/>
      <c r="Y7" s="3639" t="s">
        <v>2019</v>
      </c>
      <c r="Z7" s="3640"/>
      <c r="AA7" s="629" t="e">
        <f>D7/F7</f>
        <v>#DIV/0!</v>
      </c>
      <c r="AB7" s="629" t="e">
        <f>D7/H7</f>
        <v>#DIV/0!</v>
      </c>
      <c r="AC7" s="629"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39" t="s">
        <v>2022</v>
      </c>
      <c r="Q8" s="3640"/>
      <c r="R8" s="626" t="s">
        <v>25</v>
      </c>
      <c r="S8" s="627">
        <f t="shared" si="0"/>
        <v>0</v>
      </c>
      <c r="T8" s="626" t="s">
        <v>25</v>
      </c>
      <c r="U8" s="627">
        <f t="shared" si="1"/>
        <v>0</v>
      </c>
      <c r="V8" s="626" t="s">
        <v>25</v>
      </c>
      <c r="W8" s="627">
        <f t="shared" si="2"/>
        <v>0</v>
      </c>
      <c r="X8" s="628"/>
      <c r="Y8" s="3639" t="s">
        <v>2022</v>
      </c>
      <c r="Z8" s="3640"/>
      <c r="AA8" s="629" t="e">
        <f t="shared" ref="AA8:AA40" si="3">D8/F8</f>
        <v>#DIV/0!</v>
      </c>
      <c r="AB8" s="629" t="e">
        <f t="shared" ref="AB8:AB40" si="4">D8/H8</f>
        <v>#DIV/0!</v>
      </c>
      <c r="AC8" s="629" t="e">
        <f t="shared" ref="AC8:AC40" si="5">D8/J8</f>
        <v>#DIV/0!</v>
      </c>
    </row>
    <row r="9" spans="1:29" s="25" customFormat="1">
      <c r="A9" s="308" t="s">
        <v>2023</v>
      </c>
      <c r="B9" s="24" t="s">
        <v>2024</v>
      </c>
      <c r="C9" s="1513" t="s">
        <v>2249</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36" t="s">
        <v>2025</v>
      </c>
      <c r="Q9" s="1254" t="str">
        <f t="shared" ref="Q9:Q15" si="6">B9</f>
        <v>用途</v>
      </c>
      <c r="R9" s="626" t="s">
        <v>25</v>
      </c>
      <c r="S9" s="627">
        <f t="shared" si="0"/>
        <v>100</v>
      </c>
      <c r="T9" s="626" t="s">
        <v>25</v>
      </c>
      <c r="U9" s="627">
        <f t="shared" si="1"/>
        <v>100</v>
      </c>
      <c r="V9" s="626" t="s">
        <v>25</v>
      </c>
      <c r="W9" s="627">
        <f t="shared" si="2"/>
        <v>100</v>
      </c>
      <c r="X9" s="628"/>
      <c r="Y9" s="3666" t="s">
        <v>2026</v>
      </c>
      <c r="Z9" s="19" t="str">
        <f t="shared" ref="Z9:Z15" si="7">Q9</f>
        <v>用途</v>
      </c>
      <c r="AA9" s="629">
        <f t="shared" si="3"/>
        <v>1</v>
      </c>
      <c r="AB9" s="629">
        <f t="shared" si="4"/>
        <v>1</v>
      </c>
      <c r="AC9" s="629">
        <f t="shared" si="5"/>
        <v>1</v>
      </c>
    </row>
    <row r="10" spans="1:29" s="317" customFormat="1" ht="27">
      <c r="A10" s="312"/>
      <c r="B10" s="313" t="s">
        <v>2027</v>
      </c>
      <c r="C10" s="322"/>
      <c r="D10" s="29">
        <v>100</v>
      </c>
      <c r="E10" s="322"/>
      <c r="F10" s="29">
        <f>ROUND(100/'数据-取费表'!B14,0)</f>
        <v>106</v>
      </c>
      <c r="G10" s="322"/>
      <c r="H10" s="29">
        <f>ROUND(100/'数据-取费表'!B14,0)</f>
        <v>106</v>
      </c>
      <c r="I10" s="322"/>
      <c r="J10" s="29">
        <f>ROUND(100/'数据-取费表'!B14,0)</f>
        <v>106</v>
      </c>
      <c r="K10" s="553"/>
      <c r="L10" s="2947"/>
      <c r="M10" s="2948"/>
      <c r="N10" s="2948"/>
      <c r="O10" s="2949"/>
      <c r="P10" s="3636"/>
      <c r="Q10" s="1254" t="str">
        <f t="shared" si="6"/>
        <v>土地使用年限（年）</v>
      </c>
      <c r="R10" s="626" t="s">
        <v>25</v>
      </c>
      <c r="S10" s="627">
        <f t="shared" si="0"/>
        <v>106</v>
      </c>
      <c r="T10" s="626" t="s">
        <v>25</v>
      </c>
      <c r="U10" s="627">
        <f t="shared" si="1"/>
        <v>106</v>
      </c>
      <c r="V10" s="626" t="s">
        <v>25</v>
      </c>
      <c r="W10" s="627">
        <f t="shared" si="2"/>
        <v>106</v>
      </c>
      <c r="X10" s="628"/>
      <c r="Y10" s="3666"/>
      <c r="Z10" s="19" t="str">
        <f t="shared" si="7"/>
        <v>土地使用年限（年）</v>
      </c>
      <c r="AA10" s="629">
        <f t="shared" si="3"/>
        <v>0.94339622641509435</v>
      </c>
      <c r="AB10" s="629">
        <f t="shared" si="4"/>
        <v>0.94339622641509435</v>
      </c>
      <c r="AC10" s="629">
        <f t="shared" si="5"/>
        <v>0.94339622641509435</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6"/>
      <c r="Q11" s="1254" t="str">
        <f t="shared" si="6"/>
        <v>容积率</v>
      </c>
      <c r="R11" s="626" t="s">
        <v>25</v>
      </c>
      <c r="S11" s="627" t="e">
        <f t="shared" si="0"/>
        <v>#N/A</v>
      </c>
      <c r="T11" s="626" t="s">
        <v>25</v>
      </c>
      <c r="U11" s="627" t="e">
        <f t="shared" si="1"/>
        <v>#N/A</v>
      </c>
      <c r="V11" s="626" t="s">
        <v>25</v>
      </c>
      <c r="W11" s="627" t="e">
        <f t="shared" si="2"/>
        <v>#N/A</v>
      </c>
      <c r="X11" s="628"/>
      <c r="Y11" s="3666"/>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6"/>
      <c r="Q12" s="1254">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6"/>
      <c r="Q13" s="1254">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6"/>
      <c r="Q14" s="1254">
        <f t="shared" si="6"/>
        <v>111</v>
      </c>
      <c r="R14" s="626" t="s">
        <v>25</v>
      </c>
      <c r="S14" s="627">
        <f t="shared" si="0"/>
        <v>100</v>
      </c>
      <c r="T14" s="626" t="s">
        <v>25</v>
      </c>
      <c r="U14" s="627">
        <f t="shared" si="1"/>
        <v>100</v>
      </c>
      <c r="V14" s="626" t="s">
        <v>25</v>
      </c>
      <c r="W14" s="627">
        <f t="shared" si="2"/>
        <v>100</v>
      </c>
      <c r="X14" s="628"/>
      <c r="Y14" s="3666"/>
      <c r="Z14" s="19">
        <f t="shared" si="7"/>
        <v>111</v>
      </c>
      <c r="AA14" s="629">
        <f t="shared" si="3"/>
        <v>1</v>
      </c>
      <c r="AB14" s="629">
        <f t="shared" si="4"/>
        <v>1</v>
      </c>
      <c r="AC14" s="629">
        <f t="shared" si="5"/>
        <v>1</v>
      </c>
    </row>
    <row r="15" spans="1:29" ht="57">
      <c r="A15" s="329" t="s">
        <v>2029</v>
      </c>
      <c r="B15" s="511" t="s">
        <v>2250</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64" t="s">
        <v>2030</v>
      </c>
      <c r="Q15" s="1261" t="str">
        <f t="shared" si="6"/>
        <v>产业集聚程度</v>
      </c>
      <c r="R15" s="630" t="s">
        <v>25</v>
      </c>
      <c r="S15" s="631">
        <f t="shared" si="0"/>
        <v>100</v>
      </c>
      <c r="T15" s="630" t="s">
        <v>25</v>
      </c>
      <c r="U15" s="631">
        <f t="shared" si="1"/>
        <v>100</v>
      </c>
      <c r="V15" s="630" t="s">
        <v>25</v>
      </c>
      <c r="W15" s="631">
        <f t="shared" si="2"/>
        <v>100</v>
      </c>
      <c r="X15" s="1262"/>
      <c r="Y15" s="3664" t="s">
        <v>2030</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65"/>
      <c r="Q16" s="1261"/>
      <c r="R16" s="630"/>
      <c r="S16" s="631"/>
      <c r="T16" s="630"/>
      <c r="U16" s="631"/>
      <c r="V16" s="630"/>
      <c r="W16" s="631"/>
      <c r="X16" s="1262"/>
      <c r="Y16" s="3665"/>
      <c r="Z16" s="1263"/>
      <c r="AA16" s="1264">
        <v>1</v>
      </c>
      <c r="AB16" s="1264">
        <v>1</v>
      </c>
      <c r="AC16" s="1264">
        <v>1</v>
      </c>
    </row>
    <row r="17" spans="1:29" ht="85.5">
      <c r="A17" s="318"/>
      <c r="B17" s="513" t="s">
        <v>2167</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65"/>
      <c r="Q17" s="1261" t="str">
        <f>B17</f>
        <v>交通便捷度</v>
      </c>
      <c r="R17" s="630" t="s">
        <v>25</v>
      </c>
      <c r="S17" s="631">
        <f>F17</f>
        <v>100</v>
      </c>
      <c r="T17" s="630" t="s">
        <v>25</v>
      </c>
      <c r="U17" s="631">
        <f>H17</f>
        <v>100</v>
      </c>
      <c r="V17" s="630" t="s">
        <v>25</v>
      </c>
      <c r="W17" s="631">
        <f>J17</f>
        <v>100</v>
      </c>
      <c r="X17" s="1262"/>
      <c r="Y17" s="3665"/>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65"/>
      <c r="Q18" s="1261"/>
      <c r="R18" s="630"/>
      <c r="S18" s="631"/>
      <c r="T18" s="630"/>
      <c r="U18" s="631"/>
      <c r="V18" s="630"/>
      <c r="W18" s="631"/>
      <c r="X18" s="1262"/>
      <c r="Y18" s="3665"/>
      <c r="Z18" s="1263"/>
      <c r="AA18" s="1264">
        <v>1</v>
      </c>
      <c r="AB18" s="1264">
        <v>1</v>
      </c>
      <c r="AC18" s="1264">
        <v>1</v>
      </c>
    </row>
    <row r="19" spans="1:29" ht="15">
      <c r="A19" s="318"/>
      <c r="B19" s="513" t="s">
        <v>2207</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65"/>
      <c r="Q19" s="1261" t="str">
        <f t="shared" ref="Q19:Q33" si="8">B19</f>
        <v>区域土地利用方向</v>
      </c>
      <c r="R19" s="630" t="s">
        <v>25</v>
      </c>
      <c r="S19" s="631">
        <f>F19</f>
        <v>100</v>
      </c>
      <c r="T19" s="630" t="s">
        <v>25</v>
      </c>
      <c r="U19" s="631">
        <f>H19</f>
        <v>100</v>
      </c>
      <c r="V19" s="630" t="s">
        <v>25</v>
      </c>
      <c r="W19" s="631">
        <f>J19</f>
        <v>100</v>
      </c>
      <c r="X19" s="1262"/>
      <c r="Y19" s="3665"/>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52"/>
      <c r="M20" s="2943"/>
      <c r="N20" s="2943"/>
      <c r="O20" s="2951"/>
      <c r="P20" s="3665"/>
      <c r="Q20" s="1261"/>
      <c r="R20" s="630"/>
      <c r="S20" s="631"/>
      <c r="T20" s="630"/>
      <c r="U20" s="631"/>
      <c r="V20" s="630"/>
      <c r="W20" s="631"/>
      <c r="X20" s="1262"/>
      <c r="Y20" s="3665"/>
      <c r="Z20" s="1263"/>
      <c r="AA20" s="1264"/>
      <c r="AB20" s="1264"/>
      <c r="AC20" s="1264"/>
    </row>
    <row r="21" spans="1:29" ht="71.25">
      <c r="A21" s="297"/>
      <c r="B21" s="513" t="s">
        <v>2251</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65"/>
      <c r="Q21" s="1261" t="str">
        <f t="shared" si="8"/>
        <v>环境状况</v>
      </c>
      <c r="R21" s="630" t="s">
        <v>25</v>
      </c>
      <c r="S21" s="631">
        <f>F21</f>
        <v>100</v>
      </c>
      <c r="T21" s="630" t="s">
        <v>25</v>
      </c>
      <c r="U21" s="631">
        <f>H21</f>
        <v>100</v>
      </c>
      <c r="V21" s="630" t="s">
        <v>25</v>
      </c>
      <c r="W21" s="631">
        <f>J21</f>
        <v>100</v>
      </c>
      <c r="X21" s="1262"/>
      <c r="Y21" s="3665"/>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65"/>
      <c r="Q22" s="1261"/>
      <c r="R22" s="630"/>
      <c r="S22" s="631"/>
      <c r="T22" s="630"/>
      <c r="U22" s="631"/>
      <c r="V22" s="630"/>
      <c r="W22" s="631"/>
      <c r="X22" s="1262"/>
      <c r="Y22" s="3665"/>
      <c r="Z22" s="1263"/>
      <c r="AA22" s="1264">
        <v>1</v>
      </c>
      <c r="AB22" s="1264">
        <v>1</v>
      </c>
      <c r="AC22" s="1264">
        <v>1</v>
      </c>
    </row>
    <row r="23" spans="1:29" s="25" customFormat="1" ht="42.75">
      <c r="A23" s="531"/>
      <c r="B23" s="513" t="s">
        <v>2116</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65"/>
      <c r="Q23" s="1254" t="str">
        <f t="shared" si="8"/>
        <v>公共配套设施</v>
      </c>
      <c r="R23" s="626" t="s">
        <v>25</v>
      </c>
      <c r="S23" s="627">
        <f>F23</f>
        <v>100</v>
      </c>
      <c r="T23" s="626" t="s">
        <v>25</v>
      </c>
      <c r="U23" s="627">
        <f>H23</f>
        <v>100</v>
      </c>
      <c r="V23" s="626" t="s">
        <v>25</v>
      </c>
      <c r="W23" s="627">
        <f>J23</f>
        <v>100</v>
      </c>
      <c r="X23" s="628"/>
      <c r="Y23" s="3665"/>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65"/>
      <c r="Q24" s="1254"/>
      <c r="R24" s="626"/>
      <c r="S24" s="627"/>
      <c r="T24" s="626"/>
      <c r="U24" s="627"/>
      <c r="V24" s="626"/>
      <c r="W24" s="627"/>
      <c r="X24" s="628"/>
      <c r="Y24" s="3665"/>
      <c r="Z24" s="19"/>
      <c r="AA24" s="629">
        <v>1</v>
      </c>
      <c r="AB24" s="629">
        <v>1</v>
      </c>
      <c r="AC24" s="629">
        <v>1</v>
      </c>
    </row>
    <row r="25" spans="1:29" s="25" customFormat="1" ht="28.5">
      <c r="A25" s="531"/>
      <c r="B25" s="515" t="s">
        <v>2117</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65"/>
      <c r="Q25" s="1254" t="str">
        <f t="shared" ref="Q25" si="9">B25</f>
        <v>基础设施水平</v>
      </c>
      <c r="R25" s="626" t="s">
        <v>25</v>
      </c>
      <c r="S25" s="627">
        <f>F25</f>
        <v>100</v>
      </c>
      <c r="T25" s="626" t="s">
        <v>25</v>
      </c>
      <c r="U25" s="627">
        <f>H25</f>
        <v>100</v>
      </c>
      <c r="V25" s="626" t="s">
        <v>25</v>
      </c>
      <c r="W25" s="627">
        <f>J25</f>
        <v>100</v>
      </c>
      <c r="X25" s="628"/>
      <c r="Y25" s="3665"/>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65"/>
      <c r="Q26" s="1254"/>
      <c r="R26" s="626"/>
      <c r="S26" s="627"/>
      <c r="T26" s="626"/>
      <c r="U26" s="627"/>
      <c r="V26" s="626"/>
      <c r="W26" s="627"/>
      <c r="X26" s="628"/>
      <c r="Y26" s="3665"/>
      <c r="Z26" s="19"/>
      <c r="AA26" s="629">
        <v>1</v>
      </c>
      <c r="AB26" s="629">
        <v>1</v>
      </c>
      <c r="AC26" s="629">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65"/>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65"/>
      <c r="Z27" s="1263" t="str">
        <f t="shared" ref="Z27:Z40" si="13">Q27</f>
        <v>临街状况</v>
      </c>
      <c r="AA27" s="1264">
        <f t="shared" si="3"/>
        <v>1</v>
      </c>
      <c r="AB27" s="1264">
        <f t="shared" si="4"/>
        <v>1</v>
      </c>
      <c r="AC27" s="1264">
        <f t="shared" si="5"/>
        <v>1</v>
      </c>
    </row>
    <row r="28" spans="1:29" ht="27">
      <c r="A28" s="318"/>
      <c r="B28" s="515" t="s">
        <v>2148</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65"/>
      <c r="Q28" s="1261" t="str">
        <f t="shared" si="8"/>
        <v>毗邻道路的类型与等级</v>
      </c>
      <c r="R28" s="630" t="s">
        <v>25</v>
      </c>
      <c r="S28" s="631">
        <f t="shared" si="10"/>
        <v>100</v>
      </c>
      <c r="T28" s="630" t="s">
        <v>25</v>
      </c>
      <c r="U28" s="631">
        <f t="shared" si="11"/>
        <v>100</v>
      </c>
      <c r="V28" s="630" t="s">
        <v>25</v>
      </c>
      <c r="W28" s="631">
        <f t="shared" si="12"/>
        <v>100</v>
      </c>
      <c r="X28" s="1262"/>
      <c r="Y28" s="3665"/>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65"/>
      <c r="Q29" s="1261"/>
      <c r="R29" s="630"/>
      <c r="S29" s="631"/>
      <c r="T29" s="630"/>
      <c r="U29" s="631"/>
      <c r="V29" s="630"/>
      <c r="W29" s="631"/>
      <c r="X29" s="1262"/>
      <c r="Y29" s="3665"/>
      <c r="Z29" s="1263"/>
      <c r="AA29" s="1264">
        <v>1</v>
      </c>
      <c r="AB29" s="1264">
        <v>1</v>
      </c>
      <c r="AC29" s="1264">
        <v>1</v>
      </c>
    </row>
    <row r="30" spans="1:29" ht="15">
      <c r="A30" s="318"/>
      <c r="B30" s="535" t="s">
        <v>2209</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65"/>
      <c r="Q30" s="1261" t="str">
        <f t="shared" si="8"/>
        <v>土地级别</v>
      </c>
      <c r="R30" s="630" t="s">
        <v>25</v>
      </c>
      <c r="S30" s="631">
        <f t="shared" si="10"/>
        <v>100</v>
      </c>
      <c r="T30" s="630" t="s">
        <v>25</v>
      </c>
      <c r="U30" s="631">
        <f t="shared" si="11"/>
        <v>100</v>
      </c>
      <c r="V30" s="630" t="s">
        <v>25</v>
      </c>
      <c r="W30" s="631">
        <f t="shared" si="12"/>
        <v>100</v>
      </c>
      <c r="X30" s="1262"/>
      <c r="Y30" s="3665"/>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65"/>
      <c r="Q31" s="1261">
        <f t="shared" si="8"/>
        <v>111</v>
      </c>
      <c r="R31" s="630" t="s">
        <v>25</v>
      </c>
      <c r="S31" s="631">
        <f t="shared" si="10"/>
        <v>100</v>
      </c>
      <c r="T31" s="630" t="s">
        <v>25</v>
      </c>
      <c r="U31" s="631">
        <f t="shared" si="11"/>
        <v>100</v>
      </c>
      <c r="V31" s="630" t="s">
        <v>25</v>
      </c>
      <c r="W31" s="631">
        <f t="shared" si="12"/>
        <v>100</v>
      </c>
      <c r="X31" s="1262"/>
      <c r="Y31" s="3665"/>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67" t="s">
        <v>2036</v>
      </c>
      <c r="Q32" s="1261">
        <f t="shared" si="8"/>
        <v>111</v>
      </c>
      <c r="R32" s="630" t="s">
        <v>25</v>
      </c>
      <c r="S32" s="631">
        <f t="shared" si="10"/>
        <v>100</v>
      </c>
      <c r="T32" s="630" t="s">
        <v>25</v>
      </c>
      <c r="U32" s="631">
        <f t="shared" si="11"/>
        <v>100</v>
      </c>
      <c r="V32" s="630" t="s">
        <v>25</v>
      </c>
      <c r="W32" s="631">
        <f t="shared" si="12"/>
        <v>100</v>
      </c>
      <c r="X32" s="1262"/>
      <c r="Y32" s="3668" t="s">
        <v>2036</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68"/>
      <c r="Q33" s="1261">
        <f t="shared" si="8"/>
        <v>111</v>
      </c>
      <c r="R33" s="633" t="s">
        <v>25</v>
      </c>
      <c r="S33" s="634">
        <f t="shared" si="10"/>
        <v>100</v>
      </c>
      <c r="T33" s="633" t="s">
        <v>25</v>
      </c>
      <c r="U33" s="634">
        <f t="shared" si="11"/>
        <v>100</v>
      </c>
      <c r="V33" s="633" t="s">
        <v>25</v>
      </c>
      <c r="W33" s="634">
        <f t="shared" si="12"/>
        <v>100</v>
      </c>
      <c r="X33" s="635"/>
      <c r="Y33" s="3668"/>
      <c r="Z33" s="636">
        <f t="shared" si="13"/>
        <v>111</v>
      </c>
      <c r="AA33" s="1264">
        <f t="shared" si="3"/>
        <v>1</v>
      </c>
      <c r="AB33" s="1264">
        <f t="shared" si="4"/>
        <v>1</v>
      </c>
      <c r="AC33" s="1264">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68"/>
      <c r="Q34" s="1261" t="str">
        <f>B34</f>
        <v>宗地面积</v>
      </c>
      <c r="R34" s="630" t="s">
        <v>25</v>
      </c>
      <c r="S34" s="631" t="e">
        <f t="shared" si="10"/>
        <v>#N/A</v>
      </c>
      <c r="T34" s="630" t="s">
        <v>25</v>
      </c>
      <c r="U34" s="631" t="e">
        <f t="shared" si="11"/>
        <v>#N/A</v>
      </c>
      <c r="V34" s="630" t="s">
        <v>25</v>
      </c>
      <c r="W34" s="631" t="e">
        <f t="shared" si="12"/>
        <v>#N/A</v>
      </c>
      <c r="X34" s="1262"/>
      <c r="Y34" s="3668"/>
      <c r="Z34" s="1263" t="str">
        <f t="shared" si="13"/>
        <v>宗地面积</v>
      </c>
      <c r="AA34" s="1264" t="e">
        <f t="shared" si="3"/>
        <v>#N/A</v>
      </c>
      <c r="AB34" s="1264" t="e">
        <f t="shared" si="4"/>
        <v>#N/A</v>
      </c>
      <c r="AC34" s="1264" t="e">
        <f t="shared" si="5"/>
        <v>#N/A</v>
      </c>
    </row>
    <row r="35" spans="1:29" ht="15">
      <c r="A35" s="360"/>
      <c r="B35" s="313" t="s">
        <v>2211</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68"/>
      <c r="Q35" s="1261" t="str">
        <f t="shared" ref="Q35:Q40" si="14">B35</f>
        <v>宗地形状</v>
      </c>
      <c r="R35" s="630" t="s">
        <v>25</v>
      </c>
      <c r="S35" s="631">
        <f t="shared" si="10"/>
        <v>100</v>
      </c>
      <c r="T35" s="630" t="s">
        <v>25</v>
      </c>
      <c r="U35" s="631">
        <f t="shared" si="11"/>
        <v>100</v>
      </c>
      <c r="V35" s="630" t="s">
        <v>25</v>
      </c>
      <c r="W35" s="631">
        <f t="shared" si="12"/>
        <v>100</v>
      </c>
      <c r="X35" s="1262"/>
      <c r="Y35" s="3668"/>
      <c r="Z35" s="1263" t="str">
        <f t="shared" si="13"/>
        <v>宗地形状</v>
      </c>
      <c r="AA35" s="1264">
        <f t="shared" si="3"/>
        <v>1</v>
      </c>
      <c r="AB35" s="1264">
        <f t="shared" si="4"/>
        <v>1</v>
      </c>
      <c r="AC35" s="1264">
        <f t="shared" si="5"/>
        <v>1</v>
      </c>
    </row>
    <row r="36" spans="1:29" s="25" customFormat="1" ht="15">
      <c r="A36" s="361"/>
      <c r="B36" s="313" t="s">
        <v>2213</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68"/>
      <c r="Q36" s="1261" t="str">
        <f t="shared" si="14"/>
        <v>宗地开发程度</v>
      </c>
      <c r="R36" s="626" t="s">
        <v>25</v>
      </c>
      <c r="S36" s="627">
        <f t="shared" si="10"/>
        <v>100</v>
      </c>
      <c r="T36" s="626" t="s">
        <v>25</v>
      </c>
      <c r="U36" s="627">
        <f t="shared" si="11"/>
        <v>100</v>
      </c>
      <c r="V36" s="626" t="s">
        <v>25</v>
      </c>
      <c r="W36" s="627">
        <f t="shared" si="12"/>
        <v>100</v>
      </c>
      <c r="X36" s="628"/>
      <c r="Y36" s="3668"/>
      <c r="Z36" s="19" t="str">
        <f t="shared" si="13"/>
        <v>宗地开发程度</v>
      </c>
      <c r="AA36" s="629">
        <f t="shared" si="3"/>
        <v>1</v>
      </c>
      <c r="AB36" s="629">
        <f t="shared" si="4"/>
        <v>1</v>
      </c>
      <c r="AC36" s="629">
        <f t="shared" si="5"/>
        <v>1</v>
      </c>
    </row>
    <row r="37" spans="1:29" ht="15">
      <c r="A37" s="360"/>
      <c r="B37" s="313" t="s">
        <v>2214</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68" t="s">
        <v>2036</v>
      </c>
      <c r="Q37" s="1261" t="str">
        <f t="shared" si="14"/>
        <v>工程地质条件</v>
      </c>
      <c r="R37" s="630" t="s">
        <v>25</v>
      </c>
      <c r="S37" s="631">
        <f t="shared" si="10"/>
        <v>100</v>
      </c>
      <c r="T37" s="630" t="s">
        <v>25</v>
      </c>
      <c r="U37" s="631">
        <f t="shared" si="11"/>
        <v>100</v>
      </c>
      <c r="V37" s="630" t="s">
        <v>25</v>
      </c>
      <c r="W37" s="631">
        <f t="shared" si="12"/>
        <v>100</v>
      </c>
      <c r="X37" s="1262"/>
      <c r="Y37" s="3668" t="s">
        <v>2036</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68"/>
      <c r="Q38" s="1261">
        <f t="shared" si="14"/>
        <v>111</v>
      </c>
      <c r="R38" s="630" t="s">
        <v>25</v>
      </c>
      <c r="S38" s="631">
        <f t="shared" si="10"/>
        <v>100</v>
      </c>
      <c r="T38" s="630" t="s">
        <v>25</v>
      </c>
      <c r="U38" s="631">
        <f t="shared" si="11"/>
        <v>100</v>
      </c>
      <c r="V38" s="630" t="s">
        <v>25</v>
      </c>
      <c r="W38" s="631">
        <f t="shared" si="12"/>
        <v>100</v>
      </c>
      <c r="X38" s="1262"/>
      <c r="Y38" s="366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68"/>
      <c r="Q39" s="1261">
        <f t="shared" si="14"/>
        <v>111</v>
      </c>
      <c r="R39" s="630" t="s">
        <v>25</v>
      </c>
      <c r="S39" s="631">
        <f t="shared" si="10"/>
        <v>100</v>
      </c>
      <c r="T39" s="630" t="s">
        <v>25</v>
      </c>
      <c r="U39" s="631">
        <f t="shared" si="11"/>
        <v>100</v>
      </c>
      <c r="V39" s="630" t="s">
        <v>25</v>
      </c>
      <c r="W39" s="631">
        <f t="shared" si="12"/>
        <v>100</v>
      </c>
      <c r="X39" s="1262"/>
      <c r="Y39" s="366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68"/>
      <c r="Q40" s="1261">
        <f t="shared" si="14"/>
        <v>111</v>
      </c>
      <c r="R40" s="633" t="s">
        <v>25</v>
      </c>
      <c r="S40" s="634">
        <f t="shared" si="10"/>
        <v>100</v>
      </c>
      <c r="T40" s="633" t="s">
        <v>25</v>
      </c>
      <c r="U40" s="634">
        <f t="shared" si="11"/>
        <v>100</v>
      </c>
      <c r="V40" s="633" t="s">
        <v>25</v>
      </c>
      <c r="W40" s="634">
        <f t="shared" si="12"/>
        <v>100</v>
      </c>
      <c r="X40" s="635"/>
      <c r="Y40" s="3668"/>
      <c r="Z40" s="636">
        <f t="shared" si="13"/>
        <v>111</v>
      </c>
      <c r="AA40" s="1264">
        <f t="shared" si="3"/>
        <v>1</v>
      </c>
      <c r="AB40" s="1264">
        <f t="shared" si="4"/>
        <v>1</v>
      </c>
      <c r="AC40" s="1264">
        <f t="shared" si="5"/>
        <v>1</v>
      </c>
    </row>
    <row r="41" spans="1:29" ht="15">
      <c r="A41" s="367" t="s">
        <v>2178</v>
      </c>
      <c r="B41" s="1518" t="s">
        <v>2252</v>
      </c>
      <c r="C41" s="562" t="s">
        <v>1</v>
      </c>
      <c r="D41" s="369"/>
      <c r="E41" s="370"/>
      <c r="F41" s="371"/>
      <c r="G41" s="372"/>
      <c r="H41" s="373"/>
      <c r="I41" s="370"/>
      <c r="J41" s="373"/>
      <c r="K41" s="639"/>
      <c r="L41" s="2954"/>
      <c r="M41" s="2943"/>
      <c r="N41" s="2943"/>
      <c r="P41" s="3636" t="str">
        <f>A41</f>
        <v>成交单价</v>
      </c>
      <c r="Q41" s="3636"/>
      <c r="R41" s="3660">
        <f>E41</f>
        <v>0</v>
      </c>
      <c r="S41" s="3660"/>
      <c r="T41" s="3660">
        <f>G41</f>
        <v>0</v>
      </c>
      <c r="U41" s="3660"/>
      <c r="V41" s="3660">
        <f>I41</f>
        <v>0</v>
      </c>
      <c r="W41" s="3660"/>
      <c r="X41" s="617"/>
      <c r="Y41" s="637"/>
      <c r="Z41" s="617"/>
      <c r="AA41" s="617"/>
      <c r="AB41" s="617"/>
      <c r="AC41" s="617"/>
    </row>
    <row r="42" spans="1:29" ht="15.75" thickBot="1">
      <c r="A42" s="374" t="s">
        <v>2131</v>
      </c>
      <c r="B42" s="563"/>
      <c r="C42" s="377" t="e">
        <f>R43</f>
        <v>#DIV/0!</v>
      </c>
      <c r="D42" s="1724" t="s">
        <v>2502</v>
      </c>
      <c r="E42" s="377" t="e">
        <f>R42</f>
        <v>#DIV/0!</v>
      </c>
      <c r="F42" s="1726"/>
      <c r="G42" s="376" t="e">
        <f>T42</f>
        <v>#DIV/0!</v>
      </c>
      <c r="H42" s="1726"/>
      <c r="I42" s="377" t="e">
        <f>V42</f>
        <v>#DIV/0!</v>
      </c>
      <c r="J42" s="1726"/>
      <c r="K42" s="2428">
        <f>F42+H42+J42</f>
        <v>0</v>
      </c>
      <c r="L42" s="2954"/>
      <c r="M42" s="2943"/>
      <c r="N42" s="2943"/>
      <c r="P42" s="3636" t="str">
        <f>A42</f>
        <v>比较价值（元/平方米）</v>
      </c>
      <c r="Q42" s="3636"/>
      <c r="R42" s="3677" t="e">
        <f>ROUND(PRODUCT(R41,AA7:AA40),0)</f>
        <v>#DIV/0!</v>
      </c>
      <c r="S42" s="3677"/>
      <c r="T42" s="3677" t="e">
        <f>ROUND(PRODUCT(T41,AB7:AB40),0)</f>
        <v>#DIV/0!</v>
      </c>
      <c r="U42" s="3677"/>
      <c r="V42" s="3677" t="e">
        <f>ROUND(PRODUCT(V41,AC7:AC40),0)</f>
        <v>#DIV/0!</v>
      </c>
      <c r="W42" s="3677"/>
      <c r="X42" s="617"/>
      <c r="Y42" s="617"/>
      <c r="Z42" s="617"/>
      <c r="AA42" s="617"/>
      <c r="AB42" s="617"/>
      <c r="AC42" s="617"/>
    </row>
    <row r="43" spans="1:29" ht="15.75" thickBot="1">
      <c r="A43" s="378" t="s">
        <v>2154</v>
      </c>
      <c r="B43" s="379"/>
      <c r="C43" s="380" t="e">
        <f>R43</f>
        <v>#DIV/0!</v>
      </c>
      <c r="D43" s="380"/>
      <c r="E43" s="380"/>
      <c r="F43" s="380"/>
      <c r="G43" s="380"/>
      <c r="H43" s="380"/>
      <c r="I43" s="380"/>
      <c r="J43" s="380"/>
      <c r="K43" s="640"/>
      <c r="L43" s="2954"/>
      <c r="M43" s="2943"/>
      <c r="N43" s="2943"/>
      <c r="P43" s="3671" t="str">
        <f>A43</f>
        <v>估价对象XX用房的比较价值（楼面单价，元/平方米）</v>
      </c>
      <c r="Q43" s="3672"/>
      <c r="R43" s="3676" t="e">
        <f>ROUND(IF(D42="简单平均",AVERAGE(R42:W42),R42*F42+T42*H42+V42*J42),0)</f>
        <v>#DIV/0!</v>
      </c>
      <c r="S43" s="3676"/>
      <c r="T43" s="3676"/>
      <c r="U43" s="3676"/>
      <c r="V43" s="3676"/>
      <c r="W43" s="3676"/>
      <c r="X43" s="617"/>
      <c r="Y43" s="617"/>
      <c r="Z43" s="617"/>
      <c r="AA43" s="617"/>
      <c r="AB43" s="617"/>
      <c r="AC43" s="617"/>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19" t="s">
        <v>2218</v>
      </c>
      <c r="D50" s="1520" t="s">
        <v>2219</v>
      </c>
      <c r="E50" s="566" t="s">
        <v>2220</v>
      </c>
      <c r="F50" s="567" t="s">
        <v>2221</v>
      </c>
      <c r="G50" s="1263" t="s">
        <v>2253</v>
      </c>
      <c r="H50" s="1263" t="str">
        <f>项目基本情况!G8</f>
        <v>XX</v>
      </c>
      <c r="I50" s="1237" t="s">
        <v>2223</v>
      </c>
      <c r="J50" s="915"/>
      <c r="K50" s="913"/>
    </row>
    <row r="51" spans="1:17" s="572" customFormat="1">
      <c r="A51" s="568" t="s">
        <v>2224</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2225</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2227</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2228</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2229</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2230</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2231</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2232</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7"/>
      <c r="H60" s="917"/>
      <c r="I60" s="2966"/>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2022-8-1</v>
      </c>
      <c r="D62" s="1110">
        <f>EDATE(C62,-3)</f>
        <v>44682</v>
      </c>
      <c r="E62" s="1110">
        <f t="shared" ref="E62:O62" si="18">EDATE(D62,-3)</f>
        <v>44593</v>
      </c>
      <c r="F62" s="1110">
        <f t="shared" si="18"/>
        <v>44501</v>
      </c>
      <c r="G62" s="1110">
        <f t="shared" si="18"/>
        <v>44409</v>
      </c>
      <c r="H62" s="1110">
        <f t="shared" si="18"/>
        <v>44317</v>
      </c>
      <c r="I62" s="1110">
        <f t="shared" si="18"/>
        <v>44228</v>
      </c>
      <c r="J62" s="1110">
        <f t="shared" si="18"/>
        <v>44136</v>
      </c>
      <c r="K62" s="1110">
        <f t="shared" si="18"/>
        <v>44044</v>
      </c>
      <c r="L62" s="1110">
        <f t="shared" si="18"/>
        <v>43952</v>
      </c>
      <c r="M62" s="1110">
        <f t="shared" si="18"/>
        <v>43862</v>
      </c>
      <c r="N62" s="1110">
        <f t="shared" si="18"/>
        <v>43770</v>
      </c>
      <c r="O62" s="1110">
        <f t="shared" si="18"/>
        <v>43678</v>
      </c>
    </row>
    <row r="63" spans="1:17" ht="21.75" thickBot="1">
      <c r="A63" s="619" t="s">
        <v>2136</v>
      </c>
      <c r="B63" s="617"/>
      <c r="C63" s="620"/>
      <c r="D63" s="620"/>
      <c r="E63" s="620"/>
      <c r="F63" s="621"/>
      <c r="G63" s="621"/>
      <c r="H63" s="620"/>
      <c r="I63" s="920"/>
      <c r="J63" s="920"/>
      <c r="K63" s="918"/>
      <c r="L63" s="919"/>
      <c r="M63" s="920"/>
      <c r="N63" s="920"/>
      <c r="O63" s="920"/>
      <c r="P63" s="389"/>
      <c r="Q63" s="390"/>
    </row>
    <row r="64" spans="1:17" s="394" customFormat="1" ht="15">
      <c r="A64" s="1522" t="s">
        <v>2234</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2254</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2056</v>
      </c>
      <c r="B66" s="401"/>
      <c r="C66" s="402"/>
      <c r="D66" s="403"/>
      <c r="E66" s="403"/>
      <c r="F66" s="403"/>
      <c r="G66" s="403"/>
      <c r="H66" s="403"/>
      <c r="I66" s="403"/>
      <c r="J66" s="403"/>
      <c r="K66" s="403"/>
      <c r="L66" s="403"/>
      <c r="M66" s="404"/>
      <c r="N66" s="403"/>
      <c r="O66" s="1113"/>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受您的委托，我公司对XX房地产进行了预评估。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估价对象为XX房地产，为XX所有。根据《》[]，估价对象建筑面积为2380.76平方米。根据《》[]，估价对象（分摊）出让国有建设用地使用权面积为平方米。估价对象用途为。</v>
      </c>
      <c r="B6" s="1276"/>
      <c r="C6" s="1276"/>
      <c r="D6" s="1276"/>
      <c r="E6" s="1276"/>
      <c r="F6" s="1276"/>
      <c r="G6" s="1276"/>
    </row>
    <row r="7" spans="1:7" ht="18.75">
      <c r="A7" s="1277" t="s">
        <v>1016</v>
      </c>
    </row>
    <row r="8" spans="1:7" ht="18">
      <c r="A8" s="1279" t="str">
        <f>IF(项目基本情况!D4="抵押",IF(项目基本情况!B4=项目基本情况!B5,定义!C51,定义!B51),定义!D51)</f>
        <v>为估价委托人了解估价对象房地产市场价值提供参考依据。</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2022年8月10日（评估专业人员实地查勘之日）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本次估价的“房地产价值”是指在正常市场情况下，在价值时点2022年8月10日，估价对象规划用途为，假定未设立法定优先受偿款下的房地产市场价值。</v>
      </c>
      <c r="B13" s="1276"/>
      <c r="C13" s="1276"/>
      <c r="D13" s="1276"/>
      <c r="E13" s="1276"/>
      <c r="F13" s="1276"/>
      <c r="G13" s="1276"/>
    </row>
    <row r="14" spans="1:7" ht="72">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2255</v>
      </c>
      <c r="B1" s="2025"/>
      <c r="C1" s="2026" t="s">
        <v>2256</v>
      </c>
      <c r="D1" s="2027">
        <f>SUM(D29:D30,D33:D39)</f>
        <v>2380.7600000000002</v>
      </c>
      <c r="E1" s="2027"/>
      <c r="F1" s="2027"/>
      <c r="G1" s="2027"/>
      <c r="H1" s="2027"/>
      <c r="I1" s="2027"/>
      <c r="J1" s="2027"/>
      <c r="K1" s="2967"/>
      <c r="L1" s="2028" t="s">
        <v>2257</v>
      </c>
      <c r="M1" s="2029">
        <f>SUMPRODUCT((区片价!B5:B9=I2)*(区片价!C3:F3=E2)*(区片价!C5:F9))</f>
        <v>0</v>
      </c>
      <c r="N1" s="2030">
        <f>SUMPRODUCT((因素修正幅度!B5:B9=I2)*(因素修正幅度!C3:F3=E2)*(因素修正幅度!C5:F9))</f>
        <v>0</v>
      </c>
      <c r="O1" s="2967"/>
      <c r="P1" s="2967"/>
      <c r="Q1" s="2967"/>
      <c r="R1" s="2031" t="s">
        <v>2258</v>
      </c>
      <c r="S1" s="2031" t="s">
        <v>2259</v>
      </c>
      <c r="T1" s="2031" t="s">
        <v>2260</v>
      </c>
      <c r="U1" s="2031" t="s">
        <v>2261</v>
      </c>
      <c r="V1" s="2031" t="s">
        <v>2262</v>
      </c>
      <c r="W1" s="2032"/>
      <c r="X1" s="2032"/>
      <c r="Y1" s="2032"/>
      <c r="Z1" s="2032"/>
      <c r="AA1" s="2032"/>
      <c r="AB1" s="2032"/>
      <c r="AC1" s="2032"/>
      <c r="AD1" s="2033"/>
      <c r="AE1" s="2033"/>
      <c r="AF1" s="2033"/>
      <c r="AG1" s="2033"/>
      <c r="AH1" s="2033"/>
      <c r="AI1" s="2033"/>
      <c r="AJ1" s="2034"/>
    </row>
    <row r="2" spans="1:36" ht="24.75">
      <c r="A2" s="1888" t="s">
        <v>2263</v>
      </c>
      <c r="B2" s="1586" t="e">
        <f>C26</f>
        <v>#REF!</v>
      </c>
      <c r="C2" s="2035" t="s">
        <v>2264</v>
      </c>
      <c r="D2" s="1529" t="s">
        <v>2265</v>
      </c>
      <c r="E2" s="2036" t="s">
        <v>2642</v>
      </c>
      <c r="F2" s="1529" t="s">
        <v>2266</v>
      </c>
      <c r="G2" s="2037">
        <f>项目基本情况!F9</f>
        <v>0</v>
      </c>
      <c r="H2" s="1530" t="s">
        <v>2267</v>
      </c>
      <c r="I2" s="2037">
        <f>项目基本情况!F10</f>
        <v>0</v>
      </c>
      <c r="J2" s="2038"/>
      <c r="K2" s="2967"/>
      <c r="L2" s="2039" t="s">
        <v>2268</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2269</v>
      </c>
      <c r="B3" s="1586" t="e">
        <f>ROUND(B2/D1,0)</f>
        <v>#REF!</v>
      </c>
      <c r="C3" s="2035" t="s">
        <v>2270</v>
      </c>
      <c r="D3" s="1529" t="s">
        <v>2271</v>
      </c>
      <c r="E3" s="2036" t="s">
        <v>2644</v>
      </c>
      <c r="F3" s="1531" t="s">
        <v>2272</v>
      </c>
      <c r="G3" s="2043">
        <f>项目基本情况!C15</f>
        <v>0</v>
      </c>
      <c r="H3" s="50" t="s">
        <v>2273</v>
      </c>
      <c r="I3" s="2044"/>
      <c r="J3" s="2038" t="s">
        <v>2274</v>
      </c>
      <c r="K3" s="2967"/>
      <c r="L3" s="2039" t="s">
        <v>2275</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95"/>
      <c r="B4" s="3696"/>
      <c r="C4" s="3696"/>
      <c r="D4" s="3697"/>
      <c r="E4" s="3697"/>
      <c r="F4" s="3697"/>
      <c r="G4" s="3697"/>
      <c r="H4" s="3697"/>
      <c r="I4" s="3697"/>
      <c r="J4" s="3698"/>
      <c r="K4" s="2967"/>
      <c r="L4" s="2039" t="s">
        <v>2276</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2277</v>
      </c>
      <c r="B5" s="1532" t="s">
        <v>2278</v>
      </c>
      <c r="C5" s="2045">
        <f>ROUND(IF(E2="商业",C6*C7+C16,(IF(E2="住宅",C6*C12+C16,C6+C16))),0)</f>
        <v>0</v>
      </c>
      <c r="D5" s="2046">
        <f>ROUND(C6+C16,0)</f>
        <v>0</v>
      </c>
      <c r="E5" s="2046"/>
      <c r="F5" s="2047"/>
      <c r="G5" s="2048"/>
      <c r="H5" s="2048"/>
      <c r="I5" s="2048"/>
      <c r="J5" s="2005"/>
      <c r="K5" s="1594"/>
      <c r="L5" s="2039" t="s">
        <v>2279</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2280</v>
      </c>
      <c r="C6" s="2054">
        <f>SUMIF(L1:L12,G2,M1:M12)</f>
        <v>0</v>
      </c>
      <c r="D6" s="2055" t="s">
        <v>2281</v>
      </c>
      <c r="E6" s="1533"/>
      <c r="F6" s="1533"/>
      <c r="G6" s="2056"/>
      <c r="H6" s="2056"/>
      <c r="I6" s="2056"/>
      <c r="J6" s="2057"/>
      <c r="K6" s="2968"/>
      <c r="L6" s="2039" t="s">
        <v>2282</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9" t="str">
        <f>IF(E2="商业",IF(C8="不临58条商业街","",2),"")</f>
        <v/>
      </c>
      <c r="B7" s="1534" t="s">
        <v>2283</v>
      </c>
      <c r="C7" s="2058" t="e">
        <f>IF(C8="不临58条商业街",1,ROUND(1+(1.6*E8+1.2*E9+0.8*E10+0.4*E11)*C9,4))</f>
        <v>#DIV/0!</v>
      </c>
      <c r="D7" s="2059" t="s">
        <v>2284</v>
      </c>
      <c r="E7" s="2060"/>
      <c r="F7" s="2061"/>
      <c r="G7" s="2061"/>
      <c r="H7" s="2061"/>
      <c r="I7" s="2061"/>
      <c r="J7" s="2062"/>
      <c r="K7" s="2968"/>
      <c r="L7" s="2039" t="s">
        <v>2285</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2286</v>
      </c>
      <c r="X7" s="2064">
        <f>G2</f>
        <v>0</v>
      </c>
      <c r="Y7" s="2064" t="s">
        <v>2287</v>
      </c>
      <c r="Z7" s="2065">
        <f>G3</f>
        <v>0</v>
      </c>
      <c r="AA7" s="2032"/>
      <c r="AB7" s="2032"/>
      <c r="AC7" s="2032"/>
      <c r="AD7" s="2033"/>
      <c r="AE7" s="2033"/>
      <c r="AF7" s="2033"/>
      <c r="AG7" s="2033"/>
      <c r="AH7" s="2033"/>
      <c r="AI7" s="2033"/>
      <c r="AJ7" s="2034"/>
    </row>
    <row r="8" spans="1:36" ht="15">
      <c r="A8" s="3700"/>
      <c r="B8" s="50" t="s">
        <v>2288</v>
      </c>
      <c r="C8" s="2066"/>
      <c r="D8" s="65" t="s">
        <v>89</v>
      </c>
      <c r="E8" s="2067" t="e">
        <f>ROUND(C11/E7,4)</f>
        <v>#DIV/0!</v>
      </c>
      <c r="F8" s="2068" t="s">
        <v>2289</v>
      </c>
      <c r="G8" s="2069"/>
      <c r="H8" s="2069"/>
      <c r="I8" s="2069"/>
      <c r="J8" s="2070"/>
      <c r="K8" s="2967"/>
      <c r="L8" s="2039" t="s">
        <v>2290</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93" t="s">
        <v>2291</v>
      </c>
      <c r="X8" s="3694"/>
      <c r="Y8" s="2071" t="s">
        <v>2292</v>
      </c>
      <c r="Z8" s="2071" t="s">
        <v>2293</v>
      </c>
      <c r="AA8" s="2071" t="s">
        <v>2294</v>
      </c>
      <c r="AB8" s="2071" t="s">
        <v>2295</v>
      </c>
      <c r="AC8" s="2071" t="s">
        <v>2296</v>
      </c>
      <c r="AD8" s="2071" t="s">
        <v>2297</v>
      </c>
      <c r="AE8" s="2071" t="s">
        <v>2298</v>
      </c>
      <c r="AF8" s="2071" t="s">
        <v>2299</v>
      </c>
      <c r="AG8" s="2071" t="s">
        <v>2300</v>
      </c>
      <c r="AH8" s="2071" t="s">
        <v>2301</v>
      </c>
      <c r="AI8" s="2071" t="s">
        <v>2302</v>
      </c>
      <c r="AJ8" s="2071" t="s">
        <v>2303</v>
      </c>
    </row>
    <row r="9" spans="1:36" ht="15">
      <c r="A9" s="3700"/>
      <c r="B9" s="50" t="s">
        <v>2304</v>
      </c>
      <c r="C9" s="2072">
        <f>SUMIF(修正!C71:C138,C8,修正!E71:E138)</f>
        <v>0</v>
      </c>
      <c r="D9" s="50" t="s">
        <v>90</v>
      </c>
      <c r="E9" s="50" t="e">
        <f>ROUND(C11/E7,4)</f>
        <v>#DIV/0!</v>
      </c>
      <c r="F9" s="2068" t="s">
        <v>2305</v>
      </c>
      <c r="G9" s="2069"/>
      <c r="H9" s="2069"/>
      <c r="I9" s="2069"/>
      <c r="J9" s="2070"/>
      <c r="K9" s="2967"/>
      <c r="L9" s="2039" t="s">
        <v>2306</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94" t="s">
        <v>2307</v>
      </c>
      <c r="X9" s="2073" t="s">
        <v>2308</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0"/>
      <c r="B10" s="50" t="s">
        <v>2309</v>
      </c>
      <c r="C10" s="50">
        <f>SUMIF(修正!C71:C138,C8,修正!F71:F138)</f>
        <v>0</v>
      </c>
      <c r="D10" s="50" t="s">
        <v>91</v>
      </c>
      <c r="E10" s="50" t="e">
        <f>ROUND(C11/E7,4)</f>
        <v>#DIV/0!</v>
      </c>
      <c r="F10" s="2068" t="s">
        <v>2310</v>
      </c>
      <c r="G10" s="2069"/>
      <c r="H10" s="2069"/>
      <c r="I10" s="2069"/>
      <c r="J10" s="2070"/>
      <c r="K10" s="2967"/>
      <c r="L10" s="2039" t="s">
        <v>2311</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94"/>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0"/>
      <c r="B11" s="1535" t="s">
        <v>2312</v>
      </c>
      <c r="C11" s="1535">
        <f>C10/4</f>
        <v>0</v>
      </c>
      <c r="D11" s="1535" t="s">
        <v>92</v>
      </c>
      <c r="E11" s="1535" t="e">
        <f>ROUND(C11/E7,4)</f>
        <v>#DIV/0!</v>
      </c>
      <c r="F11" s="2077" t="s">
        <v>2313</v>
      </c>
      <c r="G11" s="2078"/>
      <c r="H11" s="2078"/>
      <c r="I11" s="2078"/>
      <c r="J11" s="2079"/>
      <c r="K11" s="2967"/>
      <c r="L11" s="2039" t="s">
        <v>2314</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94" t="s">
        <v>2315</v>
      </c>
      <c r="X11" s="2080" t="s">
        <v>2316</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9">
        <f>IF(E2="住宅",2,"")</f>
        <v>2</v>
      </c>
      <c r="B12" s="1536" t="s">
        <v>2317</v>
      </c>
      <c r="C12" s="2058">
        <f>ROUND(C15*D15*E15*F15*G15*H15*I15*J15,4)</f>
        <v>1.32</v>
      </c>
      <c r="D12" s="2082" t="s">
        <v>2318</v>
      </c>
      <c r="E12" s="2083"/>
      <c r="F12" s="2083"/>
      <c r="G12" s="2083"/>
      <c r="H12" s="2083"/>
      <c r="I12" s="2083"/>
      <c r="J12" s="2084"/>
      <c r="K12" s="2967"/>
      <c r="L12" s="2085" t="s">
        <v>2319</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94"/>
      <c r="X12" s="2088" t="s">
        <v>2320</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1"/>
      <c r="B13" s="1537" t="s">
        <v>2321</v>
      </c>
      <c r="C13" s="2089" t="s">
        <v>2322</v>
      </c>
      <c r="D13" s="1538" t="s">
        <v>2323</v>
      </c>
      <c r="E13" s="1538" t="s">
        <v>2324</v>
      </c>
      <c r="F13" s="264" t="s">
        <v>2325</v>
      </c>
      <c r="G13" s="2090" t="s">
        <v>2326</v>
      </c>
      <c r="H13" s="2090" t="s">
        <v>2326</v>
      </c>
      <c r="I13" s="2090" t="s">
        <v>2326</v>
      </c>
      <c r="J13" s="2091" t="s">
        <v>2326</v>
      </c>
      <c r="K13" s="2967"/>
      <c r="L13" s="2967"/>
      <c r="M13" s="2967"/>
      <c r="N13" s="2967"/>
      <c r="O13" s="2967"/>
      <c r="P13" s="2967"/>
      <c r="Q13" s="2967"/>
      <c r="R13" s="2031">
        <v>12</v>
      </c>
      <c r="S13" s="2042"/>
      <c r="T13" s="2031">
        <f t="shared" si="1"/>
        <v>0</v>
      </c>
      <c r="U13" s="2042"/>
      <c r="V13" s="2031">
        <f t="shared" si="2"/>
        <v>0</v>
      </c>
      <c r="W13" s="3694"/>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1"/>
      <c r="B14" s="1538"/>
      <c r="C14" s="2092" t="s">
        <v>2327</v>
      </c>
      <c r="D14" s="2093" t="s">
        <v>2328</v>
      </c>
      <c r="E14" s="2093" t="s">
        <v>2328</v>
      </c>
      <c r="F14" s="2094" t="s">
        <v>2329</v>
      </c>
      <c r="G14" s="2095" t="s">
        <v>2330</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02"/>
      <c r="B15" s="1539" t="s">
        <v>2331</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78">
        <f>IF(E2="办公",2,IF(E2="工业",2,IF(E2="住宅",3,IF(E2="商业",IF(C8="不临58条商业街",2,3)))))</f>
        <v>3</v>
      </c>
      <c r="B16" s="1558" t="s">
        <v>2337</v>
      </c>
      <c r="C16" s="1534">
        <f>ROUND(IF(F17="与级别开发程度一致",0,(G17-E17)/C17),0)</f>
        <v>0</v>
      </c>
      <c r="D16" s="3691" t="s">
        <v>2341</v>
      </c>
      <c r="E16" s="3692"/>
      <c r="F16" s="3691" t="s">
        <v>2338</v>
      </c>
      <c r="G16" s="369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79"/>
      <c r="B17" s="1559" t="s">
        <v>2340</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2343</v>
      </c>
      <c r="B18" s="1557" t="s">
        <v>2344</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2345</v>
      </c>
      <c r="B19" s="1540" t="s">
        <v>2346</v>
      </c>
      <c r="C19" s="2116">
        <f>ROUND(IF(H19="按公示增长率计算",SUMPRODUCT((地价!A3:A41=YEAR(G19)&amp;"-"&amp;ROUNDUP(MONTH(G19)/3,0))*(地价!X2:AB2=E2)*(地价!X3:AB41)),IF(H19="地价指数",M20/M19,(1+I19)^O19)),4)</f>
        <v>1.7601</v>
      </c>
      <c r="D19" s="2117" t="s">
        <v>2347</v>
      </c>
      <c r="E19" s="2118">
        <v>41640</v>
      </c>
      <c r="F19" s="2117" t="s">
        <v>2348</v>
      </c>
      <c r="G19" s="2119">
        <f>'数据-取费表'!B2</f>
        <v>44783</v>
      </c>
      <c r="H19" s="2120" t="s">
        <v>2483</v>
      </c>
      <c r="I19" s="2121" t="str">
        <f>IF(H19="季度增幅（自定义）",SUMIF(N21:N24,E2,O21:O24),"")</f>
        <v/>
      </c>
      <c r="J19" s="2122"/>
      <c r="K19" s="2969"/>
      <c r="L19" s="2003" t="s">
        <v>2349</v>
      </c>
      <c r="M19" s="2123">
        <f>ROUND(SUMIF(地价!B2:F2,E2,地价!B41:F41),0)</f>
        <v>423</v>
      </c>
      <c r="N19" s="2124" t="s">
        <v>2350</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2351</v>
      </c>
      <c r="B20" s="1541" t="s">
        <v>2352</v>
      </c>
      <c r="C20" s="2128">
        <f>ROUND(POWER(1+G20,J20-I20)*(POWER(1+G20,I20)-1)/(POWER(1+G20,J20)-1),4)</f>
        <v>0.82730000000000004</v>
      </c>
      <c r="D20" s="2129" t="s">
        <v>2353</v>
      </c>
      <c r="E20" s="3071">
        <f>存贷款利率!E21/100</f>
        <v>4.3499999999999997E-2</v>
      </c>
      <c r="F20" s="2129" t="s">
        <v>2342</v>
      </c>
      <c r="G20" s="3072">
        <f>SUMIF(M26:P26,E2,M28:P28)</f>
        <v>0.05</v>
      </c>
      <c r="H20" s="2129" t="s">
        <v>2354</v>
      </c>
      <c r="I20" s="2130">
        <f>'数据-取费表'!B13</f>
        <v>33</v>
      </c>
      <c r="J20" s="2131">
        <f>IF(E2="住宅",70,IF(E2="商业",40,50))</f>
        <v>70</v>
      </c>
      <c r="K20" s="2969"/>
      <c r="L20" s="2132" t="s">
        <v>2355</v>
      </c>
      <c r="M20" s="2133">
        <f>ROUND(SUMPRODUCT((地价!A4:A41=YEAR(G19)&amp;"-"&amp;ROUNDUP(MONTH(G19)/3,0))*(地价!B2:F2=E2)*(地价!B4:F41)),0)</f>
        <v>744</v>
      </c>
      <c r="N20" s="2134" t="s">
        <v>2356</v>
      </c>
      <c r="O20" s="2135" t="s">
        <v>2357</v>
      </c>
      <c r="P20" s="2136" t="s">
        <v>2358</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2359</v>
      </c>
      <c r="B21" s="1542" t="s">
        <v>2360</v>
      </c>
      <c r="C21" s="2138">
        <f>IF(B21="容积率修正",IF(G3&lt;=10,D22,J22),C23)</f>
        <v>0</v>
      </c>
      <c r="D21" s="2139"/>
      <c r="E21" s="2139"/>
      <c r="F21" s="2139"/>
      <c r="G21" s="2139"/>
      <c r="H21" s="2139"/>
      <c r="I21" s="2139"/>
      <c r="J21" s="2004"/>
      <c r="K21" s="2969"/>
      <c r="L21" s="2969"/>
      <c r="M21" s="2969"/>
      <c r="N21" s="2140" t="s">
        <v>2361</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2362</v>
      </c>
      <c r="C22" s="1999" t="s">
        <v>2363</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2364</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2365</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2366</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2367</v>
      </c>
      <c r="B24" s="1544" t="s">
        <v>2368</v>
      </c>
      <c r="C24" s="2148">
        <f>SUMIF(A46:A88,E2,B46:B88)</f>
        <v>1</v>
      </c>
      <c r="D24" s="2149"/>
      <c r="E24" s="2150"/>
      <c r="F24" s="2150"/>
      <c r="G24" s="2150"/>
      <c r="H24" s="2150"/>
      <c r="I24" s="2150"/>
      <c r="J24" s="2151"/>
      <c r="K24" s="2969"/>
      <c r="L24" s="2969"/>
      <c r="M24" s="2969"/>
      <c r="N24" s="2152" t="s">
        <v>2369</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2370</v>
      </c>
      <c r="B25" s="1545" t="s">
        <v>2371</v>
      </c>
      <c r="C25" s="2155"/>
      <c r="D25" s="2061"/>
      <c r="E25" s="2061"/>
      <c r="F25" s="2156"/>
      <c r="G25" s="2061"/>
      <c r="H25" s="2061"/>
      <c r="I25" s="2061"/>
      <c r="J25" s="2062"/>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2373</v>
      </c>
      <c r="C26" s="2807" t="e">
        <f>IF(B21="容积率修正",E29+SUM(E33:E39),SUM(V2:V16)+SUM(E33:E39))</f>
        <v>#REF!</v>
      </c>
      <c r="D26" s="2157"/>
      <c r="E26" s="2096"/>
      <c r="F26" s="1405"/>
      <c r="G26" s="2096"/>
      <c r="H26" s="2096"/>
      <c r="I26" s="2096"/>
      <c r="J26" s="2158"/>
      <c r="K26" s="2967"/>
      <c r="L26" s="2973" t="s">
        <v>2332</v>
      </c>
      <c r="M26" s="2059" t="s">
        <v>2333</v>
      </c>
      <c r="N26" s="2059" t="s">
        <v>2334</v>
      </c>
      <c r="O26" s="2059" t="s">
        <v>2335</v>
      </c>
      <c r="P26" s="2974" t="s">
        <v>2336</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2374</v>
      </c>
      <c r="C27" s="2159" t="e">
        <f>E30+SUM(I33:I39)</f>
        <v>#REF!</v>
      </c>
      <c r="D27" s="2108"/>
      <c r="E27" s="2160"/>
      <c r="F27" s="2161"/>
      <c r="G27" s="2160"/>
      <c r="H27" s="2160"/>
      <c r="I27" s="2160"/>
      <c r="J27" s="2162"/>
      <c r="K27" s="2967"/>
      <c r="L27" s="2163" t="s">
        <v>2339</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2375</v>
      </c>
      <c r="C28" s="2166" t="s">
        <v>2376</v>
      </c>
      <c r="D28" s="2166" t="s">
        <v>2377</v>
      </c>
      <c r="E28" s="1545" t="s">
        <v>2378</v>
      </c>
      <c r="F28" s="2167"/>
      <c r="G28" s="2083"/>
      <c r="H28" s="2083"/>
      <c r="I28" s="2083"/>
      <c r="J28" s="2084"/>
      <c r="K28" s="2967"/>
      <c r="L28" s="2168" t="s">
        <v>2342</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2379</v>
      </c>
      <c r="C29" s="54">
        <f>ROUND(C5*C18*C19*C20*C21*C24,0)</f>
        <v>0</v>
      </c>
      <c r="D29" s="2171">
        <f>项目基本情况!C12</f>
        <v>2380.7600000000002</v>
      </c>
      <c r="E29" s="1958">
        <f>ROUND(C29*D29,0)</f>
        <v>0</v>
      </c>
      <c r="F29" s="2172" t="s">
        <v>2380</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2381</v>
      </c>
      <c r="C30" s="2099">
        <f>ROUND(IF(E2="工业",C29*M39,C29*M38),0)</f>
        <v>0</v>
      </c>
      <c r="D30" s="2176"/>
      <c r="E30" s="1958">
        <f>ROUND(C30*D30,0)</f>
        <v>0</v>
      </c>
      <c r="F30" s="2177" t="s">
        <v>2382</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2383</v>
      </c>
      <c r="C31" s="2181" t="s">
        <v>2384</v>
      </c>
      <c r="D31" s="2083"/>
      <c r="E31" s="2181"/>
      <c r="F31" s="2181"/>
      <c r="G31" s="2082" t="s">
        <v>2385</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2376</v>
      </c>
      <c r="D32" s="1735" t="s">
        <v>2377</v>
      </c>
      <c r="E32" s="1735" t="s">
        <v>2378</v>
      </c>
      <c r="F32" s="50" t="s">
        <v>2386</v>
      </c>
      <c r="G32" s="2144" t="s">
        <v>2376</v>
      </c>
      <c r="H32" s="2144" t="s">
        <v>2377</v>
      </c>
      <c r="I32" s="2144" t="s">
        <v>2378</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88" t="s">
        <v>2387</v>
      </c>
      <c r="B33" s="2184" t="s">
        <v>2388</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89"/>
      <c r="B34" s="2089" t="s">
        <v>2389</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89"/>
      <c r="B35" s="2089" t="s">
        <v>2390</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0"/>
      <c r="B36" s="2089" t="s">
        <v>2391</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2392</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2393</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2394</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2395</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2396</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2336</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2475</v>
      </c>
      <c r="C41" s="50">
        <f>ROUND(POWER(1+E41,H41-G41)*(POWER(1+E41,G41)-1)/(POWER(1+E41,H41)-1),4)</f>
        <v>0</v>
      </c>
      <c r="D41" s="50" t="s">
        <v>2473</v>
      </c>
      <c r="E41" s="2194">
        <f>G20</f>
        <v>0.05</v>
      </c>
      <c r="F41" s="50" t="s">
        <v>2474</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2397</v>
      </c>
      <c r="B45" s="2197"/>
      <c r="C45" s="607"/>
      <c r="D45" s="607"/>
      <c r="E45" s="607"/>
      <c r="F45" s="607"/>
      <c r="G45" s="607"/>
      <c r="H45" s="607"/>
      <c r="I45" s="607"/>
      <c r="J45" s="607"/>
      <c r="K45" s="607"/>
      <c r="L45" s="607"/>
      <c r="M45" s="607"/>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2398</v>
      </c>
      <c r="B46" s="2199">
        <f>1+E48</f>
        <v>1</v>
      </c>
      <c r="C46" s="2200"/>
      <c r="D46" s="2201"/>
      <c r="E46" s="2202"/>
      <c r="F46" s="2203"/>
      <c r="G46" s="607"/>
      <c r="H46" s="607"/>
      <c r="I46" s="607"/>
      <c r="J46" s="607"/>
      <c r="K46" s="607"/>
      <c r="L46" s="607"/>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2399</v>
      </c>
      <c r="B47" s="2206" t="s">
        <v>2400</v>
      </c>
      <c r="C47" s="2206" t="s">
        <v>2401</v>
      </c>
      <c r="D47" s="2206" t="s">
        <v>2402</v>
      </c>
      <c r="E47" s="2207" t="s">
        <v>2403</v>
      </c>
      <c r="F47" s="2157" t="s">
        <v>2404</v>
      </c>
      <c r="G47" s="2206" t="s">
        <v>2405</v>
      </c>
      <c r="H47" s="2208" t="s">
        <v>2406</v>
      </c>
      <c r="I47" s="2206" t="s">
        <v>2407</v>
      </c>
      <c r="J47" s="1833" t="s">
        <v>2408</v>
      </c>
      <c r="K47" s="1833" t="s">
        <v>2409</v>
      </c>
      <c r="L47" s="1833" t="s">
        <v>2410</v>
      </c>
      <c r="M47" s="1833" t="s">
        <v>2411</v>
      </c>
      <c r="N47" s="1833" t="s">
        <v>2412</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2413</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2414</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2415</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2416</v>
      </c>
      <c r="B51" s="2219" t="s">
        <v>2417</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2418</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2419</v>
      </c>
      <c r="B53" s="2220" t="s">
        <v>2420</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2421</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2422</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2423</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2424</v>
      </c>
      <c r="B57" s="2227">
        <f>1+E59</f>
        <v>1</v>
      </c>
      <c r="C57" s="2201"/>
      <c r="D57" s="2201"/>
      <c r="E57" s="2202"/>
      <c r="F57" s="2203"/>
      <c r="G57" s="607"/>
      <c r="H57" s="607"/>
      <c r="I57" s="607"/>
      <c r="J57" s="607"/>
      <c r="K57" s="607"/>
      <c r="L57" s="607"/>
      <c r="M57" s="607"/>
      <c r="N57" s="607"/>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2399</v>
      </c>
      <c r="B58" s="2217"/>
      <c r="C58" s="2206" t="s">
        <v>2401</v>
      </c>
      <c r="D58" s="2206" t="s">
        <v>2402</v>
      </c>
      <c r="E58" s="2207" t="s">
        <v>2403</v>
      </c>
      <c r="F58" s="2157" t="s">
        <v>2404</v>
      </c>
      <c r="G58" s="2206" t="s">
        <v>2425</v>
      </c>
      <c r="H58" s="2208" t="s">
        <v>2426</v>
      </c>
      <c r="I58" s="2206" t="s">
        <v>2427</v>
      </c>
      <c r="J58" s="1833" t="s">
        <v>2068</v>
      </c>
      <c r="K58" s="1833" t="s">
        <v>2069</v>
      </c>
      <c r="L58" s="1833" t="s">
        <v>2070</v>
      </c>
      <c r="M58" s="1833" t="s">
        <v>2071</v>
      </c>
      <c r="N58" s="1833" t="s">
        <v>2072</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2428</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2414</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2415</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2416</v>
      </c>
      <c r="B62" s="2219" t="s">
        <v>2417</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2418</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2419</v>
      </c>
      <c r="B64" s="2220" t="s">
        <v>2420</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2421</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2422</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2423</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2429</v>
      </c>
      <c r="B68" s="2227">
        <f>1+E70</f>
        <v>1</v>
      </c>
      <c r="C68" s="2201"/>
      <c r="D68" s="2201"/>
      <c r="E68" s="2202"/>
      <c r="F68" s="2203"/>
      <c r="G68" s="607"/>
      <c r="H68" s="607"/>
      <c r="I68" s="607"/>
      <c r="J68" s="607"/>
      <c r="K68" s="607"/>
      <c r="L68" s="607"/>
      <c r="M68" s="607"/>
      <c r="N68" s="607"/>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2399</v>
      </c>
      <c r="B69" s="2217"/>
      <c r="C69" s="2206" t="s">
        <v>2401</v>
      </c>
      <c r="D69" s="2206" t="s">
        <v>2402</v>
      </c>
      <c r="E69" s="2207" t="s">
        <v>2403</v>
      </c>
      <c r="F69" s="2157" t="s">
        <v>2404</v>
      </c>
      <c r="G69" s="2206" t="s">
        <v>2425</v>
      </c>
      <c r="H69" s="2208" t="s">
        <v>2426</v>
      </c>
      <c r="I69" s="2206" t="s">
        <v>2427</v>
      </c>
      <c r="J69" s="1833" t="s">
        <v>2068</v>
      </c>
      <c r="K69" s="1833" t="s">
        <v>2069</v>
      </c>
      <c r="L69" s="1833" t="s">
        <v>2070</v>
      </c>
      <c r="M69" s="1833" t="s">
        <v>2071</v>
      </c>
      <c r="N69" s="1833" t="s">
        <v>2072</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2430</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2414</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2415</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2431</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2421</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2422</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2419</v>
      </c>
      <c r="B76" s="2220" t="s">
        <v>2420</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2423</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2432</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2433</v>
      </c>
      <c r="B79" s="2227">
        <f>1+E81</f>
        <v>1</v>
      </c>
      <c r="C79" s="2201"/>
      <c r="D79" s="2201"/>
      <c r="E79" s="2202"/>
      <c r="F79" s="2203"/>
      <c r="G79" s="607"/>
      <c r="H79" s="607"/>
      <c r="I79" s="607"/>
      <c r="J79" s="607"/>
      <c r="K79" s="607"/>
      <c r="L79" s="607"/>
      <c r="M79" s="607"/>
      <c r="N79" s="607"/>
      <c r="Q79" s="2975"/>
      <c r="R79" s="2975"/>
      <c r="S79" s="2975"/>
      <c r="T79" s="2975"/>
      <c r="U79" s="2975"/>
      <c r="V79" s="2975"/>
      <c r="W79" s="2975"/>
      <c r="AA79" s="1551"/>
      <c r="AG79" s="2192"/>
    </row>
    <row r="80" spans="1:33" ht="24.75">
      <c r="A80" s="2205" t="s">
        <v>2399</v>
      </c>
      <c r="B80" s="2217"/>
      <c r="C80" s="2206" t="s">
        <v>2401</v>
      </c>
      <c r="D80" s="2206" t="s">
        <v>2402</v>
      </c>
      <c r="E80" s="2207" t="s">
        <v>2403</v>
      </c>
      <c r="F80" s="2157" t="s">
        <v>2404</v>
      </c>
      <c r="G80" s="2206" t="s">
        <v>2425</v>
      </c>
      <c r="H80" s="2208" t="s">
        <v>2426</v>
      </c>
      <c r="I80" s="2206" t="s">
        <v>2427</v>
      </c>
      <c r="J80" s="1833" t="s">
        <v>2068</v>
      </c>
      <c r="K80" s="1833" t="s">
        <v>2069</v>
      </c>
      <c r="L80" s="1833" t="s">
        <v>2070</v>
      </c>
      <c r="M80" s="1833" t="s">
        <v>2071</v>
      </c>
      <c r="N80" s="1833" t="s">
        <v>2072</v>
      </c>
      <c r="Q80" s="2975"/>
      <c r="R80" s="2975"/>
      <c r="S80" s="2975"/>
      <c r="T80" s="2975"/>
      <c r="U80" s="2975"/>
      <c r="V80" s="2975"/>
      <c r="W80" s="2975"/>
      <c r="AA80" s="1551"/>
      <c r="AG80" s="2192"/>
    </row>
    <row r="81" spans="1:33" ht="38.25">
      <c r="A81" s="2205" t="s">
        <v>2434</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2414</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2415</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2431</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2421</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2422</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2419</v>
      </c>
      <c r="B87" s="2220" t="s">
        <v>2420</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2435</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0" t="s">
        <v>2436</v>
      </c>
      <c r="B90" s="3680"/>
      <c r="C90" s="3680"/>
      <c r="D90" s="3680"/>
      <c r="E90" s="3680"/>
      <c r="F90" s="3680"/>
      <c r="G90" s="3680"/>
      <c r="H90" s="3680"/>
      <c r="I90" s="3680"/>
      <c r="J90" s="3680"/>
      <c r="K90" s="2233"/>
      <c r="L90" s="2233"/>
      <c r="M90" s="2233"/>
      <c r="N90" s="2233"/>
      <c r="Q90" s="2975"/>
      <c r="R90" s="2975"/>
      <c r="S90" s="2975"/>
      <c r="T90" s="2975"/>
      <c r="U90" s="2975"/>
      <c r="V90" s="2975"/>
      <c r="W90" s="2975"/>
    </row>
    <row r="91" spans="1:33">
      <c r="A91" s="3682" t="s">
        <v>2437</v>
      </c>
      <c r="B91" s="3682" t="s">
        <v>2438</v>
      </c>
      <c r="C91" s="2172" t="s">
        <v>2439</v>
      </c>
      <c r="D91" s="2173"/>
      <c r="E91" s="2173"/>
      <c r="F91" s="2173"/>
      <c r="G91" s="2173"/>
      <c r="H91" s="2173"/>
      <c r="I91" s="2173"/>
      <c r="J91" s="2235"/>
      <c r="K91" s="1995"/>
      <c r="L91" s="1995"/>
      <c r="M91" s="1995"/>
      <c r="N91" s="1995"/>
      <c r="Q91" s="2975"/>
      <c r="R91" s="2975"/>
      <c r="S91" s="2975"/>
      <c r="T91" s="2975"/>
      <c r="U91" s="2975"/>
      <c r="V91" s="2975"/>
      <c r="W91" s="2975"/>
    </row>
    <row r="92" spans="1:33">
      <c r="A92" s="3682"/>
      <c r="B92" s="3682"/>
      <c r="C92" s="1958" t="s">
        <v>2292</v>
      </c>
      <c r="D92" s="1958" t="s">
        <v>2293</v>
      </c>
      <c r="E92" s="1958" t="s">
        <v>2294</v>
      </c>
      <c r="F92" s="1958" t="s">
        <v>2295</v>
      </c>
      <c r="G92" s="1958" t="s">
        <v>2296</v>
      </c>
      <c r="H92" s="1958" t="s">
        <v>2297</v>
      </c>
      <c r="I92" s="1958" t="s">
        <v>2298</v>
      </c>
      <c r="J92" s="1958" t="s">
        <v>2299</v>
      </c>
      <c r="K92" s="1958" t="s">
        <v>2300</v>
      </c>
      <c r="L92" s="1958" t="s">
        <v>2301</v>
      </c>
      <c r="M92" s="1958" t="s">
        <v>2302</v>
      </c>
      <c r="N92" s="1958" t="s">
        <v>2303</v>
      </c>
      <c r="Q92" s="2975"/>
      <c r="R92" s="2975"/>
      <c r="S92" s="2975"/>
      <c r="T92" s="2975"/>
      <c r="U92" s="2975"/>
      <c r="V92" s="2975"/>
      <c r="W92" s="2975"/>
    </row>
    <row r="93" spans="1:33">
      <c r="A93" s="3683" t="s">
        <v>2440</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8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8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8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8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8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84"/>
      <c r="B99" s="2236" t="s">
        <v>2308</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8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83" t="s">
        <v>2441</v>
      </c>
      <c r="B101" s="2240" t="s">
        <v>2442</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8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8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8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8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8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8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84"/>
      <c r="B108" s="3686" t="s">
        <v>2443</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85"/>
      <c r="B109" s="368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1" t="s">
        <v>2444</v>
      </c>
      <c r="B110" s="3681"/>
      <c r="C110" s="3681"/>
      <c r="D110" s="3681"/>
      <c r="E110" s="3681"/>
      <c r="F110" s="3681"/>
      <c r="G110" s="3681"/>
      <c r="H110" s="3681"/>
      <c r="I110" s="3681"/>
      <c r="J110" s="3681"/>
      <c r="K110" s="2007"/>
      <c r="L110" s="2007"/>
      <c r="M110" s="2007"/>
      <c r="N110" s="2007"/>
      <c r="Q110" s="2975"/>
      <c r="R110" s="2975"/>
      <c r="S110" s="2975"/>
      <c r="T110" s="2975"/>
      <c r="U110" s="2975"/>
      <c r="V110" s="2975"/>
      <c r="W110" s="2975"/>
    </row>
    <row r="112" spans="1:23" ht="13.5" thickBot="1"/>
    <row r="113" spans="1:13" ht="25.5" thickBot="1">
      <c r="A113" s="2242" t="s">
        <v>2445</v>
      </c>
      <c r="B113" s="2243">
        <f>G3</f>
        <v>0</v>
      </c>
      <c r="C113" s="2244" t="s">
        <v>2446</v>
      </c>
      <c r="D113" s="2245">
        <f>SUMPRODUCT((A115:A118=F113)*(B114:M114=H113)*B115:M118)</f>
        <v>0</v>
      </c>
      <c r="E113" s="1529" t="s">
        <v>2332</v>
      </c>
      <c r="F113" s="2246" t="str">
        <f>E2</f>
        <v>住宅</v>
      </c>
      <c r="G113" s="1529" t="s">
        <v>2266</v>
      </c>
      <c r="H113" s="2246">
        <f>G2</f>
        <v>0</v>
      </c>
      <c r="I113" s="1529"/>
      <c r="J113" s="2247"/>
      <c r="K113" s="2247"/>
      <c r="L113" s="2247"/>
      <c r="M113" s="2247"/>
    </row>
    <row r="114" spans="1:13">
      <c r="A114" s="2248"/>
      <c r="B114" s="2249" t="s">
        <v>2447</v>
      </c>
      <c r="C114" s="2249" t="s">
        <v>2448</v>
      </c>
      <c r="D114" s="2249" t="s">
        <v>2449</v>
      </c>
      <c r="E114" s="2250" t="s">
        <v>2450</v>
      </c>
      <c r="F114" s="2250" t="s">
        <v>2451</v>
      </c>
      <c r="G114" s="2250" t="s">
        <v>2452</v>
      </c>
      <c r="H114" s="2251" t="s">
        <v>2453</v>
      </c>
      <c r="I114" s="2251" t="s">
        <v>2454</v>
      </c>
      <c r="J114" s="2252" t="s">
        <v>2455</v>
      </c>
      <c r="K114" s="2252" t="s">
        <v>2456</v>
      </c>
      <c r="L114" s="2252" t="s">
        <v>2457</v>
      </c>
      <c r="M114" s="2253" t="s">
        <v>2458</v>
      </c>
    </row>
    <row r="115" spans="1:13">
      <c r="A115" s="2254" t="s">
        <v>2333</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2334</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2335</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2336</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03" t="s">
        <v>597</v>
      </c>
      <c r="B1" s="3703"/>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03" t="s">
        <v>105</v>
      </c>
      <c r="B1" s="3703"/>
      <c r="C1" s="3703"/>
      <c r="D1" s="3703"/>
      <c r="E1" s="3703"/>
      <c r="F1" s="3703"/>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04" t="s">
        <v>118</v>
      </c>
      <c r="B2" s="3704"/>
      <c r="C2" s="3704"/>
      <c r="D2" s="3704"/>
      <c r="E2" s="3704"/>
      <c r="F2" s="3704"/>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05"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06"/>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11" t="s">
        <v>2802</v>
      </c>
      <c r="B20" s="3714" t="s">
        <v>2810</v>
      </c>
      <c r="C20" s="3289" t="s">
        <v>2811</v>
      </c>
      <c r="D20" s="3290"/>
      <c r="E20" s="3291">
        <v>1</v>
      </c>
      <c r="F20" s="3292" t="s">
        <v>2812</v>
      </c>
      <c r="G20" s="3292"/>
    </row>
    <row r="21" spans="1:13" ht="19.5" customHeight="1">
      <c r="A21" s="3712"/>
      <c r="B21" s="3710"/>
      <c r="C21" s="739" t="s">
        <v>2813</v>
      </c>
      <c r="D21" s="740"/>
      <c r="E21" s="3293">
        <v>1</v>
      </c>
      <c r="F21" s="3292" t="s">
        <v>2814</v>
      </c>
      <c r="G21" s="3292"/>
    </row>
    <row r="22" spans="1:13" ht="19.5" customHeight="1">
      <c r="A22" s="3712"/>
      <c r="B22" s="3710"/>
      <c r="C22" s="739" t="s">
        <v>2815</v>
      </c>
      <c r="D22" s="740"/>
      <c r="E22" s="3293">
        <v>0.9</v>
      </c>
      <c r="F22" s="3292" t="s">
        <v>2816</v>
      </c>
      <c r="G22" s="3292"/>
    </row>
    <row r="23" spans="1:13" ht="19.5" customHeight="1">
      <c r="A23" s="3712"/>
      <c r="B23" s="3710"/>
      <c r="C23" s="739" t="s">
        <v>2817</v>
      </c>
      <c r="D23" s="740"/>
      <c r="E23" s="3293">
        <v>0.9</v>
      </c>
      <c r="F23" s="3292" t="s">
        <v>2818</v>
      </c>
      <c r="G23" s="3292"/>
    </row>
    <row r="24" spans="1:13" ht="19.5" customHeight="1">
      <c r="A24" s="3712"/>
      <c r="B24" s="3710"/>
      <c r="C24" s="739" t="s">
        <v>2819</v>
      </c>
      <c r="D24" s="740"/>
      <c r="E24" s="3293">
        <v>0.8</v>
      </c>
      <c r="F24" s="3292" t="s">
        <v>2820</v>
      </c>
      <c r="G24" s="3292"/>
    </row>
    <row r="25" spans="1:13" ht="19.5" customHeight="1" thickBot="1">
      <c r="A25" s="3713"/>
      <c r="B25" s="3715"/>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16" t="s">
        <v>2807</v>
      </c>
      <c r="B27" s="3714" t="s">
        <v>2807</v>
      </c>
      <c r="C27" s="3289" t="s">
        <v>2824</v>
      </c>
      <c r="D27" s="3290"/>
      <c r="E27" s="3291">
        <v>1</v>
      </c>
      <c r="F27" s="3292" t="s">
        <v>2865</v>
      </c>
      <c r="G27" s="3292"/>
    </row>
    <row r="28" spans="1:13" ht="19.5" customHeight="1">
      <c r="A28" s="3717"/>
      <c r="B28" s="3710"/>
      <c r="C28" s="739" t="s">
        <v>2825</v>
      </c>
      <c r="D28" s="740"/>
      <c r="E28" s="3293">
        <v>1</v>
      </c>
      <c r="F28" s="3292" t="s">
        <v>2866</v>
      </c>
      <c r="G28" s="3292"/>
    </row>
    <row r="29" spans="1:13" ht="19.5" customHeight="1">
      <c r="A29" s="3717"/>
      <c r="B29" s="3710"/>
      <c r="C29" s="739" t="s">
        <v>2826</v>
      </c>
      <c r="D29" s="740"/>
      <c r="E29" s="3293">
        <v>0.8</v>
      </c>
      <c r="F29" s="3292" t="s">
        <v>2867</v>
      </c>
      <c r="G29" s="3292"/>
    </row>
    <row r="30" spans="1:13" ht="19.5" customHeight="1">
      <c r="A30" s="3717"/>
      <c r="B30" s="3710"/>
      <c r="C30" s="739" t="s">
        <v>2827</v>
      </c>
      <c r="D30" s="740"/>
      <c r="E30" s="3293">
        <v>0.8</v>
      </c>
      <c r="F30" s="3292" t="s">
        <v>2868</v>
      </c>
      <c r="G30" s="3292"/>
    </row>
    <row r="31" spans="1:13" ht="19.5" customHeight="1">
      <c r="A31" s="3717"/>
      <c r="B31" s="3710"/>
      <c r="C31" s="739" t="s">
        <v>2828</v>
      </c>
      <c r="D31" s="740"/>
      <c r="E31" s="3293">
        <v>0.8</v>
      </c>
      <c r="F31" s="3292" t="s">
        <v>2869</v>
      </c>
      <c r="G31" s="3292"/>
    </row>
    <row r="32" spans="1:13" ht="19.5" customHeight="1">
      <c r="A32" s="3717"/>
      <c r="B32" s="3710"/>
      <c r="C32" s="739" t="s">
        <v>2829</v>
      </c>
      <c r="D32" s="740"/>
      <c r="E32" s="3293">
        <v>0.7</v>
      </c>
      <c r="F32" s="3292" t="s">
        <v>2870</v>
      </c>
      <c r="G32" s="3292"/>
    </row>
    <row r="33" spans="1:7" ht="19.5" customHeight="1">
      <c r="A33" s="3717"/>
      <c r="B33" s="3710"/>
      <c r="C33" s="739" t="s">
        <v>2830</v>
      </c>
      <c r="D33" s="740"/>
      <c r="E33" s="3293">
        <v>0.8</v>
      </c>
      <c r="F33" s="3292" t="s">
        <v>2871</v>
      </c>
      <c r="G33" s="3292"/>
    </row>
    <row r="34" spans="1:7" ht="19.5" customHeight="1">
      <c r="A34" s="3717"/>
      <c r="B34" s="3710"/>
      <c r="C34" s="739" t="s">
        <v>2831</v>
      </c>
      <c r="D34" s="740"/>
      <c r="E34" s="3293">
        <v>0.6</v>
      </c>
      <c r="F34" s="3292" t="s">
        <v>2872</v>
      </c>
      <c r="G34" s="3292"/>
    </row>
    <row r="35" spans="1:7" ht="19.5" customHeight="1">
      <c r="A35" s="3717"/>
      <c r="B35" s="3710"/>
      <c r="C35" s="739" t="s">
        <v>2832</v>
      </c>
      <c r="D35" s="740"/>
      <c r="E35" s="3293">
        <v>0.2</v>
      </c>
      <c r="F35" s="3292" t="s">
        <v>2873</v>
      </c>
      <c r="G35" s="3292"/>
    </row>
    <row r="36" spans="1:7" ht="19.5" customHeight="1">
      <c r="A36" s="3717"/>
      <c r="B36" s="3710"/>
      <c r="C36" s="739" t="s">
        <v>2833</v>
      </c>
      <c r="D36" s="740"/>
      <c r="E36" s="3293">
        <v>0.2</v>
      </c>
      <c r="F36" s="3292" t="s">
        <v>2874</v>
      </c>
      <c r="G36" s="3292"/>
    </row>
    <row r="37" spans="1:7" ht="19.5" customHeight="1">
      <c r="A37" s="3717"/>
      <c r="B37" s="3708" t="s">
        <v>2834</v>
      </c>
      <c r="C37" s="739" t="s">
        <v>2835</v>
      </c>
      <c r="D37" s="740"/>
      <c r="E37" s="3293">
        <v>0.6</v>
      </c>
      <c r="F37" s="3292" t="s">
        <v>2875</v>
      </c>
      <c r="G37" s="3292"/>
    </row>
    <row r="38" spans="1:7" ht="19.5" customHeight="1">
      <c r="A38" s="3717"/>
      <c r="B38" s="3710"/>
      <c r="C38" s="739" t="s">
        <v>2836</v>
      </c>
      <c r="D38" s="740"/>
      <c r="E38" s="3293">
        <v>0.6</v>
      </c>
      <c r="F38" s="3292" t="s">
        <v>2876</v>
      </c>
      <c r="G38" s="3292"/>
    </row>
    <row r="39" spans="1:7" ht="19.5" customHeight="1" thickBot="1">
      <c r="A39" s="3718"/>
      <c r="B39" s="3715"/>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11" t="s">
        <v>2840</v>
      </c>
      <c r="B41" s="3714" t="s">
        <v>2841</v>
      </c>
      <c r="C41" s="3289" t="s">
        <v>2842</v>
      </c>
      <c r="D41" s="3290"/>
      <c r="E41" s="3291">
        <v>1</v>
      </c>
      <c r="F41" s="3292" t="s">
        <v>2843</v>
      </c>
      <c r="G41" s="3292"/>
    </row>
    <row r="42" spans="1:7" ht="19.5" customHeight="1">
      <c r="A42" s="3712"/>
      <c r="B42" s="3710"/>
      <c r="C42" s="739" t="s">
        <v>2844</v>
      </c>
      <c r="D42" s="740"/>
      <c r="E42" s="3293">
        <v>1</v>
      </c>
      <c r="F42" s="3292" t="s">
        <v>2845</v>
      </c>
      <c r="G42" s="3292"/>
    </row>
    <row r="43" spans="1:7" ht="19.5" customHeight="1">
      <c r="A43" s="3712"/>
      <c r="B43" s="3709"/>
      <c r="C43" s="739" t="s">
        <v>2846</v>
      </c>
      <c r="D43" s="740"/>
      <c r="E43" s="3293">
        <v>1.5</v>
      </c>
      <c r="F43" s="3292" t="s">
        <v>2847</v>
      </c>
      <c r="G43" s="3292"/>
    </row>
    <row r="44" spans="1:7" ht="19.5" customHeight="1">
      <c r="A44" s="3712"/>
      <c r="B44" s="3302" t="s">
        <v>2807</v>
      </c>
      <c r="C44" s="739" t="s">
        <v>2806</v>
      </c>
      <c r="D44" s="740"/>
      <c r="E44" s="3293">
        <v>2</v>
      </c>
      <c r="F44" s="3292" t="s">
        <v>2848</v>
      </c>
      <c r="G44" s="3292"/>
    </row>
    <row r="45" spans="1:7" ht="19.5" customHeight="1">
      <c r="A45" s="3712"/>
      <c r="B45" s="3708" t="s">
        <v>2849</v>
      </c>
      <c r="C45" s="739" t="s">
        <v>2850</v>
      </c>
      <c r="D45" s="740"/>
      <c r="E45" s="3293">
        <v>1</v>
      </c>
      <c r="F45" s="3292" t="s">
        <v>2851</v>
      </c>
      <c r="G45" s="3292"/>
    </row>
    <row r="46" spans="1:7" ht="19.5" customHeight="1">
      <c r="A46" s="3712"/>
      <c r="B46" s="3710"/>
      <c r="C46" s="739" t="s">
        <v>2852</v>
      </c>
      <c r="D46" s="740"/>
      <c r="E46" s="3293">
        <v>1</v>
      </c>
      <c r="F46" s="3292" t="s">
        <v>2853</v>
      </c>
      <c r="G46" s="3292"/>
    </row>
    <row r="47" spans="1:7" ht="19.5" customHeight="1">
      <c r="A47" s="3712"/>
      <c r="B47" s="3710"/>
      <c r="C47" s="739" t="s">
        <v>2854</v>
      </c>
      <c r="D47" s="740"/>
      <c r="E47" s="3293">
        <v>1</v>
      </c>
      <c r="F47" s="3292" t="s">
        <v>2855</v>
      </c>
      <c r="G47" s="3292"/>
    </row>
    <row r="48" spans="1:7" ht="19.5" customHeight="1">
      <c r="A48" s="3712"/>
      <c r="B48" s="3710"/>
      <c r="C48" s="739" t="s">
        <v>2856</v>
      </c>
      <c r="D48" s="740"/>
      <c r="E48" s="3293">
        <v>1</v>
      </c>
      <c r="F48" s="3292" t="s">
        <v>2857</v>
      </c>
      <c r="G48" s="3292"/>
    </row>
    <row r="49" spans="1:7" ht="19.5" customHeight="1">
      <c r="A49" s="3712"/>
      <c r="B49" s="3710"/>
      <c r="C49" s="739" t="s">
        <v>2858</v>
      </c>
      <c r="D49" s="740"/>
      <c r="E49" s="3293">
        <v>1</v>
      </c>
      <c r="F49" s="3292" t="s">
        <v>2859</v>
      </c>
      <c r="G49" s="3292"/>
    </row>
    <row r="50" spans="1:7" ht="19.5" customHeight="1">
      <c r="A50" s="3712"/>
      <c r="B50" s="3710"/>
      <c r="C50" s="739" t="s">
        <v>2860</v>
      </c>
      <c r="D50" s="740"/>
      <c r="E50" s="3293">
        <v>1</v>
      </c>
      <c r="F50" s="3292" t="s">
        <v>2861</v>
      </c>
      <c r="G50" s="3292"/>
    </row>
    <row r="51" spans="1:7" ht="19.5" customHeight="1" thickBot="1">
      <c r="A51" s="3713"/>
      <c r="B51" s="3715"/>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08" t="s">
        <v>2880</v>
      </c>
      <c r="C73" s="3283" t="s">
        <v>2881</v>
      </c>
      <c r="D73" s="3283" t="s">
        <v>2882</v>
      </c>
      <c r="E73" s="3308">
        <v>0.2</v>
      </c>
      <c r="F73" s="3302">
        <v>25</v>
      </c>
    </row>
    <row r="74" spans="1:7" ht="24">
      <c r="A74" s="3302">
        <v>2</v>
      </c>
      <c r="B74" s="3710"/>
      <c r="C74" s="3283" t="s">
        <v>2883</v>
      </c>
      <c r="D74" s="3283" t="s">
        <v>2884</v>
      </c>
      <c r="E74" s="3308">
        <v>0.2</v>
      </c>
      <c r="F74" s="3302">
        <v>25</v>
      </c>
    </row>
    <row r="75" spans="1:7" ht="24">
      <c r="A75" s="3302">
        <v>3</v>
      </c>
      <c r="B75" s="3710"/>
      <c r="C75" s="3283" t="s">
        <v>2885</v>
      </c>
      <c r="D75" s="3283" t="s">
        <v>2886</v>
      </c>
      <c r="E75" s="3308">
        <v>0.2</v>
      </c>
      <c r="F75" s="3302">
        <v>25</v>
      </c>
    </row>
    <row r="76" spans="1:7" ht="13.5">
      <c r="A76" s="3302">
        <v>4</v>
      </c>
      <c r="B76" s="3710"/>
      <c r="C76" s="3283" t="s">
        <v>2887</v>
      </c>
      <c r="D76" s="3283" t="s">
        <v>2888</v>
      </c>
      <c r="E76" s="3308">
        <v>0.15</v>
      </c>
      <c r="F76" s="3302">
        <v>20</v>
      </c>
    </row>
    <row r="77" spans="1:7" ht="24">
      <c r="A77" s="3302">
        <v>5</v>
      </c>
      <c r="B77" s="3710"/>
      <c r="C77" s="3283" t="s">
        <v>2889</v>
      </c>
      <c r="D77" s="3283" t="s">
        <v>2890</v>
      </c>
      <c r="E77" s="3308">
        <v>0.15</v>
      </c>
      <c r="F77" s="3302">
        <v>20</v>
      </c>
    </row>
    <row r="78" spans="1:7" ht="24">
      <c r="A78" s="3302">
        <v>6</v>
      </c>
      <c r="B78" s="3710"/>
      <c r="C78" s="3283" t="s">
        <v>2891</v>
      </c>
      <c r="D78" s="3283" t="s">
        <v>2892</v>
      </c>
      <c r="E78" s="3308">
        <v>0.15</v>
      </c>
      <c r="F78" s="3302">
        <v>20</v>
      </c>
    </row>
    <row r="79" spans="1:7" ht="24">
      <c r="A79" s="3302">
        <v>7</v>
      </c>
      <c r="B79" s="3710"/>
      <c r="C79" s="3283" t="s">
        <v>2893</v>
      </c>
      <c r="D79" s="3283" t="s">
        <v>2894</v>
      </c>
      <c r="E79" s="3308">
        <v>0.15</v>
      </c>
      <c r="F79" s="3302">
        <v>20</v>
      </c>
    </row>
    <row r="80" spans="1:7" ht="24">
      <c r="A80" s="3302">
        <v>8</v>
      </c>
      <c r="B80" s="3710"/>
      <c r="C80" s="3283" t="s">
        <v>2895</v>
      </c>
      <c r="D80" s="3283" t="s">
        <v>2896</v>
      </c>
      <c r="E80" s="3308">
        <v>0.1</v>
      </c>
      <c r="F80" s="3302">
        <v>15</v>
      </c>
    </row>
    <row r="81" spans="1:6" ht="24">
      <c r="A81" s="3302">
        <v>9</v>
      </c>
      <c r="B81" s="3710"/>
      <c r="C81" s="3283" t="s">
        <v>2897</v>
      </c>
      <c r="D81" s="3283" t="s">
        <v>2898</v>
      </c>
      <c r="E81" s="3308">
        <v>0.1</v>
      </c>
      <c r="F81" s="3302">
        <v>15</v>
      </c>
    </row>
    <row r="82" spans="1:6" ht="24">
      <c r="A82" s="3302">
        <v>10</v>
      </c>
      <c r="B82" s="3710"/>
      <c r="C82" s="3283" t="s">
        <v>2899</v>
      </c>
      <c r="D82" s="3283" t="s">
        <v>2900</v>
      </c>
      <c r="E82" s="3308">
        <v>0.1</v>
      </c>
      <c r="F82" s="3302">
        <v>15</v>
      </c>
    </row>
    <row r="83" spans="1:6" ht="24">
      <c r="A83" s="3302">
        <v>11</v>
      </c>
      <c r="B83" s="3710"/>
      <c r="C83" s="3283" t="s">
        <v>2901</v>
      </c>
      <c r="D83" s="3283" t="s">
        <v>2902</v>
      </c>
      <c r="E83" s="3308">
        <v>0.1</v>
      </c>
      <c r="F83" s="3302">
        <v>15</v>
      </c>
    </row>
    <row r="84" spans="1:6" ht="24">
      <c r="A84" s="3302">
        <v>12</v>
      </c>
      <c r="B84" s="3710"/>
      <c r="C84" s="3283" t="s">
        <v>2903</v>
      </c>
      <c r="D84" s="3283" t="s">
        <v>2904</v>
      </c>
      <c r="E84" s="3308">
        <v>0.1</v>
      </c>
      <c r="F84" s="3302">
        <v>15</v>
      </c>
    </row>
    <row r="85" spans="1:6" ht="13.5">
      <c r="A85" s="3302">
        <v>13</v>
      </c>
      <c r="B85" s="3710"/>
      <c r="C85" s="3283" t="s">
        <v>2905</v>
      </c>
      <c r="D85" s="3283" t="s">
        <v>2906</v>
      </c>
      <c r="E85" s="3308">
        <v>0.1</v>
      </c>
      <c r="F85" s="3302">
        <v>15</v>
      </c>
    </row>
    <row r="86" spans="1:6" ht="13.5">
      <c r="A86" s="3302">
        <v>14</v>
      </c>
      <c r="B86" s="3710"/>
      <c r="C86" s="3283" t="s">
        <v>2907</v>
      </c>
      <c r="D86" s="3283" t="s">
        <v>2908</v>
      </c>
      <c r="E86" s="3308">
        <v>0.1</v>
      </c>
      <c r="F86" s="3302">
        <v>15</v>
      </c>
    </row>
    <row r="87" spans="1:6" ht="13.5">
      <c r="A87" s="3302">
        <v>15</v>
      </c>
      <c r="B87" s="3710"/>
      <c r="C87" s="3283" t="s">
        <v>2909</v>
      </c>
      <c r="D87" s="3283" t="s">
        <v>2910</v>
      </c>
      <c r="E87" s="3308">
        <v>0.1</v>
      </c>
      <c r="F87" s="3302">
        <v>15</v>
      </c>
    </row>
    <row r="88" spans="1:6" ht="24">
      <c r="A88" s="3302">
        <v>16</v>
      </c>
      <c r="B88" s="3710"/>
      <c r="C88" s="3283" t="s">
        <v>2911</v>
      </c>
      <c r="D88" s="3283" t="s">
        <v>2912</v>
      </c>
      <c r="E88" s="3308">
        <v>0.1</v>
      </c>
      <c r="F88" s="3302">
        <v>15</v>
      </c>
    </row>
    <row r="89" spans="1:6" ht="24">
      <c r="A89" s="3302">
        <v>17</v>
      </c>
      <c r="B89" s="3709"/>
      <c r="C89" s="3283" t="s">
        <v>2913</v>
      </c>
      <c r="D89" s="3283" t="s">
        <v>2914</v>
      </c>
      <c r="E89" s="3308">
        <v>0.1</v>
      </c>
      <c r="F89" s="3302">
        <v>15</v>
      </c>
    </row>
    <row r="90" spans="1:6" ht="13.5">
      <c r="A90" s="3302">
        <v>18</v>
      </c>
      <c r="B90" s="3708" t="s">
        <v>2915</v>
      </c>
      <c r="C90" s="3283" t="s">
        <v>2916</v>
      </c>
      <c r="D90" s="3283" t="s">
        <v>2917</v>
      </c>
      <c r="E90" s="3308">
        <v>0.2</v>
      </c>
      <c r="F90" s="3302">
        <v>25</v>
      </c>
    </row>
    <row r="91" spans="1:6" ht="24">
      <c r="A91" s="3302">
        <v>19</v>
      </c>
      <c r="B91" s="3710"/>
      <c r="C91" s="3283" t="s">
        <v>2918</v>
      </c>
      <c r="D91" s="3283" t="s">
        <v>2919</v>
      </c>
      <c r="E91" s="3308">
        <v>0.2</v>
      </c>
      <c r="F91" s="3302">
        <v>25</v>
      </c>
    </row>
    <row r="92" spans="1:6" ht="13.5">
      <c r="A92" s="3302">
        <v>20</v>
      </c>
      <c r="B92" s="3710"/>
      <c r="C92" s="3283" t="s">
        <v>2920</v>
      </c>
      <c r="D92" s="3283" t="s">
        <v>2921</v>
      </c>
      <c r="E92" s="3308">
        <v>0.15</v>
      </c>
      <c r="F92" s="3302">
        <v>20</v>
      </c>
    </row>
    <row r="93" spans="1:6" ht="24">
      <c r="A93" s="3302">
        <v>21</v>
      </c>
      <c r="B93" s="3710"/>
      <c r="C93" s="3283" t="s">
        <v>2922</v>
      </c>
      <c r="D93" s="3283" t="s">
        <v>2923</v>
      </c>
      <c r="E93" s="3308">
        <v>0.15</v>
      </c>
      <c r="F93" s="3302">
        <v>20</v>
      </c>
    </row>
    <row r="94" spans="1:6" ht="24">
      <c r="A94" s="3302">
        <v>22</v>
      </c>
      <c r="B94" s="3710"/>
      <c r="C94" s="3283" t="s">
        <v>2924</v>
      </c>
      <c r="D94" s="3283" t="s">
        <v>2925</v>
      </c>
      <c r="E94" s="3308">
        <v>0.15</v>
      </c>
      <c r="F94" s="3302">
        <v>20</v>
      </c>
    </row>
    <row r="95" spans="1:6" ht="36">
      <c r="A95" s="3302">
        <v>23</v>
      </c>
      <c r="B95" s="3710"/>
      <c r="C95" s="3283" t="s">
        <v>2926</v>
      </c>
      <c r="D95" s="3283" t="s">
        <v>2927</v>
      </c>
      <c r="E95" s="3308">
        <v>0.15</v>
      </c>
      <c r="F95" s="3302">
        <v>20</v>
      </c>
    </row>
    <row r="96" spans="1:6" ht="13.5">
      <c r="A96" s="3302">
        <v>24</v>
      </c>
      <c r="B96" s="3710"/>
      <c r="C96" s="3283" t="s">
        <v>2928</v>
      </c>
      <c r="D96" s="3283" t="s">
        <v>2929</v>
      </c>
      <c r="E96" s="3308">
        <v>0.1</v>
      </c>
      <c r="F96" s="3302">
        <v>15</v>
      </c>
    </row>
    <row r="97" spans="1:6" ht="24">
      <c r="A97" s="3302">
        <v>25</v>
      </c>
      <c r="B97" s="3710"/>
      <c r="C97" s="3283" t="s">
        <v>2930</v>
      </c>
      <c r="D97" s="3283" t="s">
        <v>2931</v>
      </c>
      <c r="E97" s="3308">
        <v>0.1</v>
      </c>
      <c r="F97" s="3302">
        <v>15</v>
      </c>
    </row>
    <row r="98" spans="1:6" ht="24">
      <c r="A98" s="3302">
        <v>26</v>
      </c>
      <c r="B98" s="3710"/>
      <c r="C98" s="3283" t="s">
        <v>2932</v>
      </c>
      <c r="D98" s="3283" t="s">
        <v>2933</v>
      </c>
      <c r="E98" s="3308">
        <v>0.1</v>
      </c>
      <c r="F98" s="3302">
        <v>15</v>
      </c>
    </row>
    <row r="99" spans="1:6" ht="24">
      <c r="A99" s="3302">
        <v>27</v>
      </c>
      <c r="B99" s="3710"/>
      <c r="C99" s="3283" t="s">
        <v>2934</v>
      </c>
      <c r="D99" s="3283" t="s">
        <v>2935</v>
      </c>
      <c r="E99" s="3308">
        <v>0.1</v>
      </c>
      <c r="F99" s="3302">
        <v>15</v>
      </c>
    </row>
    <row r="100" spans="1:6" ht="24">
      <c r="A100" s="3302">
        <v>28</v>
      </c>
      <c r="B100" s="3710"/>
      <c r="C100" s="3283" t="s">
        <v>2936</v>
      </c>
      <c r="D100" s="3283" t="s">
        <v>2937</v>
      </c>
      <c r="E100" s="3308">
        <v>0.1</v>
      </c>
      <c r="F100" s="3302">
        <v>15</v>
      </c>
    </row>
    <row r="101" spans="1:6" ht="24">
      <c r="A101" s="3302">
        <v>29</v>
      </c>
      <c r="B101" s="3710"/>
      <c r="C101" s="3283" t="s">
        <v>2938</v>
      </c>
      <c r="D101" s="3283" t="s">
        <v>2939</v>
      </c>
      <c r="E101" s="3308">
        <v>0.1</v>
      </c>
      <c r="F101" s="3302">
        <v>15</v>
      </c>
    </row>
    <row r="102" spans="1:6" ht="24">
      <c r="A102" s="3302">
        <v>30</v>
      </c>
      <c r="B102" s="3710"/>
      <c r="C102" s="3283" t="s">
        <v>2940</v>
      </c>
      <c r="D102" s="3283" t="s">
        <v>2941</v>
      </c>
      <c r="E102" s="3308">
        <v>0.1</v>
      </c>
      <c r="F102" s="3302">
        <v>15</v>
      </c>
    </row>
    <row r="103" spans="1:6" ht="24">
      <c r="A103" s="3302">
        <v>31</v>
      </c>
      <c r="B103" s="3710"/>
      <c r="C103" s="3283" t="s">
        <v>2942</v>
      </c>
      <c r="D103" s="3283" t="s">
        <v>2943</v>
      </c>
      <c r="E103" s="3308">
        <v>0.1</v>
      </c>
      <c r="F103" s="3302">
        <v>15</v>
      </c>
    </row>
    <row r="104" spans="1:6" ht="24">
      <c r="A104" s="3302">
        <v>32</v>
      </c>
      <c r="B104" s="3710"/>
      <c r="C104" s="3283" t="s">
        <v>2944</v>
      </c>
      <c r="D104" s="3283" t="s">
        <v>2945</v>
      </c>
      <c r="E104" s="3308">
        <v>0.1</v>
      </c>
      <c r="F104" s="3302">
        <v>15</v>
      </c>
    </row>
    <row r="105" spans="1:6" ht="24">
      <c r="A105" s="3302">
        <v>33</v>
      </c>
      <c r="B105" s="3710"/>
      <c r="C105" s="3283" t="s">
        <v>2946</v>
      </c>
      <c r="D105" s="3283" t="s">
        <v>2947</v>
      </c>
      <c r="E105" s="3308">
        <v>0.1</v>
      </c>
      <c r="F105" s="3302">
        <v>15</v>
      </c>
    </row>
    <row r="106" spans="1:6" ht="24">
      <c r="A106" s="3302">
        <v>34</v>
      </c>
      <c r="B106" s="3709"/>
      <c r="C106" s="3283" t="s">
        <v>2948</v>
      </c>
      <c r="D106" s="3283" t="s">
        <v>2949</v>
      </c>
      <c r="E106" s="3308">
        <v>0.1</v>
      </c>
      <c r="F106" s="3302">
        <v>15</v>
      </c>
    </row>
    <row r="107" spans="1:6" ht="24">
      <c r="A107" s="3302">
        <v>35</v>
      </c>
      <c r="B107" s="3708" t="s">
        <v>2950</v>
      </c>
      <c r="C107" s="3302" t="s">
        <v>2951</v>
      </c>
      <c r="D107" s="3283" t="s">
        <v>2952</v>
      </c>
      <c r="E107" s="3308">
        <v>0.15</v>
      </c>
      <c r="F107" s="3302">
        <v>20</v>
      </c>
    </row>
    <row r="108" spans="1:6" ht="24">
      <c r="A108" s="3302">
        <v>36</v>
      </c>
      <c r="B108" s="3710"/>
      <c r="C108" s="3302" t="s">
        <v>2953</v>
      </c>
      <c r="D108" s="3283" t="s">
        <v>2954</v>
      </c>
      <c r="E108" s="3308">
        <v>0.15</v>
      </c>
      <c r="F108" s="3302">
        <v>20</v>
      </c>
    </row>
    <row r="109" spans="1:6" ht="24">
      <c r="A109" s="3302">
        <v>37</v>
      </c>
      <c r="B109" s="3710"/>
      <c r="C109" s="3302" t="s">
        <v>2955</v>
      </c>
      <c r="D109" s="3283" t="s">
        <v>2956</v>
      </c>
      <c r="E109" s="3308">
        <v>0.15</v>
      </c>
      <c r="F109" s="3302">
        <v>20</v>
      </c>
    </row>
    <row r="110" spans="1:6" ht="13.5">
      <c r="A110" s="3302">
        <v>38</v>
      </c>
      <c r="B110" s="3710"/>
      <c r="C110" s="3302" t="s">
        <v>2957</v>
      </c>
      <c r="D110" s="3283" t="s">
        <v>2958</v>
      </c>
      <c r="E110" s="3308">
        <v>0.1</v>
      </c>
      <c r="F110" s="3302">
        <v>15</v>
      </c>
    </row>
    <row r="111" spans="1:6" ht="24">
      <c r="A111" s="3302">
        <v>39</v>
      </c>
      <c r="B111" s="3710"/>
      <c r="C111" s="3302" t="s">
        <v>2959</v>
      </c>
      <c r="D111" s="3283" t="s">
        <v>2960</v>
      </c>
      <c r="E111" s="3308">
        <v>0.1</v>
      </c>
      <c r="F111" s="3302">
        <v>15</v>
      </c>
    </row>
    <row r="112" spans="1:6" ht="24">
      <c r="A112" s="3302">
        <v>40</v>
      </c>
      <c r="B112" s="3709"/>
      <c r="C112" s="3302" t="s">
        <v>2961</v>
      </c>
      <c r="D112" s="3283" t="s">
        <v>2962</v>
      </c>
      <c r="E112" s="3308">
        <v>0.1</v>
      </c>
      <c r="F112" s="3302">
        <v>15</v>
      </c>
    </row>
    <row r="113" spans="1:6" ht="24">
      <c r="A113" s="3302">
        <v>41</v>
      </c>
      <c r="B113" s="3707" t="s">
        <v>2963</v>
      </c>
      <c r="C113" s="3302" t="s">
        <v>2964</v>
      </c>
      <c r="D113" s="3283" t="s">
        <v>2965</v>
      </c>
      <c r="E113" s="3308">
        <v>0.1</v>
      </c>
      <c r="F113" s="3302">
        <v>15</v>
      </c>
    </row>
    <row r="114" spans="1:6" ht="13.5">
      <c r="A114" s="3302">
        <v>42</v>
      </c>
      <c r="B114" s="3707"/>
      <c r="C114" s="3302" t="s">
        <v>2966</v>
      </c>
      <c r="D114" s="3283" t="s">
        <v>2967</v>
      </c>
      <c r="E114" s="3308">
        <v>0.1</v>
      </c>
      <c r="F114" s="3302">
        <v>15</v>
      </c>
    </row>
    <row r="115" spans="1:6" ht="24">
      <c r="A115" s="3302">
        <v>43</v>
      </c>
      <c r="B115" s="3707"/>
      <c r="C115" s="3302" t="s">
        <v>2968</v>
      </c>
      <c r="D115" s="3283" t="s">
        <v>2969</v>
      </c>
      <c r="E115" s="3308">
        <v>0.1</v>
      </c>
      <c r="F115" s="3302">
        <v>15</v>
      </c>
    </row>
    <row r="116" spans="1:6" ht="24">
      <c r="A116" s="3302">
        <v>44</v>
      </c>
      <c r="B116" s="3708" t="s">
        <v>2970</v>
      </c>
      <c r="C116" s="3302" t="s">
        <v>2971</v>
      </c>
      <c r="D116" s="3283" t="s">
        <v>2972</v>
      </c>
      <c r="E116" s="3308">
        <v>0.1</v>
      </c>
      <c r="F116" s="3302">
        <v>15</v>
      </c>
    </row>
    <row r="117" spans="1:6" ht="24">
      <c r="A117" s="3302">
        <v>45</v>
      </c>
      <c r="B117" s="3709"/>
      <c r="C117" s="3283" t="s">
        <v>2973</v>
      </c>
      <c r="D117" s="3283" t="s">
        <v>2974</v>
      </c>
      <c r="E117" s="3308">
        <v>0.1</v>
      </c>
      <c r="F117" s="3302">
        <v>15</v>
      </c>
    </row>
    <row r="118" spans="1:6" ht="24">
      <c r="A118" s="3302">
        <v>46</v>
      </c>
      <c r="B118" s="3708" t="s">
        <v>2975</v>
      </c>
      <c r="C118" s="3302" t="s">
        <v>2976</v>
      </c>
      <c r="D118" s="3283" t="s">
        <v>2977</v>
      </c>
      <c r="E118" s="3308">
        <v>0.1</v>
      </c>
      <c r="F118" s="3302">
        <v>15</v>
      </c>
    </row>
    <row r="119" spans="1:6" ht="24">
      <c r="A119" s="3302">
        <v>47</v>
      </c>
      <c r="B119" s="3709"/>
      <c r="C119" s="3302" t="s">
        <v>2978</v>
      </c>
      <c r="D119" s="3283" t="s">
        <v>2979</v>
      </c>
      <c r="E119" s="3308">
        <v>0.1</v>
      </c>
      <c r="F119" s="3302">
        <v>15</v>
      </c>
    </row>
    <row r="120" spans="1:6" ht="24">
      <c r="A120" s="3302">
        <v>48</v>
      </c>
      <c r="B120" s="3708" t="s">
        <v>2980</v>
      </c>
      <c r="C120" s="3302" t="s">
        <v>2981</v>
      </c>
      <c r="D120" s="3283" t="s">
        <v>2982</v>
      </c>
      <c r="E120" s="3308">
        <v>0.1</v>
      </c>
      <c r="F120" s="3302">
        <v>15</v>
      </c>
    </row>
    <row r="121" spans="1:6" ht="13.5">
      <c r="A121" s="3302">
        <v>49</v>
      </c>
      <c r="B121" s="3709"/>
      <c r="C121" s="3302" t="s">
        <v>2983</v>
      </c>
      <c r="D121" s="3283" t="s">
        <v>2984</v>
      </c>
      <c r="E121" s="3308">
        <v>0.1</v>
      </c>
      <c r="F121" s="3302">
        <v>15</v>
      </c>
    </row>
    <row r="122" spans="1:6" ht="24">
      <c r="A122" s="3302">
        <v>50</v>
      </c>
      <c r="B122" s="3707" t="s">
        <v>2985</v>
      </c>
      <c r="C122" s="3302" t="s">
        <v>2986</v>
      </c>
      <c r="D122" s="3283" t="s">
        <v>2987</v>
      </c>
      <c r="E122" s="3308">
        <v>0.1</v>
      </c>
      <c r="F122" s="3302">
        <v>15</v>
      </c>
    </row>
    <row r="123" spans="1:6" ht="24">
      <c r="A123" s="3302">
        <v>51</v>
      </c>
      <c r="B123" s="3707"/>
      <c r="C123" s="3302" t="s">
        <v>2988</v>
      </c>
      <c r="D123" s="3283" t="s">
        <v>2989</v>
      </c>
      <c r="E123" s="3308">
        <v>0.1</v>
      </c>
      <c r="F123" s="3302">
        <v>15</v>
      </c>
    </row>
    <row r="124" spans="1:6" ht="24">
      <c r="A124" s="3302">
        <v>52</v>
      </c>
      <c r="B124" s="3707" t="s">
        <v>2990</v>
      </c>
      <c r="C124" s="3302" t="s">
        <v>2991</v>
      </c>
      <c r="D124" s="3283" t="s">
        <v>2992</v>
      </c>
      <c r="E124" s="3308">
        <v>0.1</v>
      </c>
      <c r="F124" s="3302">
        <v>15</v>
      </c>
    </row>
    <row r="125" spans="1:6" ht="24">
      <c r="A125" s="3302">
        <v>53</v>
      </c>
      <c r="B125" s="3707"/>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07" t="s">
        <v>2998</v>
      </c>
      <c r="C127" s="3302" t="s">
        <v>2999</v>
      </c>
      <c r="D127" s="3283" t="s">
        <v>3000</v>
      </c>
      <c r="E127" s="3308">
        <v>0.1</v>
      </c>
      <c r="F127" s="3302">
        <v>15</v>
      </c>
    </row>
    <row r="128" spans="1:6" ht="13.5">
      <c r="A128" s="3302">
        <v>56</v>
      </c>
      <c r="B128" s="3707"/>
      <c r="C128" s="3302" t="s">
        <v>3001</v>
      </c>
      <c r="D128" s="3283" t="s">
        <v>3002</v>
      </c>
      <c r="E128" s="3308">
        <v>0.1</v>
      </c>
      <c r="F128" s="3302">
        <v>15</v>
      </c>
    </row>
    <row r="129" spans="1:6" ht="24">
      <c r="A129" s="3302">
        <v>57</v>
      </c>
      <c r="B129" s="3707"/>
      <c r="C129" s="3302" t="s">
        <v>3003</v>
      </c>
      <c r="D129" s="3283" t="s">
        <v>3004</v>
      </c>
      <c r="E129" s="3308">
        <v>0.1</v>
      </c>
      <c r="F129" s="3302">
        <v>15</v>
      </c>
    </row>
    <row r="130" spans="1:6" ht="24">
      <c r="A130" s="3302">
        <v>58</v>
      </c>
      <c r="B130" s="3707" t="s">
        <v>3005</v>
      </c>
      <c r="C130" s="3302" t="s">
        <v>3006</v>
      </c>
      <c r="D130" s="3283" t="s">
        <v>3007</v>
      </c>
      <c r="E130" s="3308">
        <v>0.1</v>
      </c>
      <c r="F130" s="3302">
        <v>15</v>
      </c>
    </row>
    <row r="131" spans="1:6" ht="24">
      <c r="A131" s="3302">
        <v>59</v>
      </c>
      <c r="B131" s="3707"/>
      <c r="C131" s="3302" t="s">
        <v>3008</v>
      </c>
      <c r="D131" s="3283" t="s">
        <v>3009</v>
      </c>
      <c r="E131" s="3308">
        <v>0.1</v>
      </c>
      <c r="F131" s="3302">
        <v>15</v>
      </c>
    </row>
    <row r="132" spans="1:6" ht="24">
      <c r="A132" s="3302">
        <v>60</v>
      </c>
      <c r="B132" s="3708" t="s">
        <v>3010</v>
      </c>
      <c r="C132" s="3302" t="s">
        <v>3011</v>
      </c>
      <c r="D132" s="3283" t="s">
        <v>3012</v>
      </c>
      <c r="E132" s="3308">
        <v>0.1</v>
      </c>
      <c r="F132" s="3302">
        <v>15</v>
      </c>
    </row>
    <row r="133" spans="1:6" ht="24">
      <c r="A133" s="3302">
        <v>61</v>
      </c>
      <c r="B133" s="3709"/>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07" t="s">
        <v>3018</v>
      </c>
      <c r="C135" s="3302" t="s">
        <v>3019</v>
      </c>
      <c r="D135" s="3283" t="s">
        <v>3020</v>
      </c>
      <c r="E135" s="3308">
        <v>0.1</v>
      </c>
      <c r="F135" s="3302">
        <v>15</v>
      </c>
    </row>
    <row r="136" spans="1:6" ht="13.5">
      <c r="A136" s="3302">
        <v>64</v>
      </c>
      <c r="B136" s="3707"/>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G17" sqref="G17"/>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24" t="s">
        <v>782</v>
      </c>
      <c r="C1" s="3724"/>
      <c r="D1" s="3724"/>
      <c r="E1" s="3724"/>
      <c r="F1" s="3724"/>
      <c r="G1" s="3723" t="s">
        <v>783</v>
      </c>
      <c r="H1" s="3723"/>
      <c r="I1" s="3723"/>
      <c r="J1" s="3723"/>
      <c r="K1" s="3723"/>
      <c r="L1" s="3723"/>
      <c r="N1" s="3723" t="s">
        <v>784</v>
      </c>
      <c r="O1" s="3723"/>
      <c r="P1" s="3723"/>
      <c r="Q1" s="3723"/>
      <c r="S1" s="3723" t="s">
        <v>785</v>
      </c>
      <c r="T1" s="3723"/>
      <c r="U1" s="3723"/>
      <c r="V1" s="3723"/>
      <c r="X1" s="3722" t="s">
        <v>786</v>
      </c>
      <c r="Y1" s="3723"/>
      <c r="Z1" s="3723"/>
      <c r="AA1" s="3723"/>
      <c r="AB1" s="3723"/>
      <c r="AD1" s="3722" t="s">
        <v>787</v>
      </c>
      <c r="AE1" s="3723"/>
      <c r="AF1" s="3723"/>
      <c r="AG1" s="3723"/>
      <c r="AH1" s="3723"/>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2463</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2467</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2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2464</v>
      </c>
      <c r="B26" s="2296">
        <v>439</v>
      </c>
      <c r="C26" s="2296">
        <v>327</v>
      </c>
      <c r="D26" s="2296">
        <f t="shared" si="213"/>
        <v>327</v>
      </c>
      <c r="E26" s="2296">
        <v>627</v>
      </c>
      <c r="F26" s="2297">
        <v>283</v>
      </c>
      <c r="G26" s="372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2462</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2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2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1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1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2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2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2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2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1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1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1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1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1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1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1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1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1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1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1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44783</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7"/>
      <c r="B20" s="1208" t="s">
        <v>2641</v>
      </c>
      <c r="C20" s="1217">
        <v>43697</v>
      </c>
      <c r="D20" s="3068">
        <v>4.25</v>
      </c>
      <c r="E20" s="3068">
        <f t="shared" si="0"/>
        <v>4.25</v>
      </c>
      <c r="F20" s="3068">
        <f t="shared" si="1"/>
        <v>4.25</v>
      </c>
      <c r="G20" s="3068">
        <f t="shared" si="2"/>
        <v>4.25</v>
      </c>
      <c r="H20" s="3068">
        <v>4.8499999999999996</v>
      </c>
      <c r="I20" s="3068"/>
      <c r="J20" s="3068"/>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6"/>
      <c r="C2" s="3326"/>
      <c r="D2" s="3326"/>
      <c r="E2" s="3326"/>
    </row>
    <row r="3" spans="1:5" ht="13.5" customHeight="1">
      <c r="A3" s="1289"/>
      <c r="B3" s="1289"/>
      <c r="C3" s="1289"/>
      <c r="D3" s="1289"/>
      <c r="E3" s="1289"/>
    </row>
    <row r="4" spans="1:5" ht="19.5" thickBot="1">
      <c r="A4" s="3327" t="str">
        <f>IF(项目基本情况!D5="房地产市场价值","估价结果一览表（市场价值不需本页表格)","估价结果一览表")</f>
        <v>估价结果一览表</v>
      </c>
      <c r="B4" s="3327"/>
      <c r="C4" s="3327"/>
      <c r="D4" s="3327"/>
      <c r="E4" s="3327"/>
    </row>
    <row r="5" spans="1:5" ht="14.25" customHeight="1" thickTop="1">
      <c r="A5" s="1286"/>
      <c r="B5" s="1290" t="s">
        <v>562</v>
      </c>
      <c r="C5" s="3328" t="s">
        <v>593</v>
      </c>
      <c r="D5" s="3329"/>
      <c r="E5" s="1286"/>
    </row>
    <row r="6" spans="1:5" ht="14.25">
      <c r="A6" s="1286"/>
      <c r="B6" s="1291" t="str">
        <f>项目基本情况!I1</f>
        <v>XX房地产</v>
      </c>
      <c r="C6" s="3330">
        <f>项目基本情况!C12</f>
        <v>2380.7600000000002</v>
      </c>
      <c r="D6" s="3330"/>
      <c r="E6" s="1286"/>
    </row>
    <row r="7" spans="1:5" ht="14.25">
      <c r="A7" s="1286"/>
      <c r="B7" s="3324" t="s">
        <v>594</v>
      </c>
      <c r="C7" s="1292" t="str">
        <f>IF('数据-取费表'!B3="万元","总价（万元）","总价（元）")</f>
        <v>总价（万元）</v>
      </c>
      <c r="D7" s="1293">
        <f ca="1">IF('数据-取费表'!E3="否",结果表!I102,'结果表 (1修多)'!I104)</f>
        <v>8045</v>
      </c>
      <c r="E7" s="1286"/>
    </row>
    <row r="8" spans="1:5" ht="14.25">
      <c r="A8" s="1286"/>
      <c r="B8" s="3324"/>
      <c r="C8" s="1294" t="s">
        <v>924</v>
      </c>
      <c r="D8" s="1295" t="str">
        <f ca="1">IF('数据-取费表'!B3="万元",NUMBERSTRING(INT(D7*10000),2)&amp;"元整",NUMBERSTRING(INT(D7),2)&amp;"元整")</f>
        <v>捌仟零肆拾伍万元整</v>
      </c>
      <c r="E8" s="1286"/>
    </row>
    <row r="9" spans="1:5" ht="14.25">
      <c r="A9" s="1286"/>
      <c r="B9" s="3324"/>
      <c r="C9" s="1296" t="s">
        <v>1020</v>
      </c>
      <c r="D9" s="1293">
        <f ca="1">IF('数据-取费表'!E3="否",结果表!I103,'结果表 (1修多)'!I105)</f>
        <v>33793</v>
      </c>
      <c r="E9" s="1286"/>
    </row>
    <row r="10" spans="1:5" ht="14.25">
      <c r="A10" s="1286"/>
      <c r="B10" s="3331"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1"/>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1" t="str">
        <f>IF('数据-取费表'!E3="否",结果表!F110,'结果表 (1修多)'!F112)</f>
        <v>3.房地产抵押价值</v>
      </c>
      <c r="C15" s="1287" t="str">
        <f>C7</f>
        <v>总价（万元）</v>
      </c>
      <c r="D15" s="1293">
        <f ca="1">IF('数据-取费表'!E3="否",结果表!I110,'结果表 (1修多)'!I112)</f>
        <v>8045</v>
      </c>
      <c r="E15" s="1286"/>
    </row>
    <row r="16" spans="1:5" ht="14.25">
      <c r="A16" s="1286"/>
      <c r="B16" s="3331"/>
      <c r="C16" s="1294" t="s">
        <v>924</v>
      </c>
      <c r="D16" s="1293" t="str">
        <f ca="1">IF('数据-取费表'!B3="万元",NUMBERSTRING(INT(D15*10000),2)&amp;"元整",NUMBERSTRING(INT(D15),2)&amp;"元整")</f>
        <v>捌仟零肆拾伍万元整</v>
      </c>
      <c r="E16" s="1286"/>
    </row>
    <row r="17" spans="1:5" ht="14.25">
      <c r="A17" s="1286"/>
      <c r="B17" s="3331"/>
      <c r="C17" s="1296" t="s">
        <v>1020</v>
      </c>
      <c r="D17" s="1293">
        <f ca="1">IF('数据-取费表'!E3="否",结果表!I111,'结果表 (1修多)'!I113)</f>
        <v>33793</v>
      </c>
      <c r="E17" s="1286"/>
    </row>
    <row r="18" spans="1:5" ht="14.25">
      <c r="A18" s="1286"/>
      <c r="B18" s="3331" t="str">
        <f>IF('数据-取费表'!E3="否",结果表!F112,'结果表 (1修多)'!F114)</f>
        <v>——</v>
      </c>
      <c r="C18" s="1287" t="str">
        <f>C7</f>
        <v>总价（万元）</v>
      </c>
      <c r="D18" s="1293" t="str">
        <f>IF('数据-取费表'!E3="否",结果表!I112,'结果表 (1修多)'!I114)</f>
        <v>——</v>
      </c>
      <c r="E18" s="1286"/>
    </row>
    <row r="19" spans="1:5" ht="14.25">
      <c r="A19" s="1286"/>
      <c r="B19" s="3331"/>
      <c r="C19" s="1294" t="s">
        <v>924</v>
      </c>
      <c r="D19" s="1293" t="e">
        <f>IF('数据-取费表'!B3="万元",NUMBERSTRING(INT(D18*10000),2)&amp;"元整",NUMBERSTRING(INT(D18),2)&amp;"元整")</f>
        <v>#VALUE!</v>
      </c>
      <c r="E19" s="1286"/>
    </row>
    <row r="20" spans="1:5" ht="14.25">
      <c r="A20" s="1286"/>
      <c r="B20" s="3331"/>
      <c r="C20" s="1296" t="s">
        <v>1020</v>
      </c>
      <c r="D20" s="1293" t="str">
        <f>IF('数据-取费表'!E3="否",结果表!I113,'结果表 (1修多)'!I115)</f>
        <v>——</v>
      </c>
      <c r="E20" s="1286"/>
    </row>
    <row r="21" spans="1:5" ht="14.25">
      <c r="A21" s="1286"/>
      <c r="B21" s="3324" t="str">
        <f>IF('数据-取费表'!E3="否",结果表!F114,'结果表 (1修多)'!F116)</f>
        <v>——</v>
      </c>
      <c r="C21" s="1292" t="str">
        <f>C7</f>
        <v>总价（万元）</v>
      </c>
      <c r="D21" s="1293" t="str">
        <f>IF('数据-取费表'!E3="否",结果表!I114,'结果表 (1修多)'!I116)</f>
        <v>——</v>
      </c>
      <c r="E21" s="1286"/>
    </row>
    <row r="22" spans="1:5" ht="14.25">
      <c r="A22" s="1286"/>
      <c r="B22" s="3324"/>
      <c r="C22" s="1294" t="s">
        <v>924</v>
      </c>
      <c r="D22" s="1295" t="e">
        <f>IF('数据-取费表'!B3="万元",NUMBERSTRING(INT(D21*10000),2)&amp;"元整",NUMBERSTRING(INT(D21),2)&amp;"元整")</f>
        <v>#VALUE!</v>
      </c>
      <c r="E22" s="1286"/>
    </row>
    <row r="23" spans="1:5" ht="15" thickBot="1">
      <c r="A23" s="1286"/>
      <c r="B23" s="3325"/>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9" t="s">
        <v>1021</v>
      </c>
      <c r="C25" s="3339"/>
      <c r="D25" s="3339"/>
      <c r="E25" s="1286"/>
    </row>
    <row r="26" spans="1:5" ht="18.75" customHeight="1" thickTop="1">
      <c r="A26" s="1286"/>
      <c r="B26" s="3342" t="s">
        <v>923</v>
      </c>
      <c r="C26" s="3343"/>
      <c r="D26" s="3340" t="s">
        <v>922</v>
      </c>
      <c r="E26" s="1286"/>
    </row>
    <row r="27" spans="1:5" ht="18.75" customHeight="1">
      <c r="A27" s="1286"/>
      <c r="B27" s="3344"/>
      <c r="C27" s="3345"/>
      <c r="D27" s="3341"/>
      <c r="E27" s="1286"/>
    </row>
    <row r="28" spans="1:5" ht="14.25">
      <c r="A28" s="1286"/>
      <c r="B28" s="3332" t="s">
        <v>594</v>
      </c>
      <c r="C28" s="1303" t="s">
        <v>925</v>
      </c>
      <c r="D28" s="1304">
        <f ca="1">IF('数据-取费表'!E3="否",结果表!I102,'结果表 (1修多)'!I104)</f>
        <v>8045</v>
      </c>
      <c r="E28" s="1286"/>
    </row>
    <row r="29" spans="1:5" ht="14.25">
      <c r="A29" s="1286"/>
      <c r="B29" s="3333"/>
      <c r="C29" s="1305" t="s">
        <v>924</v>
      </c>
      <c r="D29" s="1306" t="str">
        <f ca="1">IF('数据-取费表'!B3="万元",NUMBERSTRING(INT(D28*10000),2)&amp;"元整",NUMBERSTRING(INT(D28),2)&amp;"元整")</f>
        <v>捌仟零肆拾伍万元整</v>
      </c>
      <c r="E29" s="1286"/>
    </row>
    <row r="30" spans="1:5" ht="14.25">
      <c r="A30" s="1286"/>
      <c r="B30" s="3334"/>
      <c r="C30" s="1296" t="s">
        <v>927</v>
      </c>
      <c r="D30" s="1307">
        <f ca="1">IF('数据-取费表'!E3="否",结果表!I103,'结果表 (1修多)'!I105)</f>
        <v>33793</v>
      </c>
      <c r="E30" s="1286"/>
    </row>
    <row r="31" spans="1:5" ht="14.25">
      <c r="A31" s="1286"/>
      <c r="B31" s="3337" t="str">
        <f>B10</f>
        <v>2.估价师所知悉的法定优先受偿款</v>
      </c>
      <c r="C31" s="1308" t="s">
        <v>926</v>
      </c>
      <c r="D31" s="1309">
        <f>IF('数据-取费表'!E3="否",结果表!I105,'结果表 (1修多)'!I107)</f>
        <v>0</v>
      </c>
      <c r="E31" s="1286"/>
    </row>
    <row r="32" spans="1:5" ht="14.25">
      <c r="A32" s="1286"/>
      <c r="B32" s="334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5" t="str">
        <f>B15</f>
        <v>3.房地产抵押价值</v>
      </c>
      <c r="C36" s="1308" t="str">
        <f>C28</f>
        <v>总价</v>
      </c>
      <c r="D36" s="1309">
        <f ca="1">IF('数据-取费表'!E3="否",结果表!I110,'结果表 (1修多)'!I112)</f>
        <v>8045</v>
      </c>
      <c r="E36" s="1286"/>
    </row>
    <row r="37" spans="1:5" ht="14.25">
      <c r="A37" s="1286"/>
      <c r="B37" s="3335"/>
      <c r="C37" s="1305" t="s">
        <v>924</v>
      </c>
      <c r="D37" s="1310" t="str">
        <f ca="1">IF('数据-取费表'!B3="万元",NUMBERSTRING(INT(D36*10000),2)&amp;"元整",NUMBERSTRING(INT(D36),2)&amp;"元整")</f>
        <v>捌仟零肆拾伍万元整</v>
      </c>
      <c r="E37" s="1286"/>
    </row>
    <row r="38" spans="1:5" ht="14.25">
      <c r="A38" s="1286"/>
      <c r="B38" s="3335"/>
      <c r="C38" s="1296" t="s">
        <v>928</v>
      </c>
      <c r="D38" s="1307">
        <f ca="1">IF('数据-取费表'!E3="否",结果表!D113,'结果表 (1修多)'!D117)</f>
        <v>33793</v>
      </c>
      <c r="E38" s="1286"/>
    </row>
    <row r="39" spans="1:5" ht="14.25">
      <c r="A39" s="1286"/>
      <c r="B39" s="3336" t="str">
        <f>B18</f>
        <v>——</v>
      </c>
      <c r="C39" s="1308" t="str">
        <f>C28</f>
        <v>总价</v>
      </c>
      <c r="D39" s="1309" t="str">
        <f>IF('数据-取费表'!E3="否",结果表!I112,'结果表 (1修多)'!I114)</f>
        <v>——</v>
      </c>
      <c r="E39" s="1286"/>
    </row>
    <row r="40" spans="1:5" ht="14.25">
      <c r="A40" s="1286"/>
      <c r="B40" s="3336"/>
      <c r="C40" s="1305" t="s">
        <v>924</v>
      </c>
      <c r="D40" s="1310" t="e">
        <f>IF('数据-取费表'!B3="万元",NUMBERSTRING(INT(D39*10000),2)&amp;"元整",NUMBERSTRING(INT(D39),2)&amp;"元整")</f>
        <v>#VALUE!</v>
      </c>
      <c r="E40" s="1286"/>
    </row>
    <row r="41" spans="1:5" ht="14.25">
      <c r="A41" s="1286"/>
      <c r="B41" s="3336"/>
      <c r="C41" s="1296" t="s">
        <v>928</v>
      </c>
      <c r="D41" s="1307" t="str">
        <f>IF('数据-取费表'!E3="否",结果表!D115,'结果表 (1修多)'!D119)</f>
        <v>——</v>
      </c>
      <c r="E41" s="1286"/>
    </row>
    <row r="42" spans="1:5" ht="14.25">
      <c r="A42" s="1286"/>
      <c r="B42" s="3335" t="str">
        <f>B21</f>
        <v>——</v>
      </c>
      <c r="C42" s="1308" t="str">
        <f>C28</f>
        <v>总价</v>
      </c>
      <c r="D42" s="1309" t="str">
        <f>IF('数据-取费表'!E3="否",结果表!I114,'结果表 (1修多)'!I116)</f>
        <v>——</v>
      </c>
      <c r="E42" s="1286"/>
    </row>
    <row r="43" spans="1:5" ht="14.25">
      <c r="A43" s="1286"/>
      <c r="B43" s="3337"/>
      <c r="C43" s="1305" t="s">
        <v>924</v>
      </c>
      <c r="D43" s="1311" t="e">
        <f>IF('数据-取费表'!B3="万元",NUMBERSTRING(INT(D42*10000),2)&amp;"元整",NUMBERSTRING(INT(D42),2)&amp;"元整")</f>
        <v>#VALUE!</v>
      </c>
      <c r="E43" s="1286"/>
    </row>
    <row r="44" spans="1:5" ht="15" thickBot="1">
      <c r="A44" s="1286"/>
      <c r="B44" s="3338"/>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9"/>
      <c r="B3" s="3349"/>
      <c r="C3" s="3349"/>
      <c r="D3" s="775" t="s">
        <v>1027</v>
      </c>
      <c r="E3" s="775" t="s">
        <v>1028</v>
      </c>
      <c r="F3" s="775" t="s">
        <v>1027</v>
      </c>
      <c r="G3" s="775" t="s">
        <v>1029</v>
      </c>
      <c r="H3" s="775" t="s">
        <v>1027</v>
      </c>
      <c r="I3" s="775" t="s">
        <v>1029</v>
      </c>
    </row>
    <row r="4" spans="1:9" ht="46.5" customHeight="1">
      <c r="A4" s="775" t="str">
        <f>项目基本情况!I1</f>
        <v>XX房地产</v>
      </c>
      <c r="B4" s="775">
        <f>结果表!B121</f>
        <v>2380.7600000000002</v>
      </c>
      <c r="C4" s="775">
        <f>结果表!C121</f>
        <v>0</v>
      </c>
      <c r="D4" s="775">
        <f ca="1">IF('数据-取费表'!E3="否",结果表!D121,'结果表 (1修多)'!D125)</f>
        <v>6855</v>
      </c>
      <c r="E4" s="775">
        <f ca="1">IF('数据-取费表'!E3="否",结果表!E121,'结果表 (1修多)'!E125)</f>
        <v>28792</v>
      </c>
      <c r="F4" s="775">
        <f ca="1">IF('数据-取费表'!E3="否",结果表!F121,'结果表 (1修多)'!F125)</f>
        <v>1191</v>
      </c>
      <c r="G4" s="775">
        <f ca="1">IF('数据-取费表'!E3="否",结果表!G121,'结果表 (1修多)'!G125)</f>
        <v>5001</v>
      </c>
      <c r="H4" s="775">
        <f ca="1">IF('数据-取费表'!E3="否",结果表!H121,'结果表 (1修多)'!H125)</f>
        <v>8045</v>
      </c>
      <c r="I4" s="775">
        <f ca="1">IF('数据-取费表'!E3="否",结果表!I121,'结果表 (1修多)'!I125)</f>
        <v>33793</v>
      </c>
    </row>
    <row r="5" spans="1:9" ht="15">
      <c r="A5" s="3349" t="s">
        <v>1030</v>
      </c>
      <c r="B5" s="3349"/>
      <c r="C5" s="3349"/>
      <c r="D5" s="3347" t="str">
        <f ca="1">IF('数据-取费表'!E3="否",结果表!D122,'结果表 (1修多)'!D126)</f>
        <v>陆仟捌佰伍拾伍万元整</v>
      </c>
      <c r="E5" s="3347"/>
      <c r="F5" s="3347" t="str">
        <f ca="1">IF('数据-取费表'!E3="否",结果表!F122,'结果表 (1修多)'!F126)</f>
        <v>壹仟壹佰玖拾壹万元整</v>
      </c>
      <c r="G5" s="3347"/>
      <c r="H5" s="3347" t="str">
        <f ca="1">IF('数据-取费表'!E3="否",结果表!H122,'结果表 (1修多)'!H126)</f>
        <v>捌仟零肆拾伍万元整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9" t="s">
        <v>1030</v>
      </c>
      <c r="B7" s="3349"/>
      <c r="C7" s="3349"/>
      <c r="D7" s="3350">
        <f>IF('数据-取费表'!E3="否",结果表!D124,'结果表 (1修多)'!D128)</f>
        <v>0</v>
      </c>
      <c r="E7" s="3351"/>
      <c r="F7" s="3351"/>
      <c r="G7" s="3351"/>
      <c r="H7" s="3351"/>
      <c r="I7" s="3352"/>
    </row>
    <row r="8" spans="1:9" ht="15.75">
      <c r="A8" s="3348" t="str">
        <f>IF('数据-取费表'!E3="否",结果表!A125,'结果表 (1修多)'!A129)</f>
        <v>房地产抵押价值</v>
      </c>
      <c r="B8" s="3348"/>
      <c r="C8" s="3348"/>
      <c r="D8" s="3348">
        <f ca="1">IF('数据-取费表'!E3="否",结果表!D125,'结果表 (1修多)'!D129)</f>
        <v>8045</v>
      </c>
      <c r="E8" s="3348"/>
      <c r="F8" s="3348"/>
      <c r="G8" s="3348"/>
      <c r="H8" s="3348"/>
      <c r="I8" s="3348"/>
    </row>
    <row r="9" spans="1:9" ht="15">
      <c r="A9" s="3349" t="s">
        <v>1030</v>
      </c>
      <c r="B9" s="3349"/>
      <c r="C9" s="3349"/>
      <c r="D9" s="3347">
        <f ca="1">IF('数据-取费表'!E3="否",结果表!D126,'结果表 (1修多)'!D130)</f>
        <v>33793</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9" t="s">
        <v>1030</v>
      </c>
      <c r="B11" s="3349"/>
      <c r="C11" s="3349"/>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55" t="s">
        <v>1030</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2" t="s">
        <v>1043</v>
      </c>
      <c r="B1" s="3362"/>
      <c r="C1" s="3362"/>
      <c r="D1" s="3362"/>
    </row>
    <row r="2" spans="1:4" ht="18">
      <c r="A2" s="3361" t="s">
        <v>1032</v>
      </c>
      <c r="B2" s="3361"/>
      <c r="C2" s="3361"/>
      <c r="D2" s="3361"/>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1" t="s">
        <v>1037</v>
      </c>
      <c r="B7" s="3361"/>
      <c r="C7" s="3361"/>
      <c r="D7" s="3361"/>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58" t="s">
        <v>2495</v>
      </c>
      <c r="B12" s="3360"/>
      <c r="C12" s="3360"/>
      <c r="D12" s="3360"/>
    </row>
    <row r="13" spans="1:4" ht="15.75">
      <c r="A13" s="335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0"/>
      <c r="C13" s="3360"/>
      <c r="D13" s="3360"/>
    </row>
    <row r="14" spans="1:4" ht="30" customHeight="1">
      <c r="A14" s="3358" t="str">
        <f>IF(项目基本情况!D4="抵押","3.抵押双方在办理抵押登记手续时，应使用本公司出具的正式《不动产估价报告书》，特提醒报告使用者注意。","——")</f>
        <v>——</v>
      </c>
      <c r="B14" s="3360"/>
      <c r="C14" s="3360"/>
      <c r="D14" s="3360"/>
    </row>
    <row r="15" spans="1:4" ht="15.75" customHeight="1">
      <c r="A15" s="3358" t="str">
        <f>IF(项目基本情况!D4="抵押","4.本次评估估价师所知悉的法定优先受偿款情况说明如下：","——")</f>
        <v>——</v>
      </c>
      <c r="B15" s="3360"/>
      <c r="C15" s="3360"/>
      <c r="D15" s="3360"/>
    </row>
    <row r="16" spans="1:4" ht="75" customHeight="1">
      <c r="A16" s="3358" t="str">
        <f>IF(项目基本情况!D4="抵押",CONCATENATE(项目基本情况!J13,项目基本情况!J14,项目基本情况!J15),"——")</f>
        <v>——</v>
      </c>
      <c r="B16" s="3358"/>
      <c r="C16" s="3358"/>
      <c r="D16" s="3358"/>
    </row>
    <row r="17" spans="1:4" ht="63.75" customHeight="1">
      <c r="A17" s="3359" t="s">
        <v>1045</v>
      </c>
      <c r="B17" s="3359"/>
      <c r="C17" s="3359"/>
      <c r="D17" s="3359"/>
    </row>
    <row r="18" spans="1:4" ht="15.75" customHeight="1">
      <c r="A18" s="3358" t="str">
        <f>IF(项目基本情况!D4="抵押",结果表!L106,"——")</f>
        <v>——</v>
      </c>
      <c r="B18" s="3358"/>
      <c r="C18" s="3358"/>
      <c r="D18" s="3358"/>
    </row>
    <row r="19" spans="1:4" ht="46.5" customHeight="1">
      <c r="A19" s="335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spans="1:4" ht="15">
      <c r="A20" s="3359" t="s">
        <v>2496</v>
      </c>
      <c r="B20" s="3359"/>
      <c r="C20" s="3359"/>
      <c r="D20" s="3359"/>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39" t="s">
        <v>1129</v>
      </c>
      <c r="B19" s="1340"/>
      <c r="C19" s="1341"/>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2" t="s">
        <v>1135</v>
      </c>
    </row>
    <row r="24" spans="1:3" ht="14.25">
      <c r="A24" s="3366"/>
      <c r="B24" s="3367"/>
      <c r="C24" s="1342" t="s">
        <v>1136</v>
      </c>
    </row>
    <row r="25" spans="1:3" ht="14.25">
      <c r="A25" s="3366"/>
      <c r="B25" s="3367"/>
      <c r="C25" s="1342" t="s">
        <v>1137</v>
      </c>
    </row>
    <row r="26" spans="1:3" ht="14.25">
      <c r="A26" s="3366"/>
      <c r="B26" s="3367"/>
      <c r="C26" s="1342" t="s">
        <v>1138</v>
      </c>
    </row>
    <row r="27" spans="1:3" ht="14.25">
      <c r="A27" s="3366"/>
      <c r="B27" s="3367"/>
      <c r="C27" s="1342" t="s">
        <v>1139</v>
      </c>
    </row>
    <row r="28" spans="1:3" ht="14.25">
      <c r="A28" s="3366"/>
      <c r="B28" s="3367"/>
      <c r="C28" s="1342" t="s">
        <v>1140</v>
      </c>
    </row>
    <row r="29" spans="1:3" ht="14.25">
      <c r="A29" s="3366"/>
      <c r="B29" s="3367"/>
      <c r="C29" s="1342" t="s">
        <v>1141</v>
      </c>
    </row>
    <row r="30" spans="1:3" ht="14.25">
      <c r="A30" s="3366"/>
      <c r="B30" s="3367"/>
      <c r="C30" s="1342" t="s">
        <v>1142</v>
      </c>
    </row>
    <row r="31" spans="1:3" ht="14.25">
      <c r="A31" s="3366"/>
      <c r="B31" s="3367"/>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44783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2472</v>
      </c>
      <c r="B12" s="1229">
        <f ca="1">IF(C12&lt;B2,"已过期",1120040230)</f>
        <v>1120040230</v>
      </c>
      <c r="C12" s="2990">
        <v>44864</v>
      </c>
      <c r="D12" s="2997" t="str">
        <f t="shared" ca="1" si="0"/>
        <v>苏海（注册号：1120040230）</v>
      </c>
      <c r="E12" s="2999" t="s">
        <v>2472</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2488</v>
      </c>
      <c r="B14" s="1229">
        <f ca="1">IF(C14&lt;B2,"已过期",1119980106)</f>
        <v>1119980106</v>
      </c>
      <c r="C14" s="2990">
        <v>44969</v>
      </c>
      <c r="D14" s="2997" t="str">
        <f t="shared" ca="1" si="0"/>
        <v>刘俊财（注册号：1119980106）</v>
      </c>
      <c r="E14" s="2999" t="s">
        <v>2588</v>
      </c>
      <c r="F14" s="1229">
        <f ca="1">IF(G14&lt;B2,"已过期",96010063)</f>
        <v>96010063</v>
      </c>
      <c r="G14" s="2988">
        <v>47483</v>
      </c>
      <c r="H14" s="2989" t="str">
        <f t="shared" ca="1" si="1"/>
        <v>刘俊财（注册号：96010063）</v>
      </c>
    </row>
    <row r="15" spans="1:8" ht="24" customHeight="1">
      <c r="A15" s="1229" t="s">
        <v>2800</v>
      </c>
      <c r="B15" s="1229">
        <v>1120210056</v>
      </c>
      <c r="C15" s="2990">
        <v>45410</v>
      </c>
      <c r="D15" s="2997" t="str">
        <f t="shared" ref="D15" si="2">A15&amp;"（注册号："&amp;B15&amp;"）"</f>
        <v>宁小鳗（注册号：1120210056）</v>
      </c>
      <c r="E15" s="2999" t="s">
        <v>2591</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6"/>
      <c r="E18" s="3373" t="s">
        <v>584</v>
      </c>
      <c r="F18" s="3372"/>
      <c r="G18" s="337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2789</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本次估价的“房地产价值”是指在正常市场情况下，在价值时点2022年8月10日，估价对象规划用途为，假定未设立法定优先受偿款下的房地产市场价值。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2022-08-10T05:39:56Z</dcterms:modified>
</cp:coreProperties>
</file>