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45" yWindow="-60" windowWidth="14880" windowHeight="12615" tabRatio="837" firstSheet="1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 i="43" l="1"/>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C28"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M8" i="15"/>
  <c r="M23" i="67"/>
  <c r="M22" i="15"/>
  <c r="F5" i="73"/>
  <c r="E12" i="76"/>
  <c r="B13" i="76"/>
  <c r="F16" i="15"/>
  <c r="F7" i="67"/>
  <c r="F8" i="15"/>
  <c r="D7" i="73"/>
  <c r="F20" i="31"/>
  <c r="M8" i="67"/>
  <c r="M6" i="15"/>
  <c r="D5" i="73"/>
  <c r="M29" i="15"/>
  <c r="AO10" i="1"/>
  <c r="AO13" i="1"/>
  <c r="D2" i="37"/>
  <c r="F3" i="73"/>
  <c r="F13" i="15"/>
  <c r="M9" i="15"/>
  <c r="D2" i="34"/>
  <c r="E7" i="76"/>
  <c r="B11" i="76"/>
  <c r="F13" i="67"/>
  <c r="C76" i="15"/>
  <c r="F42" i="15"/>
  <c r="E11" i="76"/>
  <c r="F40" i="67"/>
  <c r="AO11" i="1"/>
  <c r="F4" i="73"/>
  <c r="B9" i="76"/>
  <c r="E13" i="76"/>
  <c r="F6" i="67"/>
  <c r="M27" i="15"/>
  <c r="F38" i="15"/>
  <c r="D20" i="9"/>
  <c r="M6" i="67"/>
  <c r="F38" i="67"/>
  <c r="M23" i="15"/>
  <c r="F37" i="15"/>
  <c r="J15" i="15"/>
  <c r="E8" i="76"/>
  <c r="F43" i="67"/>
  <c r="M28" i="15"/>
  <c r="F40" i="15"/>
  <c r="F41" i="15"/>
  <c r="D2" i="36"/>
  <c r="AO7" i="1"/>
  <c r="D34" i="9"/>
  <c r="AO12" i="1"/>
  <c r="L48" i="15"/>
  <c r="D26" i="43" l="1"/>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Q56" i="15" l="1"/>
  <c r="Q62" i="15" s="1"/>
  <c r="Q47" i="15"/>
  <c r="Q53" i="15" s="1"/>
  <c r="C43" i="15"/>
  <c r="B2" i="15"/>
  <c r="B3" i="15" s="1"/>
  <c r="Q65" i="15"/>
  <c r="Q75" i="15" s="1"/>
  <c r="C83" i="15"/>
  <c r="C82" i="15" s="1"/>
  <c r="C46"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N58" i="9"/>
  <c r="P57" i="9"/>
  <c r="D52" i="9"/>
  <c r="D53" i="9"/>
  <c r="C5" i="74"/>
  <c r="D5" i="74"/>
  <c r="C104" i="9"/>
  <c r="H4" i="52"/>
  <c r="C105" i="9"/>
  <c r="I4" i="52"/>
  <c r="E14" i="74"/>
  <c r="F14" i="74"/>
  <c r="D14" i="74"/>
  <c r="B5" i="74"/>
  <c r="D6" i="74"/>
  <c r="C6" i="74"/>
  <c r="B52" i="72"/>
  <c r="B32" i="72"/>
  <c r="B53" i="72"/>
  <c r="B30" i="72"/>
  <c r="D14" i="53"/>
  <c r="G4" i="52"/>
  <c r="B51" i="72"/>
  <c r="B49" i="72"/>
  <c r="D8" i="52"/>
  <c r="D5" i="52"/>
  <c r="C93" i="9"/>
  <c r="C86" i="9"/>
  <c r="B31" i="72"/>
  <c r="C68" i="9"/>
  <c r="D54" i="9"/>
  <c r="H119" i="9"/>
  <c r="H5" i="52"/>
  <c r="C78" i="9"/>
  <c r="C73" i="9"/>
  <c r="F4" i="52"/>
  <c r="C81" i="9"/>
  <c r="B22" i="72"/>
  <c r="B48" i="72"/>
  <c r="D13" i="53"/>
  <c r="N60" i="9"/>
  <c r="N57" i="9"/>
  <c r="N59" i="9"/>
  <c r="N61" i="9"/>
  <c r="H102" i="9"/>
  <c r="D7" i="53"/>
  <c r="B21" i="72"/>
  <c r="M48" i="9"/>
  <c r="G14" i="74"/>
  <c r="B6" i="74"/>
  <c r="E96" i="9"/>
  <c r="E97" i="9"/>
  <c r="D119" i="9"/>
  <c r="C67" i="9"/>
  <c r="D59" i="9"/>
  <c r="M55" i="9"/>
  <c r="H108" i="9"/>
  <c r="D15" i="53"/>
  <c r="C96" i="9"/>
  <c r="C72" i="9"/>
  <c r="C79" i="9"/>
  <c r="C80" i="9"/>
  <c r="E80" i="9"/>
  <c r="E81" i="9"/>
  <c r="M54" i="9"/>
  <c r="G118" i="9"/>
  <c r="F118" i="9"/>
  <c r="F119" i="9"/>
  <c r="F5" i="52"/>
  <c r="E4" i="52"/>
  <c r="C85" i="9"/>
  <c r="C95" i="9"/>
  <c r="C97" i="9"/>
  <c r="D58" i="9"/>
  <c r="D56" i="9"/>
  <c r="D55" i="9"/>
  <c r="M53" i="9"/>
  <c r="B20" i="72"/>
  <c r="D5" i="53"/>
  <c r="D6" i="53"/>
  <c r="H107" i="9"/>
  <c r="D122" i="9"/>
  <c r="D123" i="9"/>
  <c r="D9" i="52"/>
  <c r="E118" i="9"/>
  <c r="D118" i="9"/>
  <c r="D4" i="52"/>
  <c r="B47"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<sst xmlns="http://schemas.openxmlformats.org/spreadsheetml/2006/main" count="7728" uniqueCount="3112">
  <si>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</si>
  <si>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</si>
  <si>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</si>
  <si>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</si>
  <si>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</si>
  <si>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</si>
  <si>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</si>
  <si>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</si>
  <si>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</si>
  <si>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</si>
  <si>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</si>
  <si>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</si>
  <si>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</si>
  <si>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</si>
  <si>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</si>
  <si>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</si>
  <si>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</si>
  <si>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</si>
  <si>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</si>
  <si>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</si>
  <si>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</si>
  <si>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</si>
  <si>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</si>
  <si>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</si>
  <si>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</si>
  <si>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</si>
  <si>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</si>
  <si>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</si>
  <si>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</si>
  <si>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</si>
  <si>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</si>
  <si>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</si>
  <si>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</si>
  <si>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</si>
  <si>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</si>
  <si>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</si>
  <si>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</si>
  <si>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</si>
  <si>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</si>
  <si>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</si>
  <si>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</si>
  <si>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</si>
  <si>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</si>
  <si>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</si>
  <si>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</si>
  <si>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</si>
  <si>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</si>
  <si>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</si>
  <si>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</si>
  <si>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</si>
  <si>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</si>
  <si>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</si>
  <si>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</si>
  <si>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</si>
  <si>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</si>
  <si>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</si>
  <si>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</si>
  <si>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</si>
  <si>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</si>
  <si>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</si>
  <si>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</si>
  <si>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</si>
  <si>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</si>
  <si>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</si>
  <si>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</si>
  <si>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</si>
  <si>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</si>
  <si>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</si>
  <si>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</si>
  <si>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</si>
  <si>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</si>
  <si>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</si>
  <si>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</si>
  <si>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</si>
  <si>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</si>
  <si>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</si>
  <si>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</si>
  <si>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</si>
  <si>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</si>
  <si>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</si>
  <si>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</si>
  <si>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</si>
  <si>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</si>
  <si>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</si>
  <si>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</si>
  <si>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</si>
  <si>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</si>
  <si>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</si>
  <si>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</si>
  <si>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</si>
  <si>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</si>
  <si>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</si>
  <si>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</si>
  <si>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</si>
  <si>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</si>
  <si>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</si>
  <si>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</si>
  <si>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</si>
  <si>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</si>
  <si>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</si>
  <si>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</si>
  <si>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</si>
  <si>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</si>
  <si>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</si>
  <si>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</si>
  <si>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</si>
  <si>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</si>
  <si>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</si>
  <si>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</si>
  <si>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</si>
  <si>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</si>
  <si>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</si>
  <si>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</si>
  <si>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</si>
  <si>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</si>
  <si>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</si>
  <si>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</si>
  <si>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</si>
  <si>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</si>
  <si>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</si>
  <si>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</si>
  <si>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</si>
  <si>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</si>
  <si>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</si>
  <si>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</si>
  <si>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</si>
  <si>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</si>
  <si>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</si>
  <si>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</si>
  <si>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</si>
  <si>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</si>
  <si>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</si>
  <si>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</si>
  <si>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</si>
  <si>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</si>
  <si>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</si>
  <si>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</si>
  <si>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</si>
  <si>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</si>
  <si>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</si>
  <si>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</si>
  <si>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</si>
  <si>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</si>
  <si>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</si>
  <si>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</si>
  <si>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</si>
  <si>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</si>
  <si>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</si>
  <si>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</si>
  <si>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</si>
  <si>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</si>
  <si>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</si>
  <si>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</si>
  <si>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</si>
  <si>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</si>
  <si>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</si>
  <si>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</si>
  <si>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</si>
  <si>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</si>
  <si>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</si>
  <si>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</si>
  <si>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</si>
  <si>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</si>
  <si>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</si>
  <si>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</si>
  <si>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</si>
  <si>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</si>
  <si>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</si>
  <si>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</si>
  <si>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</si>
  <si>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</si>
  <si>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</si>
  <si>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</si>
  <si>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</si>
  <si>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</si>
  <si>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</si>
  <si>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</si>
  <si>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</si>
  <si>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</si>
  <si>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</si>
  <si>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</si>
  <si>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</si>
  <si>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</si>
  <si>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</si>
  <si>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</si>
  <si>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</si>
  <si>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</si>
  <si>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</si>
  <si>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</si>
  <si>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</si>
  <si>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</si>
  <si>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</si>
  <si>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</si>
  <si>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</si>
  <si>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</si>
  <si>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</si>
  <si>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</si>
  <si>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</si>
  <si>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</si>
  <si>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</si>
  <si>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</si>
  <si>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</si>
  <si>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</si>
  <si>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</si>
  <si>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</si>
  <si>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</si>
  <si>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</si>
  <si>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</si>
  <si>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</si>
  <si>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</si>
  <si>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</si>
  <si>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</si>
  <si>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</si>
  <si>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</si>
  <si>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</si>
  <si>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</si>
  <si>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</si>
  <si>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</si>
  <si>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</si>
  <si>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</si>
  <si>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</si>
  <si>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</si>
  <si>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</si>
  <si>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</si>
  <si>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</si>
  <si>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</si>
  <si>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</si>
  <si>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</si>
  <si>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</si>
  <si>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</si>
  <si>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</si>
  <si>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</si>
  <si>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</si>
  <si>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</si>
  <si>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</si>
  <si>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</si>
  <si>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</si>
  <si>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</si>
  <si>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</si>
  <si>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</si>
  <si>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</si>
  <si>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</si>
  <si>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</si>
  <si>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</si>
  <si>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</si>
  <si>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</si>
  <si>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</si>
  <si>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</si>
  <si>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</si>
  <si>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</si>
  <si>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</si>
  <si>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</si>
  <si>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</si>
  <si>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</si>
  <si>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</si>
  <si>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</si>
  <si>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</si>
  <si>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</si>
  <si>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</si>
  <si>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</si>
  <si>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</si>
  <si>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</si>
  <si>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</si>
  <si>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</si>
  <si>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</si>
  <si>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</si>
  <si>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</si>
  <si>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</si>
  <si>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</si>
  <si>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</si>
  <si>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</si>
  <si>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</si>
  <si>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</si>
  <si>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</si>
  <si>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</si>
  <si>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</si>
  <si>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</si>
  <si>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</si>
  <si>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</si>
  <si>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</si>
  <si>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</si>
  <si>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</si>
  <si>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</si>
  <si>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</si>
  <si>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</si>
  <si>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</si>
  <si>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</si>
  <si>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</si>
  <si>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</si>
  <si>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</si>
  <si>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</si>
  <si>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</si>
  <si>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</si>
  <si>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</si>
  <si>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</si>
  <si>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</si>
  <si>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</si>
  <si>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</si>
  <si>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</si>
  <si>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</si>
  <si>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</si>
  <si>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</si>
  <si>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</si>
  <si>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</si>
  <si>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</si>
  <si>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</si>
  <si>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</si>
  <si>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</si>
  <si>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</si>
  <si>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</si>
  <si>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</si>
  <si>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</si>
  <si>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</si>
  <si>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</si>
  <si>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</si>
  <si>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</si>
  <si>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</si>
  <si>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</si>
  <si>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</si>
  <si>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</si>
  <si>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</si>
  <si>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</si>
  <si>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</si>
  <si>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</si>
  <si>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</si>
  <si>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</si>
  <si>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</si>
  <si>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</si>
  <si>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</si>
  <si>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</si>
  <si>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</si>
  <si>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</si>
  <si>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</si>
  <si>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</si>
  <si>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</si>
  <si>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</si>
  <si>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</si>
  <si>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</si>
  <si>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</si>
  <si>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</si>
  <si>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</si>
  <si>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</si>
  <si>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</si>
  <si>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</si>
  <si>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</si>
  <si>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</si>
  <si>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</si>
  <si>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</si>
  <si>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</si>
  <si>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</si>
  <si>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</si>
  <si>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</si>
  <si>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</si>
  <si>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</si>
  <si>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</si>
  <si>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</si>
  <si>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</si>
  <si>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</si>
  <si>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</si>
  <si>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</si>
  <si>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</si>
  <si>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</si>
  <si>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</si>
  <si>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</si>
  <si>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</si>
  <si>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</si>
  <si>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</si>
  <si>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</si>
  <si>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</si>
  <si>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</si>
  <si>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</si>
  <si>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</si>
  <si>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</si>
  <si>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</si>
  <si>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</si>
  <si>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</si>
  <si>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</si>
  <si>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</si>
  <si>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</si>
  <si>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</si>
  <si>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</si>
  <si>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</si>
  <si>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</si>
  <si>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</si>
  <si>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</si>
  <si>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</si>
  <si>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</si>
  <si>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</si>
  <si>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</si>
  <si>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</si>
  <si>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</si>
  <si>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</si>
  <si>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</si>
  <si>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</si>
  <si>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</si>
  <si>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</si>
  <si>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</si>
  <si>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</si>
  <si>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</si>
  <si>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</si>
  <si>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</si>
  <si>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</si>
  <si>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</si>
  <si>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</si>
  <si>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</si>
  <si>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</si>
  <si>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</si>
  <si>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</si>
  <si>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</si>
  <si>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</si>
  <si>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</si>
  <si>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</si>
  <si>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</si>
  <si>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</si>
  <si>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</si>
  <si>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</si>
  <si>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</si>
  <si>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</si>
  <si>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</si>
  <si>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</si>
  <si>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</si>
  <si>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</si>
  <si>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</si>
  <si>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</si>
  <si>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</si>
  <si>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</si>
  <si>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</si>
  <si>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</si>
  <si>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</si>
  <si>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</si>
  <si>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</si>
  <si>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</si>
  <si>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</si>
  <si>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</si>
  <si>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</si>
  <si>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</si>
  <si>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</si>
  <si>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</si>
  <si>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</si>
  <si>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</si>
  <si>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</si>
  <si>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</si>
  <si>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</si>
  <si>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</si>
  <si>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</si>
  <si>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</si>
  <si>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</si>
  <si>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</si>
  <si>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</si>
  <si>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</si>
  <si>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</si>
  <si>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</si>
  <si>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</si>
  <si>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</si>
  <si>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</si>
  <si>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</si>
  <si>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</si>
  <si>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</si>
  <si>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</si>
  <si>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</si>
  <si>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</si>
  <si>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</si>
  <si>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</si>
  <si>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</si>
  <si>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</si>
  <si>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</si>
  <si>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</si>
  <si>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</si>
  <si>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</si>
  <si>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</si>
  <si>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</si>
  <si>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</si>
  <si>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</si>
  <si>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</si>
  <si>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</si>
  <si>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</si>
  <si>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</si>
  <si>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</si>
  <si>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</si>
  <si>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</si>
  <si>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</si>
  <si>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</si>
  <si>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</si>
  <si>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</si>
  <si>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</si>
  <si>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</si>
  <si>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</si>
  <si>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</si>
  <si>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</si>
  <si>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</si>
  <si>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</si>
  <si>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</si>
  <si>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</si>
  <si>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</si>
  <si>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</si>
  <si>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</si>
  <si>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</si>
  <si>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</si>
  <si>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</si>
  <si>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</si>
  <si>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</si>
  <si>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</si>
  <si>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</si>
  <si>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</si>
  <si>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</si>
  <si>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</si>
  <si>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</si>
  <si>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</si>
  <si>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</si>
  <si>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</si>
  <si>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</si>
  <si>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</si>
  <si>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</si>
  <si>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</si>
  <si>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</si>
  <si>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</si>
  <si>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</si>
  <si>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</si>
  <si>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</si>
  <si>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</si>
  <si>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</si>
  <si>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</si>
  <si>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</si>
  <si>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</si>
  <si>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</si>
  <si>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</si>
  <si>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</si>
  <si>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</si>
  <si>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</si>
  <si>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</si>
  <si>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</si>
  <si>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</si>
  <si>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</si>
  <si>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</si>
  <si>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</si>
  <si>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</si>
  <si>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</si>
  <si>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</si>
  <si>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</si>
  <si>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</si>
  <si>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</si>
  <si>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</si>
  <si>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</si>
  <si>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</si>
  <si>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</si>
  <si>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</si>
  <si>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</si>
  <si>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</si>
  <si>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</si>
  <si>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</si>
  <si>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</si>
  <si>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</si>
  <si>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</si>
  <si>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</si>
  <si>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</si>
  <si>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</si>
  <si>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</si>
  <si>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</si>
  <si>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</si>
  <si>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</si>
  <si>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</si>
  <si>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</si>
  <si>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</si>
  <si>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</si>
  <si>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</si>
  <si>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</si>
  <si>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</si>
  <si>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</si>
  <si>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</si>
  <si>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</si>
  <si>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</si>
  <si>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</si>
  <si>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</si>
  <si>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</si>
  <si>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</si>
  <si>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</si>
  <si>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</si>
  <si>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</si>
  <si>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</si>
  <si>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</si>
  <si>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</si>
  <si>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</si>
  <si>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</si>
  <si>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</si>
  <si>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</si>
  <si>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</si>
  <si>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</si>
  <si>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</si>
  <si>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</si>
  <si>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</si>
  <si>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</si>
  <si>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</si>
  <si>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</si>
  <si>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</si>
  <si>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</si>
  <si>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</si>
  <si>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</si>
  <si>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</si>
  <si>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</si>
  <si>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</si>
  <si>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</si>
  <si>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</si>
  <si>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</si>
  <si>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</si>
  <si>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</si>
  <si>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</si>
  <si>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</si>
  <si>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</si>
  <si>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</si>
  <si>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</si>
  <si>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</si>
  <si>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</si>
  <si>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</si>
  <si>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</si>
  <si>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</si>
  <si>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</si>
  <si>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</si>
  <si>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</si>
  <si>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</si>
  <si>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</si>
  <si>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</si>
  <si>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</si>
  <si>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</si>
  <si>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</si>
  <si>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</si>
  <si>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</si>
  <si>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</si>
  <si>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</si>
  <si>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</si>
  <si>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</si>
  <si>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</si>
  <si>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</si>
  <si>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</si>
  <si>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</si>
  <si>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</si>
  <si>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</si>
  <si>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</si>
  <si>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</si>
  <si>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</si>
  <si>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</si>
  <si>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</si>
  <si>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</si>
  <si>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</si>
  <si>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</si>
  <si>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</si>
  <si>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</si>
  <si>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</si>
  <si>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</si>
  <si>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</si>
  <si>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</si>
  <si>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</si>
  <si>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</si>
  <si>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</si>
  <si>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</si>
  <si>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</si>
  <si>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</si>
  <si>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</si>
  <si>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</si>
  <si>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</si>
  <si>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</si>
  <si>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</si>
  <si>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</si>
  <si>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</si>
  <si>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</si>
  <si>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</si>
  <si>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</si>
  <si>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</si>
  <si>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</si>
  <si>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</si>
  <si>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</si>
  <si>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</si>
  <si>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</si>
  <si>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</si>
  <si>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</si>
  <si>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</si>
  <si>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</si>
  <si>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</si>
  <si>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</si>
  <si>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</si>
  <si>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</si>
  <si>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</si>
  <si>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</si>
  <si>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</si>
  <si>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</si>
  <si>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</si>
  <si>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</si>
  <si>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</si>
  <si>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</si>
  <si>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</si>
  <si>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</si>
  <si>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</si>
  <si>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</si>
  <si>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</si>
  <si>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</si>
  <si>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</si>
  <si>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</si>
  <si>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</si>
  <si>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</si>
  <si>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</si>
  <si>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</si>
  <si>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</si>
  <si>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</si>
  <si>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</si>
  <si>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</si>
  <si>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</si>
  <si>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</si>
  <si>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</si>
  <si>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</si>
  <si>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</si>
  <si>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</si>
  <si>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</si>
  <si>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</si>
  <si>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</si>
  <si>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</si>
  <si>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</si>
  <si>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</si>
  <si>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</si>
  <si>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</si>
  <si>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</si>
  <si>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</si>
  <si>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</si>
  <si>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</si>
  <si>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</si>
  <si>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</si>
  <si>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</si>
  <si>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</si>
  <si>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</si>
  <si>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</si>
  <si>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</si>
  <si>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</si>
  <si>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</si>
  <si>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</si>
  <si>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</si>
  <si>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</si>
  <si>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</si>
  <si>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</si>
  <si>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</si>
  <si>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</si>
  <si>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</si>
  <si>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</si>
  <si>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</si>
  <si>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</si>
  <si>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</si>
  <si>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</si>
  <si>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</si>
  <si>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</si>
  <si>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</si>
  <si>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</si>
  <si>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</si>
  <si>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</si>
  <si>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</si>
  <si>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</si>
  <si>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</si>
  <si>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</si>
  <si>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</si>
  <si>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</si>
  <si>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</si>
  <si>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</si>
  <si>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</si>
  <si>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</si>
  <si>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</si>
  <si>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</si>
  <si>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</si>
  <si>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</si>
  <si>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</si>
  <si>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</si>
  <si>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</si>
  <si>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</si>
  <si>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</si>
  <si>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</si>
  <si>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</si>
  <si>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</si>
  <si>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</si>
  <si>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</si>
  <si>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</si>
  <si>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</si>
  <si>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</si>
  <si>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</si>
  <si>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</si>
  <si>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</si>
  <si>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</si>
  <si>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</si>
  <si>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</si>
  <si>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</si>
  <si>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</si>
  <si>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</si>
  <si>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</si>
  <si>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</si>
  <si>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</si>
  <si>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</si>
  <si>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</si>
  <si>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</si>
  <si>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</si>
  <si>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</si>
  <si>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</si>
  <si>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</si>
  <si>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</si>
  <si>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</si>
  <si>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</si>
  <si>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</si>
  <si>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</si>
  <si>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</si>
  <si>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</si>
  <si>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</si>
  <si>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</si>
  <si>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</si>
  <si>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</si>
  <si>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</si>
  <si>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</si>
  <si>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</si>
  <si>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</si>
  <si>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</si>
  <si>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</si>
  <si>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</si>
  <si>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</si>
  <si>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</si>
  <si>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</si>
  <si>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</si>
  <si>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</si>
  <si>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</si>
  <si>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</si>
  <si>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</si>
  <si>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</si>
  <si>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</si>
  <si>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</si>
  <si>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</si>
  <si>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</si>
  <si>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</si>
  <si>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</si>
  <si>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</si>
  <si>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</si>
  <si>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</si>
  <si>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</si>
  <si>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</si>
  <si>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</si>
  <si>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</si>
  <si>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</si>
  <si>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</si>
  <si>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</si>
  <si>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</si>
  <si>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</si>
  <si>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</si>
  <si>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</si>
  <si>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</si>
  <si>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</si>
  <si>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</si>
  <si>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</si>
  <si>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</si>
  <si>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</si>
  <si>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</si>
  <si>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</si>
  <si>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</si>
  <si>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</si>
  <si>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</si>
  <si>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</si>
  <si>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</si>
  <si>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</si>
  <si>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</si>
  <si>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</si>
  <si>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</si>
  <si>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</si>
  <si>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</si>
  <si>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</si>
  <si>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</si>
  <si>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</si>
  <si>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</si>
  <si>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</si>
  <si>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</si>
  <si>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</si>
  <si>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</si>
  <si>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</si>
  <si>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</si>
  <si>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</si>
  <si>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</si>
  <si>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</si>
  <si>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</si>
  <si>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</si>
  <si>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</si>
  <si>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</si>
  <si>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</si>
  <si>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</si>
  <si>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</si>
  <si>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</si>
  <si>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</si>
  <si>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</si>
  <si>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</si>
  <si>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</si>
  <si>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</si>
  <si>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</si>
  <si>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</si>
  <si>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</si>
  <si>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</si>
  <si>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</si>
  <si>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</si>
  <si>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</si>
  <si>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</si>
  <si>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</si>
  <si>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</si>
  <si>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</si>
  <si>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</si>
  <si>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</si>
  <si>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</si>
  <si>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</si>
  <si>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</si>
  <si>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</si>
  <si>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</si>
  <si>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</si>
  <si>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</si>
  <si>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</si>
  <si>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</si>
  <si>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</si>
  <si>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</si>
  <si>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</si>
  <si>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</si>
  <si>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</si>
  <si>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</si>
  <si>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</si>
  <si>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</si>
  <si>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</si>
  <si>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</si>
  <si>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</si>
  <si>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</si>
  <si>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</si>
  <si>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</si>
  <si>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</si>
  <si>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</si>
  <si>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</si>
  <si>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</si>
  <si>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</si>
  <si>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</si>
  <si>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</si>
  <si>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</si>
  <si>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</si>
  <si>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</si>
  <si>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</si>
  <si>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</si>
  <si>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</si>
  <si>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</si>
  <si>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</si>
  <si>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</si>
  <si>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</si>
  <si>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</si>
  <si>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</si>
  <si>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</si>
  <si>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</si>
  <si>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</si>
  <si>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</si>
  <si>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</si>
  <si>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</si>
  <si>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</si>
  <si>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</si>
  <si>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</si>
  <si>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</si>
  <si>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</si>
  <si>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</si>
  <si>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</si>
  <si>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</si>
  <si>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</si>
  <si>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</si>
  <si>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</si>
  <si>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</si>
  <si>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</si>
  <si>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</si>
  <si>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</si>
  <si>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</si>
  <si>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</si>
  <si>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</si>
  <si>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</si>
  <si>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</si>
  <si>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</si>
  <si>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</si>
  <si>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</si>
  <si>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</si>
  <si>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</si>
  <si>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</si>
  <si>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</si>
  <si>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</si>
  <si>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</si>
  <si>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</si>
  <si>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</si>
  <si>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</si>
  <si>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</si>
  <si>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</si>
  <si>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</si>
  <si>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</si>
  <si>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</si>
  <si>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</si>
  <si>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</si>
  <si>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</si>
  <si>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</si>
  <si>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</si>
  <si>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</si>
  <si>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</si>
  <si>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</si>
  <si>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</si>
  <si>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</si>
  <si>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</si>
  <si>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</si>
  <si>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</si>
  <si>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</si>
  <si>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</si>
  <si>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</si>
  <si>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</si>
  <si>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</si>
  <si>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</si>
  <si>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</si>
  <si>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</si>
  <si>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</si>
  <si>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</si>
  <si>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</si>
  <si>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</si>
  <si>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</si>
  <si>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</si>
  <si>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</si>
  <si>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</si>
  <si>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</si>
  <si>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</si>
  <si>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</si>
  <si>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</si>
  <si>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</si>
  <si>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</si>
  <si>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</si>
  <si>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</si>
  <si>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</si>
  <si>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</si>
  <si>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</si>
  <si>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</si>
  <si>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</si>
  <si>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</si>
  <si>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</si>
  <si>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</si>
  <si>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</si>
  <si>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</si>
  <si>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</si>
  <si>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</si>
  <si>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</si>
  <si>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</si>
  <si>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</si>
  <si>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</si>
  <si>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</si>
  <si>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</si>
  <si>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</si>
  <si>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</si>
  <si>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</si>
  <si>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</si>
  <si>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</si>
  <si>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</si>
  <si>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</si>
  <si>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</si>
  <si>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</si>
  <si>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</si>
  <si>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</si>
  <si>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</si>
  <si>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</si>
  <si>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</si>
  <si>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</si>
  <si>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</si>
  <si>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</si>
  <si>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</si>
  <si>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</si>
  <si>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</si>
  <si>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</si>
  <si>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</si>
  <si>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</si>
  <si>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</si>
  <si>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</si>
  <si>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</si>
  <si>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</si>
  <si>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</si>
  <si>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</si>
  <si>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</si>
  <si>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</si>
  <si>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</si>
  <si>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</si>
  <si>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</si>
  <si>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</si>
  <si>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</si>
  <si>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</si>
  <si>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</si>
  <si>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</si>
  <si>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</si>
  <si>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</si>
  <si>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</si>
  <si>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</si>
  <si>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</si>
  <si>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</si>
  <si>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</si>
  <si>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</si>
  <si>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</si>
  <si>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</si>
  <si>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</si>
  <si>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</si>
  <si>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</si>
  <si>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</si>
  <si>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</si>
  <si>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</si>
  <si>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</si>
  <si>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</si>
  <si>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</si>
  <si>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</si>
  <si>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</si>
  <si>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</si>
  <si>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</si>
  <si>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</si>
  <si>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</si>
  <si>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</si>
  <si>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</si>
  <si>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</si>
  <si>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</si>
  <si>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</si>
  <si>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</si>
  <si>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</si>
  <si>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</si>
  <si>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</si>
  <si>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</si>
  <si>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</si>
  <si>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</si>
  <si>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</si>
  <si>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</si>
  <si>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</si>
  <si>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</si>
  <si>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</si>
  <si>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</si>
  <si>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</si>
  <si>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</si>
  <si>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</si>
  <si>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</si>
  <si>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</si>
  <si>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</si>
  <si>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</si>
  <si>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</si>
  <si>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</si>
  <si>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</si>
  <si>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</si>
  <si>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</si>
  <si>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</si>
  <si>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</si>
  <si>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</si>
  <si>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</si>
  <si>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</si>
  <si>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</si>
  <si>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</si>
  <si>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</si>
  <si>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</si>
  <si>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</si>
  <si>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</si>
  <si>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</si>
  <si>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</si>
  <si>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</si>
  <si>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</si>
  <si>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</si>
  <si>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</si>
  <si>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</si>
  <si>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</si>
  <si>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</si>
  <si>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</si>
  <si>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</si>
  <si>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</si>
  <si>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</si>
  <si>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</si>
  <si>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</si>
  <si>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</si>
  <si>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</si>
  <si>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</si>
  <si>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</si>
  <si>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</si>
  <si>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</si>
  <si>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</si>
  <si>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</si>
  <si>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</si>
  <si>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</si>
  <si>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</si>
  <si>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</si>
  <si>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</si>
  <si>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</si>
  <si>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</si>
  <si>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</si>
  <si>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</si>
  <si>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</si>
  <si>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</si>
  <si>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</si>
  <si>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</si>
  <si>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</si>
  <si>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</si>
  <si>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</si>
  <si>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</si>
  <si>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</si>
  <si>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</si>
  <si>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</si>
  <si>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</si>
  <si>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</si>
  <si>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</si>
  <si>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</si>
  <si>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</si>
  <si>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</si>
  <si>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</si>
  <si>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</si>
  <si>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</si>
  <si>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</si>
  <si>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</si>
  <si>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</si>
  <si>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</si>
  <si>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</si>
  <si>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</si>
  <si>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</si>
  <si>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</si>
  <si>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</si>
  <si>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</si>
  <si>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</si>
  <si>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</si>
  <si>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</si>
  <si>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</si>
  <si>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</si>
  <si>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</si>
  <si>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</si>
  <si>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</si>
  <si>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</si>
  <si>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</si>
  <si>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</si>
  <si>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</si>
  <si>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</si>
  <si>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</si>
  <si>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</si>
  <si>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</si>
  <si>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</si>
  <si>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</si>
  <si>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</si>
  <si>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</si>
  <si>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</si>
  <si>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</si>
  <si>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</si>
  <si>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</si>
  <si>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</si>
  <si>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</si>
  <si>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</si>
  <si>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</si>
  <si>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</si>
  <si>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</si>
  <si>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</si>
  <si>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</si>
  <si>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</si>
  <si>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</si>
  <si>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</si>
  <si>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</si>
  <si>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</si>
  <si>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</si>
  <si>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</si>
  <si>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</si>
  <si>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</si>
  <si>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</si>
  <si>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</si>
  <si>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</si>
  <si>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</si>
  <si>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</si>
  <si>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</si>
  <si>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</si>
  <si>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</si>
  <si>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</si>
  <si>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</si>
  <si>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</si>
  <si>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</si>
  <si>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</si>
  <si>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</si>
  <si>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</si>
  <si>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</si>
  <si>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</si>
  <si>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</si>
  <si>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</si>
  <si>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</si>
  <si>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</si>
  <si>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</si>
  <si>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</si>
  <si>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</si>
  <si>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</si>
  <si>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</si>
  <si>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</si>
  <si>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</si>
  <si>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</si>
  <si>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</si>
  <si>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</si>
  <si>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</si>
  <si>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</si>
  <si>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</si>
  <si>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</si>
  <si>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</si>
  <si>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</si>
  <si>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</si>
  <si>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</si>
  <si>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</si>
  <si>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</si>
  <si>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</si>
  <si>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</si>
  <si>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</si>
  <si>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</si>
  <si>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</si>
  <si>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</si>
  <si>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</si>
  <si>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</si>
  <si>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</si>
  <si>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</si>
  <si>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</si>
  <si>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</si>
  <si>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</si>
  <si>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</si>
  <si>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</si>
  <si>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</si>
  <si>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</si>
  <si>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</si>
  <si>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</si>
  <si>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</si>
  <si>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</si>
  <si>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</si>
  <si>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</si>
  <si>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</si>
  <si>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</si>
  <si>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</si>
  <si>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</si>
  <si>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</si>
  <si>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</si>
  <si>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</si>
  <si>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</si>
  <si>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</si>
  <si>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</si>
  <si>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</si>
  <si>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</si>
  <si>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</si>
  <si>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</si>
  <si>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</si>
  <si>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</si>
  <si>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</si>
  <si>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</si>
  <si>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</si>
  <si>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</si>
  <si>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</si>
  <si>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</si>
  <si>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</si>
  <si>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</si>
  <si>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</si>
  <si>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</si>
  <si>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</si>
  <si>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</si>
  <si>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</si>
  <si>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</si>
  <si>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</si>
  <si>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</si>
  <si>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</si>
  <si>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</si>
  <si>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</si>
  <si>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</si>
  <si>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</si>
  <si>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</si>
  <si>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</si>
  <si>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</si>
  <si>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</si>
  <si>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</si>
  <si>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</si>
  <si>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</si>
  <si>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</si>
  <si>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</si>
  <si>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</si>
  <si>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</si>
  <si>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</si>
  <si>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</si>
  <si>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</si>
  <si>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</si>
  <si>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</si>
  <si>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</si>
  <si>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</si>
  <si>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</si>
  <si>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</si>
  <si>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</si>
  <si>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</si>
  <si>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</si>
  <si>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</si>
  <si>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</si>
  <si>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</si>
  <si>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</si>
  <si>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</si>
  <si>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</si>
  <si>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</si>
  <si>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</si>
  <si>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</si>
  <si>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</si>
  <si>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</si>
  <si>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</si>
  <si>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</si>
  <si>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</si>
  <si>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</si>
  <si>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</si>
  <si>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</si>
  <si>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</si>
  <si>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</si>
  <si>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</si>
  <si>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</si>
  <si>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</si>
  <si>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</si>
  <si>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</si>
  <si>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</si>
  <si>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</si>
  <si>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</si>
  <si>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</si>
  <si>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</si>
  <si>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</si>
  <si>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</si>
  <si>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</si>
  <si>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</si>
  <si>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</si>
  <si>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</si>
  <si>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</si>
  <si>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</si>
  <si>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</si>
  <si>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</si>
  <si>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</si>
  <si>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</si>
  <si>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</si>
  <si>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</si>
  <si>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</si>
  <si>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</si>
  <si>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</si>
  <si>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</si>
  <si>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</si>
  <si>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</si>
  <si>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</si>
  <si>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</si>
  <si>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</si>
  <si>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</si>
  <si>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</si>
  <si>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</si>
  <si>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</si>
  <si>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</si>
  <si>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</si>
  <si>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</si>
  <si>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</si>
  <si>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</si>
  <si>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</si>
  <si>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</si>
  <si>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</si>
  <si>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</si>
  <si>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</si>
  <si>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</si>
  <si>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</si>
  <si>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</si>
  <si>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</si>
  <si>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</si>
  <si>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</si>
  <si>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</si>
  <si>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</si>
  <si>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</si>
  <si>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</si>
  <si>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</si>
  <si>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</si>
  <si>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</si>
  <si>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</si>
  <si>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</si>
  <si>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</si>
  <si>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</si>
  <si>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</si>
  <si>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</si>
  <si>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</si>
  <si>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</si>
  <si>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</si>
  <si>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</si>
  <si>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</si>
  <si>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</si>
  <si>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</si>
  <si>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</si>
  <si>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</si>
  <si>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</si>
  <si>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</si>
  <si>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</si>
  <si>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</si>
  <si>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</si>
  <si>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</si>
  <si>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</si>
  <si>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</si>
  <si>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</si>
  <si>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</si>
  <si>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</si>
  <si>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</si>
  <si>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</si>
  <si>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</si>
  <si>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</si>
  <si>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</si>
  <si>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</si>
  <si>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</si>
  <si>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</si>
  <si>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</si>
  <si>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</si>
  <si>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</si>
  <si>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</si>
  <si>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</si>
  <si>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</si>
  <si>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</si>
  <si>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</si>
  <si>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</si>
  <si>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</si>
  <si>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</si>
  <si>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</si>
  <si>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</si>
  <si>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</si>
  <si>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</si>
  <si>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</si>
  <si>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</si>
  <si>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</si>
  <si>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</si>
  <si>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</si>
  <si>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</si>
  <si>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</si>
  <si>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</si>
  <si>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</si>
  <si>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</si>
  <si>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</si>
  <si>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</si>
  <si>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</si>
  <si>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</si>
  <si>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</si>
  <si>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</si>
  <si>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</si>
  <si>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</si>
  <si>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</si>
  <si>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</si>
  <si>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</si>
  <si>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</si>
  <si>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</si>
  <si>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</si>
  <si>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</si>
  <si>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</si>
  <si>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</si>
  <si>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</si>
  <si>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</si>
  <si>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</si>
  <si>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</si>
  <si>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</si>
  <si>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</si>
  <si>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</si>
  <si>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</si>
  <si>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</si>
  <si>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</si>
  <si>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</si>
  <si>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</si>
  <si>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</si>
  <si>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</si>
  <si>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</si>
  <si>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</si>
  <si>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</si>
  <si>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</si>
  <si>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</si>
  <si>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</si>
  <si>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</si>
  <si>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</si>
  <si>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</si>
  <si>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</si>
  <si>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</si>
  <si>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</si>
  <si>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</si>
  <si>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</si>
  <si>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</si>
  <si>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</si>
  <si>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</si>
  <si>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</si>
  <si>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</si>
  <si>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</si>
  <si>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</si>
  <si>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</si>
  <si>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</si>
  <si>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</si>
  <si>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</si>
  <si>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</si>
  <si>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</si>
  <si>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</si>
  <si>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</si>
  <si>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</si>
  <si>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</si>
  <si>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</si>
  <si>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</si>
  <si>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</si>
  <si>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</si>
  <si>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</si>
  <si>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</si>
  <si>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</si>
  <si>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</si>
  <si>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</si>
  <si>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</si>
  <si>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</si>
  <si>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</si>
  <si>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</si>
  <si>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</si>
  <si>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</si>
  <si>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</si>
  <si>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</si>
  <si>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</si>
  <si>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</si>
  <si>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</si>
  <si>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</si>
  <si>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</si>
  <si>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</si>
  <si>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</si>
  <si>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</si>
  <si>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</si>
  <si>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</si>
  <si>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</si>
  <si>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</si>
  <si>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</si>
  <si>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</si>
  <si>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</si>
  <si>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</si>
  <si>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</si>
  <si>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</si>
  <si>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</si>
  <si>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</si>
  <si>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</si>
  <si>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</si>
  <si>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</si>
  <si>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</si>
  <si>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</si>
  <si>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</si>
  <si>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</si>
  <si>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</si>
  <si>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</si>
  <si>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</si>
  <si>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</si>
  <si>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</si>
  <si>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</si>
  <si>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</si>
  <si>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</si>
  <si>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</si>
  <si>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</si>
  <si>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</si>
  <si>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</si>
  <si>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</si>
  <si>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</si>
  <si>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</si>
  <si>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</si>
  <si>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</si>
  <si>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</si>
  <si>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</si>
  <si>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</si>
  <si>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</si>
  <si>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</si>
  <si>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</si>
  <si>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</si>
  <si>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</si>
  <si>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</si>
  <si>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</si>
  <si>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</si>
  <si>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</si>
  <si>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</si>
  <si>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</si>
  <si>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</si>
  <si>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</si>
  <si>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</si>
  <si>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</si>
  <si>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</si>
  <si>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</si>
  <si>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</si>
  <si>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</si>
  <si>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</si>
  <si>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</si>
  <si>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</si>
  <si>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</si>
  <si>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</si>
  <si>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</si>
  <si>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</si>
  <si>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</si>
  <si>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</si>
  <si>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</si>
  <si>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</si>
  <si>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</si>
  <si>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</si>
  <si>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</si>
  <si>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</si>
  <si>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</si>
  <si>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</si>
  <si>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</si>
  <si>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</si>
  <si>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</si>
  <si>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</si>
  <si>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</si>
  <si>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</si>
  <si>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</si>
  <si>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</si>
  <si>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</si>
  <si>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</si>
  <si>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</si>
  <si>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</si>
  <si>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</si>
  <si>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</si>
  <si>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</si>
  <si>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</si>
  <si>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</si>
  <si>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</si>
  <si>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</si>
  <si>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</si>
  <si>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</si>
  <si>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</si>
  <si>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</si>
  <si>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</si>
  <si>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</si>
  <si>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</si>
  <si>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</si>
  <si>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</si>
  <si>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</si>
  <si>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</si>
  <si>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</si>
  <si>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</si>
  <si>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</si>
  <si>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</si>
  <si>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</si>
  <si>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</si>
  <si>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</si>
  <si>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</si>
  <si>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</si>
  <si>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</si>
  <si>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</si>
  <si>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</si>
  <si>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</si>
  <si>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</si>
  <si>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</si>
  <si>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</si>
  <si>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</si>
  <si>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</si>
  <si>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</si>
  <si>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</si>
  <si>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</si>
  <si>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</si>
  <si>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</si>
  <si>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</si>
  <si>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</si>
  <si>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</si>
  <si>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</si>
  <si>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</si>
  <si>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</si>
  <si>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</si>
  <si>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</si>
  <si>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</si>
  <si>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</si>
  <si>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</si>
  <si>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</si>
  <si>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</si>
  <si>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</si>
  <si>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</si>
  <si>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</si>
  <si>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</si>
  <si>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</si>
  <si>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</si>
  <si>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</si>
  <si>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</si>
  <si>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</si>
  <si>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</si>
  <si>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</si>
  <si>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</si>
  <si>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</si>
  <si>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</si>
  <si>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</si>
  <si>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</si>
  <si>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</si>
  <si>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</si>
  <si>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</si>
  <si>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</si>
  <si>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</si>
  <si>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</si>
  <si>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</si>
  <si>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</si>
  <si>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</si>
  <si>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</si>
  <si>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</si>
  <si>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</si>
  <si>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</si>
  <si>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</si>
  <si>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</si>
  <si>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</si>
  <si>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</si>
  <si>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</si>
  <si>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</si>
  <si>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</si>
  <si>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</si>
  <si>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</si>
  <si>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</si>
  <si>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</si>
  <si>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</si>
  <si>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</si>
  <si>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</si>
  <si>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</si>
  <si>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</si>
  <si>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</si>
  <si>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</si>
  <si>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</si>
  <si>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</si>
  <si>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</si>
  <si>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</si>
  <si>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</si>
  <si>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</si>
  <si>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</si>
  <si>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</si>
  <si>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</si>
  <si>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</si>
  <si>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</si>
  <si>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</si>
  <si>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</si>
  <si>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</si>
  <si>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</si>
  <si>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</si>
  <si>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</si>
  <si>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</si>
  <si>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</si>
  <si>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</si>
  <si>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</si>
  <si>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</si>
  <si>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</si>
  <si>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</si>
  <si>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</si>
  <si>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</si>
  <si>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</si>
  <si>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</si>
  <si>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</si>
  <si>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</si>
  <si>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</si>
  <si>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</si>
  <si>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</si>
  <si>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</si>
  <si>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</si>
  <si>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</si>
  <si>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</si>
  <si>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</si>
  <si>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</si>
  <si>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</si>
  <si>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</si>
  <si>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</si>
  <si>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</si>
  <si>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</si>
  <si>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</si>
  <si>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</si>
  <si>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</si>
  <si>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</si>
  <si>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</si>
  <si>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</si>
  <si>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</si>
  <si>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</si>
  <si>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</si>
  <si>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</si>
  <si>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</si>
  <si>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</si>
  <si>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</si>
  <si>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</si>
  <si>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</si>
  <si>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</si>
  <si>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</si>
  <si>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</si>
  <si>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</si>
  <si>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</si>
  <si>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</si>
  <si>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</si>
  <si>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</si>
  <si>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</si>
  <si>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</si>
  <si>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</si>
  <si>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</si>
  <si>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</si>
  <si>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</si>
  <si>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</si>
  <si>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</si>
  <si>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</si>
  <si>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</si>
  <si>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</si>
  <si>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</si>
  <si>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</si>
  <si>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</si>
  <si>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</si>
  <si>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</si>
  <si>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</si>
  <si>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</si>
  <si>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</si>
  <si>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</si>
  <si>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</si>
  <si>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</si>
  <si>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</si>
  <si>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</si>
  <si>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</si>
  <si>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</si>
  <si>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</si>
  <si>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</si>
  <si>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</si>
  <si>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</si>
  <si>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</si>
  <si>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</si>
  <si>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</si>
  <si>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</si>
  <si>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</si>
  <si>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</si>
  <si>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</si>
  <si>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</si>
  <si>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</si>
  <si>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</si>
  <si>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</si>
  <si>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</si>
  <si>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</si>
  <si>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</si>
  <si>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</si>
  <si>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</si>
  <si>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</si>
  <si>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</si>
  <si>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</si>
  <si>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</si>
  <si>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</si>
  <si>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</si>
  <si>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</si>
  <si>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</si>
  <si>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</si>
  <si>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</si>
  <si>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</si>
  <si>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</si>
  <si>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</si>
  <si>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</si>
  <si>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</si>
  <si>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</si>
  <si>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</si>
  <si>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</si>
  <si>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</si>
  <si>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</si>
  <si>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</si>
  <si>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</si>
  <si>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</si>
  <si>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</si>
  <si>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</si>
  <si>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</si>
  <si>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</si>
  <si>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</si>
  <si>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</si>
  <si>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</si>
  <si>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</si>
  <si>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</si>
  <si>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</si>
  <si>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</si>
  <si>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</si>
  <si>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</si>
  <si>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</si>
  <si>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</si>
  <si>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</si>
  <si>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</si>
  <si>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</si>
  <si>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</si>
  <si>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</si>
  <si>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</si>
  <si>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</si>
  <si>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</si>
  <si>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</si>
  <si>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</si>
  <si>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</si>
  <si>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</si>
  <si>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</si>
  <si>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</si>
  <si>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</si>
  <si>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</si>
  <si>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</si>
  <si>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</si>
  <si>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</si>
  <si>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</si>
  <si>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</si>
  <si>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</si>
  <si>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</si>
  <si>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</si>
  <si>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</si>
  <si>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</si>
  <si>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</si>
  <si>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</si>
  <si>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</si>
  <si>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</si>
  <si>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</si>
  <si>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</si>
  <si>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</si>
  <si>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</si>
  <si>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</si>
  <si>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</si>
  <si>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</si>
  <si>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</si>
  <si>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</si>
  <si>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</si>
  <si>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</si>
  <si>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</si>
  <si>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</si>
  <si>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</si>
  <si>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</si>
  <si>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</si>
  <si>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</si>
  <si>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</si>
  <si>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</si>
  <si>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</si>
  <si>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</si>
  <si>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</si>
  <si>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</si>
  <si>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</si>
  <si>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</si>
  <si>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</si>
  <si>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</si>
  <si>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</si>
  <si>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</si>
  <si>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</si>
  <si>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</si>
  <si>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</si>
  <si>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</si>
  <si>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</si>
  <si>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</si>
  <si>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</si>
  <si>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</si>
  <si>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</si>
  <si>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</si>
  <si>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</si>
  <si>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</si>
  <si>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</si>
  <si>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</si>
  <si>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</si>
  <si>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</si>
  <si>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</si>
  <si>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</si>
  <si>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</si>
  <si>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</si>
  <si>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</si>
  <si>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</si>
  <si>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</si>
  <si>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</si>
  <si>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</si>
  <si>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</si>
  <si>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</si>
  <si>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</si>
  <si>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</si>
  <si>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</si>
  <si>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</si>
  <si>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</si>
  <si>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</si>
  <si>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</si>
  <si>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</si>
  <si>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</si>
  <si>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</si>
  <si>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</si>
  <si>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</si>
  <si>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</si>
  <si>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</si>
  <si>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</si>
  <si>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</si>
  <si>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</si>
  <si>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</si>
  <si>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</si>
  <si>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</si>
  <si>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</si>
  <si>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</si>
  <si>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</si>
  <si>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</si>
  <si>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</si>
  <si>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</si>
  <si>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</si>
  <si>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</si>
  <si>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</si>
  <si>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</si>
  <si>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</si>
  <si>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</si>
  <si>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</si>
  <si>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</si>
  <si>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</si>
  <si>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</si>
  <si>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</si>
  <si>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</si>
  <si>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</si>
  <si>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</si>
  <si>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</si>
  <si>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</si>
  <si>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</si>
  <si>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</si>
  <si>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</si>
  <si>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</si>
  <si>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</si>
  <si>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</si>
  <si>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</si>
  <si>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</si>
  <si>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</si>
  <si>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</si>
  <si>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</si>
  <si>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</si>
  <si>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</si>
  <si>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</si>
  <si>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</si>
  <si>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</si>
  <si>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</si>
  <si>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</si>
  <si>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</si>
  <si>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</si>
  <si>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</si>
  <si>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</si>
  <si>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</si>
  <si>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</si>
  <si>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</si>
  <si>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</si>
  <si>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</si>
  <si>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</si>
  <si>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</si>
  <si>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</si>
  <si>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</si>
  <si>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</si>
  <si>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</si>
  <si>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</si>
  <si>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</si>
  <si>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</si>
  <si>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</si>
  <si>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</si>
  <si>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</si>
  <si>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</si>
  <si>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</si>
  <si>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</si>
  <si>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</si>
  <si>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</si>
  <si>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</si>
  <si>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</si>
  <si>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</si>
  <si>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</si>
  <si>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</si>
  <si>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</si>
  <si>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</si>
  <si>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</si>
  <si>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</si>
  <si>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</si>
  <si>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</si>
  <si>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</si>
  <si>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</si>
  <si>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</si>
  <si>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</si>
  <si>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</si>
  <si>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</si>
  <si>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</si>
  <si>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</si>
  <si>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</si>
  <si>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</si>
  <si>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</si>
  <si>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</si>
  <si>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</si>
  <si>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</si>
  <si>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</si>
  <si>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</si>
  <si>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</si>
  <si>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</si>
  <si>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</si>
  <si>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</si>
  <si>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</si>
  <si>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</si>
  <si>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</si>
  <si>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</si>
  <si>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</si>
  <si>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</si>
  <si>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</si>
  <si>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</si>
  <si>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</si>
  <si>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</si>
  <si>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</si>
  <si>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</si>
  <si>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</si>
  <si>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</si>
  <si>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</si>
  <si>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</si>
  <si>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</si>
  <si>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</si>
  <si>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</si>
  <si>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</si>
  <si>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</si>
  <si>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</si>
  <si>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</si>
  <si>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</si>
  <si>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</si>
  <si>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</si>
  <si>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</si>
  <si>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</si>
  <si>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</si>
  <si>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</si>
  <si>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</si>
  <si>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</si>
  <si>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</si>
  <si>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</si>
  <si>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</si>
  <si>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</si>
  <si>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</si>
  <si>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</si>
  <si>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</si>
  <si>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</si>
  <si>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</si>
  <si>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</si>
  <si>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</si>
  <si>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</si>
  <si>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</si>
  <si>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</si>
  <si>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</si>
  <si>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</si>
  <si>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</si>
  <si>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</si>
  <si>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</si>
  <si>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</si>
  <si>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</si>
  <si>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</si>
  <si>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</si>
  <si>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</si>
  <si>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</si>
  <si>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</si>
  <si>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</si>
  <si>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</si>
  <si>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</si>
  <si>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</si>
  <si>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</si>
  <si>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</si>
  <si>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</si>
  <si>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</si>
  <si>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</si>
  <si>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</si>
  <si>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</si>
  <si>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</si>
  <si>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</si>
  <si>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</si>
  <si>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</si>
  <si>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</si>
  <si>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</si>
  <si>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</si>
  <si>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</si>
  <si>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</si>
  <si>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</si>
  <si>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</si>
  <si>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</si>
  <si>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</si>
  <si>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</si>
  <si>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</si>
  <si>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</si>
  <si>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</si>
  <si>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</si>
  <si>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</si>
  <si>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</si>
  <si>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</si>
  <si>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</si>
  <si>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</si>
  <si>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</si>
  <si>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</si>
  <si>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</si>
  <si>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</si>
  <si>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</si>
  <si>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</si>
  <si>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</si>
  <si>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</si>
  <si>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</si>
  <si>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</si>
  <si>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</si>
  <si>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</si>
  <si>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</si>
  <si>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</si>
  <si>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</si>
  <si>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</si>
  <si>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</si>
  <si>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</si>
  <si>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</si>
  <si>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</si>
  <si>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</si>
  <si>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</si>
  <si>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</si>
  <si>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</si>
  <si>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</si>
  <si>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</si>
  <si>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</si>
  <si>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</si>
  <si>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</si>
  <si>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</si>
  <si>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</si>
  <si>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</si>
  <si>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</si>
  <si>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</si>
  <si>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</si>
  <si>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</si>
  <si>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</si>
  <si>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</si>
  <si>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</si>
  <si>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</si>
  <si>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</si>
  <si>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</si>
  <si>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</si>
  <si>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</si>
  <si>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</si>
  <si>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</si>
  <si>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</si>
  <si>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</si>
  <si>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</si>
  <si>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</si>
  <si>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</si>
  <si>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</si>
  <si>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</si>
  <si>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</si>
  <si>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</si>
  <si>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</si>
  <si>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</si>
  <si>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</si>
  <si>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</si>
  <si>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</si>
  <si>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</si>
  <si>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</si>
  <si>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</si>
  <si>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</si>
  <si>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</si>
  <si>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</si>
  <si>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</si>
  <si>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</si>
  <si>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</si>
  <si>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</si>
  <si>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</si>
  <si>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</si>
  <si>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</si>
  <si>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</si>
  <si>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</si>
  <si>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</si>
  <si>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</si>
  <si>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</si>
  <si>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</si>
  <si>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</si>
  <si>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</si>
  <si>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</si>
  <si>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</si>
  <si>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</si>
  <si>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</si>
  <si>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</si>
  <si>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</si>
  <si>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</si>
  <si>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</si>
  <si>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</si>
  <si>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</si>
  <si>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</si>
  <si>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</si>
  <si>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</si>
  <si>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</si>
  <si>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</si>
  <si>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</si>
  <si>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</si>
  <si>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</si>
  <si>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</si>
  <si>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</si>
  <si>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</si>
  <si>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</si>
  <si>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</si>
  <si>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</si>
  <si>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</si>
  <si>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</si>
  <si>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</si>
  <si>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</si>
  <si>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</si>
  <si>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</si>
  <si>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</si>
  <si>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</si>
  <si>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</si>
  <si>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</si>
  <si>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</si>
  <si>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</si>
  <si>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</si>
  <si>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</si>
  <si>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</si>
  <si>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</si>
  <si>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</si>
  <si>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</si>
  <si>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</si>
  <si>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</si>
  <si>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</si>
  <si>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</si>
  <si>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</si>
  <si>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</si>
  <si>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</si>
  <si>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</si>
  <si>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</si>
  <si>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</si>
  <si>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</si>
  <si>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</si>
  <si>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</si>
  <si>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</si>
  <si>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</si>
  <si>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</si>
  <si>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</si>
  <si>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</si>
  <si>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</si>
  <si>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</si>
  <si>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</si>
  <si>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</si>
  <si>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</si>
  <si>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</si>
  <si>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</si>
  <si>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</si>
  <si>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</si>
  <si>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</si>
  <si>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</si>
  <si>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</si>
  <si>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</si>
  <si>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</si>
  <si>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</si>
  <si>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</si>
  <si>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</si>
  <si>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</si>
  <si>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</si>
  <si>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</si>
  <si>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</si>
  <si>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</si>
  <si>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</si>
  <si>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</si>
  <si>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</si>
  <si>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</si>
  <si>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</si>
  <si>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</si>
  <si>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</si>
  <si>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</si>
  <si>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</si>
  <si>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</si>
  <si>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</si>
  <si>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</si>
  <si>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</si>
  <si>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</si>
  <si>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</si>
  <si>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</si>
  <si>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</si>
  <si>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</si>
  <si>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</si>
  <si>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</si>
  <si>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</si>
  <si>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</si>
  <si>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</si>
  <si>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</si>
  <si>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</si>
  <si>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</si>
  <si>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</si>
  <si>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</si>
  <si>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</si>
  <si>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</si>
  <si>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</si>
  <si>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</si>
  <si>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</si>
  <si>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</si>
  <si>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</si>
  <si>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</si>
  <si>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</si>
  <si>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</si>
  <si>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</si>
  <si>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</si>
  <si>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</si>
  <si>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</si>
  <si>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</si>
  <si>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</si>
  <si>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</si>
  <si>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</si>
  <si>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</si>
  <si>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</si>
  <si>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</si>
  <si>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</si>
  <si>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</si>
  <si>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</si>
  <si>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</si>
  <si>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</si>
  <si>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</si>
  <si>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</si>
  <si>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</si>
  <si>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</si>
  <si>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</si>
  <si>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</si>
  <si>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</si>
  <si>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</si>
  <si>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</si>
  <si>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</si>
  <si>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</si>
  <si>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</si>
  <si>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</si>
  <si>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</si>
  <si>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</si>
  <si>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</si>
  <si>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</si>
  <si>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</si>
  <si>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</si>
  <si>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</si>
  <si>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</si>
  <si>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</si>
  <si>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</si>
  <si>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</si>
  <si>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</si>
  <si>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</si>
  <si>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</si>
  <si>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</si>
  <si>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</si>
  <si>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</si>
  <si>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</si>
  <si>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</si>
  <si>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</si>
  <si>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</si>
  <si>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</si>
  <si>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</si>
  <si>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</si>
  <si>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</si>
  <si>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</si>
  <si>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</si>
  <si>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</si>
  <si>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</si>
  <si>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</si>
  <si>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</si>
  <si>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</si>
  <si>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</si>
  <si>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</si>
  <si>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</si>
  <si>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</si>
  <si>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</si>
  <si>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</si>
  <si>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</si>
  <si>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</si>
  <si>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</si>
  <si>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</si>
  <si>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</si>
  <si>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</si>
  <si>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</si>
  <si>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</si>
  <si>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</si>
  <si>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</si>
  <si>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</si>
  <si>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</si>
  <si>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</si>
  <si>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</si>
  <si>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</si>
  <si>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</si>
  <si>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</si>
  <si>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</si>
  <si>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</si>
  <si>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</si>
  <si>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</si>
  <si>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</si>
  <si>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</si>
  <si>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</si>
  <si>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</si>
  <si>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</si>
  <si>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</si>
  <si>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</si>
  <si>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</si>
  <si>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</si>
  <si>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</si>
  <si>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</si>
  <si>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</si>
  <si>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</si>
  <si>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</si>
  <si>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</si>
  <si>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</si>
  <si>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</si>
  <si>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</si>
  <si>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</si>
  <si>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</si>
  <si>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</si>
  <si>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</si>
  <si>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</si>
  <si>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</si>
  <si>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</si>
  <si>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</si>
  <si>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</si>
  <si>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</si>
  <si>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</si>
  <si>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</si>
  <si>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</si>
  <si>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</si>
  <si>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</si>
  <si>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</si>
  <si>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</si>
  <si>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</si>
  <si>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</si>
  <si>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</si>
  <si>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</si>
  <si>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</si>
  <si>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</si>
  <si>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</si>
  <si>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</si>
  <si>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</si>
  <si>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</si>
  <si>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</si>
  <si>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</si>
  <si>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</si>
  <si>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</si>
  <si>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</si>
  <si>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</si>
  <si>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</si>
  <si>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</si>
  <si>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</si>
  <si>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</si>
  <si>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</si>
  <si>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</si>
  <si>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</si>
  <si>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</si>
  <si>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</si>
  <si>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</si>
  <si>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</si>
  <si>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</si>
  <si>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</si>
  <si>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</si>
  <si>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</si>
  <si>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</si>
  <si>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</si>
  <si>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</si>
  <si>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</si>
  <si>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</si>
  <si>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</si>
  <si>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</si>
  <si>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</si>
  <si>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</si>
  <si>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</si>
  <si>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</si>
  <si>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</si>
  <si>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</si>
  <si>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</si>
  <si>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</si>
  <si>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</si>
  <si>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</si>
  <si>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</si>
  <si>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</si>
  <si>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</si>
  <si>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</si>
  <si>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</si>
  <si>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</si>
  <si>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</si>
  <si>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</si>
  <si>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</si>
  <si>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</si>
  <si>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</si>
  <si>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</si>
  <si>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</si>
  <si>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</si>
  <si>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</si>
  <si>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</si>
  <si>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</si>
  <si>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</si>
  <si>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</si>
  <si>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</si>
  <si>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</si>
  <si>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</si>
  <si>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</si>
  <si>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</si>
  <si>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</si>
  <si>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</si>
  <si>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</si>
  <si>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</si>
  <si>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</si>
  <si>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</si>
  <si>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</si>
  <si>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</si>
  <si>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</si>
  <si>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</si>
  <si>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</si>
  <si>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</si>
  <si>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</si>
  <si>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</si>
  <si>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</si>
  <si>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</si>
  <si>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</si>
  <si>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</si>
  <si>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</si>
  <si>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</si>
  <si>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</si>
  <si>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</si>
  <si>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</si>
  <si>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</si>
  <si>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</si>
  <si>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</si>
  <si>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</si>
  <si>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</si>
  <si>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</si>
  <si>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</si>
  <si>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</si>
  <si>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</si>
  <si>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</si>
  <si>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</si>
  <si>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</si>
  <si>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</si>
  <si>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</si>
  <si>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</si>
  <si>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</si>
  <si>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</si>
  <si>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</si>
  <si>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</si>
  <si>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</si>
  <si>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</si>
  <si>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</si>
  <si>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</si>
  <si>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</si>
  <si>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</si>
  <si>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</si>
  <si>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</si>
  <si>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</si>
  <si>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</si>
  <si>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</si>
  <si>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</si>
  <si>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</si>
  <si>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</si>
  <si>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</si>
  <si>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</si>
  <si>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</si>
  <si>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</si>
  <si>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</si>
  <si>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</si>
  <si>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</si>
  <si>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</si>
  <si>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</si>
  <si>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</si>
  <si>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</si>
  <si>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</si>
  <si>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</si>
  <si>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</si>
  <si>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</si>
  <si>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</si>
  <si>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</si>
  <si>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</si>
  <si>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</si>
  <si>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</si>
  <si>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</si>
  <si>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</si>
  <si>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</si>
  <si>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</si>
  <si>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</si>
  <si>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</si>
  <si>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</si>
  <si>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</si>
  <si>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</si>
  <si>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</si>
  <si>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</si>
  <si>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</si>
  <si>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</si>
  <si>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</si>
  <si>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</si>
  <si>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</si>
  <si>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</si>
  <si>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</si>
  <si>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</si>
  <si>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</si>
  <si>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</si>
  <si>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</si>
  <si>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</si>
  <si>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</si>
  <si>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</si>
  <si>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</si>
  <si>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</si>
  <si>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</si>
  <si>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</si>
  <si>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</si>
  <si>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</si>
  <si>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</si>
  <si>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</si>
  <si>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</si>
  <si>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</si>
  <si>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</si>
  <si>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</si>
  <si>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</si>
  <si>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</si>
  <si>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</si>
  <si>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</si>
  <si>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</si>
  <si>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</si>
  <si>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</si>
  <si>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</si>
  <si>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</si>
  <si>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</si>
  <si>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</si>
  <si>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</si>
  <si>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</si>
  <si>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</si>
  <si>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</si>
  <si>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</si>
  <si>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</si>
  <si>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</si>
  <si>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</si>
  <si>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</si>
  <si>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</si>
  <si>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</si>
  <si>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</si>
  <si>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</si>
  <si>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</si>
  <si>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</si>
  <si>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</si>
  <si>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</si>
  <si>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</si>
  <si>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</si>
  <si>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</si>
  <si>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</si>
  <si>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</si>
  <si>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</si>
  <si>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</si>
  <si>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</si>
  <si>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</si>
  <si>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</si>
  <si>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</si>
  <si>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</si>
  <si>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</si>
  <si>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</si>
  <si>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</si>
  <si>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</si>
  <si>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</si>
  <si>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</si>
  <si>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</si>
  <si>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</si>
  <si>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</si>
  <si>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</si>
  <si>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</si>
  <si>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</si>
  <si>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</si>
  <si>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</si>
  <si>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</si>
  <si>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</si>
  <si>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</si>
  <si>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</si>
  <si>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</si>
  <si>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</si>
  <si>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</si>
  <si>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</si>
  <si>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</si>
  <si>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</si>
  <si>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</si>
  <si>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</si>
  <si>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</si>
  <si>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</si>
  <si>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</si>
  <si>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</si>
  <si>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</si>
  <si>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</si>
  <si>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</si>
  <si>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</si>
  <si>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</si>
  <si>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</si>
  <si>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</si>
  <si>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</si>
  <si>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</si>
  <si>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</si>
  <si>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</si>
  <si>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</si>
  <si>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</si>
  <si>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</si>
  <si>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</si>
  <si>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</si>
  <si>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</si>
  <si>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</si>
  <si>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</si>
  <si>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</si>
  <si>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</si>
  <si>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</si>
  <si>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</si>
  <si>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</si>
  <si>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</si>
  <si>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</si>
  <si>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</si>
  <si>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</si>
  <si>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</si>
  <si>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</si>
  <si>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</si>
  <si>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</si>
  <si>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</si>
  <si>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</si>
  <si>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</si>
  <si>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</si>
  <si>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</si>
  <si>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</si>
  <si>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</si>
  <si>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</si>
  <si>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</si>
  <si>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</si>
  <si>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</si>
  <si>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</si>
  <si>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</si>
  <si>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</si>
  <si>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</si>
  <si>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</si>
  <si>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</si>
  <si>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</si>
  <si>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</si>
  <si>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</si>
  <si>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</si>
  <si>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</si>
  <si>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</si>
  <si>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</si>
  <si>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</si>
  <si>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</si>
  <si>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</si>
  <si>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</si>
  <si>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</si>
  <si>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</si>
  <si>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</si>
  <si>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</si>
  <si>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</si>
  <si>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</si>
  <si>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</si>
  <si>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</si>
  <si>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</si>
  <si>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</si>
  <si>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</si>
  <si>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</si>
  <si>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</si>
  <si>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</si>
  <si>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</si>
  <si>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</si>
  <si>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</si>
  <si>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</si>
  <si>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</si>
  <si>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</si>
  <si>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</si>
  <si>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</si>
  <si>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</si>
  <si>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</si>
  <si>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</si>
  <si>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</si>
  <si>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</si>
  <si>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</si>
  <si>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</si>
  <si>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</si>
  <si>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</si>
  <si>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</si>
  <si>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</si>
  <si>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</si>
  <si>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</si>
  <si>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</si>
  <si>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</si>
  <si>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</si>
  <si>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</si>
  <si>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</si>
  <si>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</si>
  <si>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</si>
  <si>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</si>
  <si>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</si>
  <si>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</si>
  <si>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</si>
  <si>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</si>
  <si>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</si>
  <si>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</si>
  <si>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</si>
  <si>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</si>
  <si>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</si>
  <si>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</si>
  <si>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</si>
  <si>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</si>
  <si>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</si>
  <si>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</si>
  <si>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</si>
  <si>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</si>
  <si>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</si>
  <si>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</si>
  <si>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</si>
  <si>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</si>
  <si>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</si>
  <si>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</si>
  <si>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</si>
  <si>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</si>
  <si>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</si>
  <si>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</si>
  <si>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</si>
  <si>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</si>
  <si>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</si>
  <si>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</si>
  <si>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</si>
  <si>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</si>
  <si>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</si>
  <si>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</si>
  <si>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</si>
  <si>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</si>
  <si>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</si>
  <si>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</si>
  <si>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</si>
  <si>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</si>
  <si>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</si>
  <si>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</si>
  <si>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</si>
  <si>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</si>
  <si>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</si>
  <si>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</si>
  <si>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</si>
  <si>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</si>
  <si>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</si>
  <si>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</si>
  <si>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</si>
  <si>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</si>
  <si>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</si>
  <si>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</si>
  <si>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</si>
  <si>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</si>
  <si>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</si>
  <si>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</si>
  <si>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</si>
  <si>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</si>
  <si>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</si>
  <si>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</si>
  <si>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</si>
  <si>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</si>
  <si>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</si>
  <si>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</si>
  <si>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</si>
  <si>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</si>
  <si>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</si>
  <si>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</si>
  <si>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</si>
  <si>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</si>
  <si>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</si>
  <si>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</si>
  <si>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</si>
  <si>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</si>
  <si>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</si>
  <si>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</si>
  <si>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</si>
  <si>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</si>
  <si>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</si>
  <si>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</si>
  <si>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</si>
  <si>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</si>
  <si>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</si>
  <si>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</si>
  <si>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</si>
  <si>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</si>
  <si>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</si>
  <si>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</si>
  <si>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</si>
  <si>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</si>
  <si>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</si>
  <si>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</si>
  <si>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</si>
  <si>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</si>
  <si>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</si>
  <si>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</si>
  <si>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</si>
  <si>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</si>
  <si>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</si>
  <si>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</si>
  <si>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</si>
  <si>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</si>
  <si>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</si>
  <si>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</si>
  <si>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</si>
  <si>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</si>
  <si>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</si>
  <si>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</si>
  <si>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</si>
  <si>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</si>
  <si>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</si>
  <si>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</si>
  <si>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</si>
  <si>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</si>
  <si>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</si>
  <si>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</si>
  <si>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</si>
  <si>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</si>
  <si>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</si>
  <si>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</si>
  <si>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</si>
  <si>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</si>
  <si>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</si>
  <si>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</si>
  <si>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</si>
  <si>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</si>
  <si>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</si>
  <si>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</si>
  <si>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</si>
  <si>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</si>
  <si>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</si>
  <si>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</si>
  <si>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</si>
  <si>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</si>
  <si>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</si>
  <si>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</si>
  <si>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</si>
  <si>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</si>
  <si>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</si>
  <si>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</si>
  <si>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</si>
  <si>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</si>
  <si>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</si>
  <si>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</si>
  <si>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</si>
  <si>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</si>
  <si>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</si>
  <si>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</si>
  <si>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</si>
  <si>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</si>
  <si>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</si>
  <si>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</si>
  <si>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</si>
  <si>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</si>
  <si>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</si>
  <si>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</si>
  <si>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</si>
  <si>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</si>
  <si>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</si>
  <si>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</si>
  <si>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</si>
  <si>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</si>
  <si>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</si>
  <si>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</si>
  <si>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</si>
  <si>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</si>
  <si>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</si>
  <si>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</si>
  <si>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</si>
  <si>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</si>
  <si>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</si>
  <si>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</si>
  <si>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</si>
  <si>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</si>
  <si>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</si>
  <si>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</si>
  <si>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</si>
  <si>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</si>
  <si>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抵押</t>
  </si>
  <si>
    <t>房地产抵押价值</t>
  </si>
  <si>
    <t>北京市</t>
  </si>
  <si>
    <t>企业</t>
  </si>
  <si>
    <t>自定义容积率</t>
  </si>
  <si>
    <t>不临65条商业街</t>
  </si>
  <si>
    <t>与级别开发程度一致</t>
  </si>
  <si>
    <t>通路</t>
  </si>
  <si>
    <t>通电</t>
  </si>
  <si>
    <t>通讯</t>
  </si>
  <si>
    <t>通上水</t>
  </si>
  <si>
    <t>通下水</t>
  </si>
  <si>
    <t>平整</t>
  </si>
  <si>
    <t>按公示增长率计算</t>
  </si>
  <si>
    <t>中心城区</t>
  </si>
  <si>
    <t>楼层修正</t>
  </si>
  <si>
    <t>较好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</si>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</sst>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xf numFmtId="0" fontId="99" fillId="0" borderId="1" xfId="0" applyNumberFormat="1" applyFont="1" applyBorder="1" applyAlignment="1" applyProtection="1">
      <alignment horizontal="left"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8246;&#21335;&#36335;11&#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2380.7600000000002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2022年8月10日（评估专业人员实地查勘之日）</v>
      </c>
    </row>
    <row r="13" spans="1:2" s="2762" customFormat="1">
      <c r="A13" s="2760" t="s">
        <v>742</v>
      </c>
      <c r="B13" s="2761"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v>44783</v>
      </c>
      <c r="C3" s="2881" t="s">
        <v>2433</v>
      </c>
      <c r="D3" s="352">
        <v>44783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3094</v>
      </c>
      <c r="C8" s="2897"/>
      <c r="D8" s="3041" t="s">
        <v>2439</v>
      </c>
      <c r="E8" s="2898"/>
      <c r="F8" s="2899"/>
      <c r="G8" s="2880"/>
      <c r="H8" s="2880"/>
      <c r="I8" s="2880"/>
      <c r="J8" s="862"/>
      <c r="K8" s="2900"/>
      <c r="L8" s="2893"/>
      <c r="M8" s="2893"/>
      <c r="N8" s="862"/>
      <c r="O8" s="2893"/>
      <c r="P8" s="862"/>
      <c r="Q8" s="862"/>
      <c r="R8" s="862"/>
    </row>
    <row r="9" spans="1:28" ht="13.5" thickBot="1">
      <c r="A9" s="2901" t="s">
        <v>2440</v>
      </c>
      <c r="B9" s="2902" t="s">
        <v>3095</v>
      </c>
      <c r="C9" s="2903"/>
      <c r="D9" s="3042"/>
      <c r="E9" s="2902"/>
      <c r="F9" s="2904"/>
      <c r="G9" s="2905"/>
      <c r="H9" s="2905"/>
      <c r="I9" s="2905"/>
      <c r="J9" s="862"/>
      <c r="K9" s="2892"/>
      <c r="L9" s="2893"/>
      <c r="M9" s="2893"/>
      <c r="N9" s="862"/>
      <c r="O9" s="2893"/>
      <c r="P9" s="862"/>
      <c r="Q9" s="862"/>
      <c r="R9" s="862"/>
    </row>
    <row r="10" spans="1:28" ht="13.5" thickTop="1">
      <c r="A10" s="2906" t="s">
        <v>2441</v>
      </c>
      <c r="B10" s="2907" t="s">
        <v>3096</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3097</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56831</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33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355</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44783</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44783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44783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2022年8月10日（评估专业人员实地查勘之日）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44783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8"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8"/>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8"/>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8"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8"/>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8"/>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N1" zoomScale="70" zoomScaleNormal="80" zoomScaleSheetLayoutView="70" workbookViewId="0">
      <selection activeCell="T4" sqref="T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3974</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Ⅳ-23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25056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2828</v>
      </c>
      <c r="F3" s="2270" t="s">
        <v>3098</v>
      </c>
      <c r="G3" s="2271">
        <v>2.5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19749</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20890</v>
      </c>
      <c r="N4" s="473">
        <f>SUMPRODUCT((因素修正幅度!B55:B86=I2)*(因素修正幅度!C3:G3=E2)*(因素修正幅度!C55:G86))</f>
        <v>0.1</v>
      </c>
      <c r="O4" s="2259"/>
      <c r="P4" s="2259"/>
      <c r="Q4" s="2259"/>
      <c r="R4" s="477">
        <v>3</v>
      </c>
      <c r="S4" s="477">
        <f>ROUND(SUMPRODUCT((B107:B111=R4)*(C106:N106=G2)*(C107:N111)),4)</f>
        <v>1.0004999999999999</v>
      </c>
      <c r="T4" s="477">
        <f t="shared" si="0"/>
        <v>16691</v>
      </c>
      <c r="U4" s="2269">
        <f>[3]项目基本情况!$C$12</f>
        <v>2380.7600000000002</v>
      </c>
      <c r="V4" s="477">
        <f t="shared" si="1"/>
        <v>3974</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20890</v>
      </c>
      <c r="D5" s="2274">
        <f>ROUND(C6*C17+C20,0)</f>
        <v>20890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14721</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20890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14147</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50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3099</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3100</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44783</v>
      </c>
      <c r="H23" s="2361" t="s">
        <v>3107</v>
      </c>
      <c r="I23" s="2360" t="str">
        <f>IF(H23="季度增幅（自定义）",SUMIF(N25:N28,E2,O25:O28),"")</f>
        <v/>
      </c>
      <c r="J23" s="2982" t="s">
        <v>3108</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0.9395</v>
      </c>
      <c r="D24" s="2365" t="s">
        <v>2246</v>
      </c>
      <c r="E24" s="2365">
        <f>存贷款利率!E20/100</f>
        <v>4.3499999999999997E-2</v>
      </c>
      <c r="F24" s="2365" t="s">
        <v>2238</v>
      </c>
      <c r="G24" s="2366">
        <f>SUMIF(M30:Q30,E2,M33:Q33)</f>
        <v>5.5E-2</v>
      </c>
      <c r="H24" s="2365" t="s">
        <v>2247</v>
      </c>
      <c r="I24" s="2367">
        <f>项目基本情况!E15</f>
        <v>33</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3109</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1.042</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3974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994</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994</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10010</v>
      </c>
      <c r="D37" s="2420"/>
      <c r="E37" s="473">
        <f>ROUND(C37*D37/10000,0)</f>
        <v>0</v>
      </c>
      <c r="F37" s="473">
        <f>SUMIF(修正!A57:A68,G2,修正!B57:B68)</f>
        <v>0.6</v>
      </c>
      <c r="G37" s="473">
        <f>ROUND(IF(E2="工业",C37*$M$42,C37*$M$41),0)</f>
        <v>2503</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5005</v>
      </c>
      <c r="D38" s="2420"/>
      <c r="E38" s="473">
        <f t="shared" ref="E38:E42" si="4">ROUND(C38*D38/10000,0)</f>
        <v>0</v>
      </c>
      <c r="F38" s="473">
        <f>SUMIF(修正!A57:A68,G2,修正!C57:C68)</f>
        <v>0.3</v>
      </c>
      <c r="G38" s="473">
        <f>ROUND(IF(E2="工业",C38*$M$42,C38*$M$41),0)</f>
        <v>1251</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4171</v>
      </c>
      <c r="D39" s="2420"/>
      <c r="E39" s="473">
        <f t="shared" si="4"/>
        <v>0</v>
      </c>
      <c r="F39" s="473">
        <f>SUMIF(修正!A57:A68,G2,修正!D57:D68)</f>
        <v>0.25</v>
      </c>
      <c r="G39" s="473">
        <f>ROUND(IF(E2="工业",C39*$M$42,C39*$M$41),0)</f>
        <v>1043</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4171</v>
      </c>
      <c r="D40" s="2420"/>
      <c r="E40" s="473">
        <f t="shared" si="4"/>
        <v>0</v>
      </c>
      <c r="F40" s="495">
        <f>SUMIF(修正!A57:A68,G2,修正!E57:E68)</f>
        <v>0.25</v>
      </c>
      <c r="G40" s="473">
        <f>ROUND(IF(E2="工业",C40*$M$42,C40*$M$41),0)</f>
        <v>1043</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1.042</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3110</v>
      </c>
      <c r="D51" s="499">
        <f t="shared" ref="D51:D59" si="7">SUMIF($J$50:$N$50,C51,J51:N51)</f>
        <v>1.4999999999999999E-2</v>
      </c>
      <c r="E51" s="2458">
        <f>ROUND(SUM(D51:D59),4)</f>
        <v>4.2000000000000003E-2</v>
      </c>
      <c r="F51" s="2329">
        <f>IF(E2="商业",SUMIF(L1:L12,G2,N1:N12),"——")</f>
        <v>0.1</v>
      </c>
      <c r="G51" s="3317">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3110</v>
      </c>
      <c r="D52" s="499">
        <f t="shared" si="7"/>
        <v>1.0999999999999999E-2</v>
      </c>
      <c r="E52" s="2461"/>
      <c r="F52" s="2402"/>
      <c r="G52" s="3317">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3110</v>
      </c>
      <c r="D53" s="499">
        <f t="shared" si="7"/>
        <v>6.0000000000000001E-3</v>
      </c>
      <c r="E53" s="2461"/>
      <c r="F53" s="2402"/>
      <c r="G53" s="3317">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3110</v>
      </c>
      <c r="D54" s="499">
        <f t="shared" si="7"/>
        <v>2.5000000000000001E-3</v>
      </c>
      <c r="E54" s="2461"/>
      <c r="F54" s="2402"/>
      <c r="G54" s="3317">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3111</v>
      </c>
      <c r="D55" s="499">
        <f t="shared" si="7"/>
        <v>-4.0000000000000001E-3</v>
      </c>
      <c r="E55" s="2461"/>
      <c r="F55" s="2402"/>
      <c r="G55" s="3317">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3110</v>
      </c>
      <c r="D56" s="499">
        <f t="shared" si="7"/>
        <v>2.5000000000000001E-3</v>
      </c>
      <c r="E56" s="2461"/>
      <c r="F56" s="2402"/>
      <c r="G56" s="3317">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3110</v>
      </c>
      <c r="D57" s="499">
        <f t="shared" si="7"/>
        <v>2.5000000000000001E-3</v>
      </c>
      <c r="E57" s="2461"/>
      <c r="F57" s="2402"/>
      <c r="G57" s="3317">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3110</v>
      </c>
      <c r="D58" s="499">
        <f t="shared" si="7"/>
        <v>4.0000000000000001E-3</v>
      </c>
      <c r="E58" s="2461"/>
      <c r="F58" s="2402"/>
      <c r="G58" s="3317">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3110</v>
      </c>
      <c r="D59" s="499">
        <f t="shared" si="7"/>
        <v>2.5000000000000001E-3</v>
      </c>
      <c r="E59" s="487"/>
      <c r="F59" s="2402"/>
      <c r="G59" s="3317">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6">I119</f>
        <v>0.80359999999999998</v>
      </c>
      <c r="K119" s="502">
        <f t="shared" si="36"/>
        <v>0.80359999999999998</v>
      </c>
      <c r="L119" s="502">
        <f t="shared" si="36"/>
        <v>0.80359999999999998</v>
      </c>
      <c r="M119" s="504">
        <f t="shared" si="36"/>
        <v>0.80359999999999998</v>
      </c>
    </row>
    <row r="120" spans="1:14">
      <c r="A120" s="2413" t="s">
        <v>2230</v>
      </c>
      <c r="B120" s="502">
        <f>ROUND(0.993-0.0112*B117,4)</f>
        <v>0.96499999999999997</v>
      </c>
      <c r="C120" s="502">
        <f>B120</f>
        <v>0.96499999999999997</v>
      </c>
      <c r="D120" s="502">
        <f>ROUND(0.9415-0.0142*B117,4)</f>
        <v>0.90600000000000003</v>
      </c>
      <c r="E120" s="502">
        <f t="shared" ref="E120:H121" si="37">D120</f>
        <v>0.90600000000000003</v>
      </c>
      <c r="F120" s="502">
        <f t="shared" si="37"/>
        <v>0.90600000000000003</v>
      </c>
      <c r="G120" s="502">
        <f t="shared" si="37"/>
        <v>0.90600000000000003</v>
      </c>
      <c r="H120" s="502">
        <f t="shared" si="37"/>
        <v>0.90600000000000003</v>
      </c>
      <c r="I120" s="502">
        <f>ROUND(0.838-0.0182*B117,4)</f>
        <v>0.79249999999999998</v>
      </c>
      <c r="J120" s="502">
        <f t="shared" si="36"/>
        <v>0.79249999999999998</v>
      </c>
      <c r="K120" s="502">
        <f t="shared" si="36"/>
        <v>0.79249999999999998</v>
      </c>
      <c r="L120" s="502">
        <f t="shared" si="36"/>
        <v>0.79249999999999998</v>
      </c>
      <c r="M120" s="504">
        <f t="shared" si="36"/>
        <v>0.79249999999999998</v>
      </c>
    </row>
    <row r="121" spans="1:14">
      <c r="A121" s="2413" t="s">
        <v>2231</v>
      </c>
      <c r="B121" s="502">
        <f>ROUND(0.9448-0.0115*B117,4)</f>
        <v>0.91610000000000003</v>
      </c>
      <c r="C121" s="502">
        <f>B121</f>
        <v>0.91610000000000003</v>
      </c>
      <c r="D121" s="502">
        <f>ROUND(0.937-0.0145*B117,4)</f>
        <v>0.90080000000000005</v>
      </c>
      <c r="E121" s="502">
        <f t="shared" si="37"/>
        <v>0.90080000000000005</v>
      </c>
      <c r="F121" s="502">
        <f t="shared" si="37"/>
        <v>0.90080000000000005</v>
      </c>
      <c r="G121" s="502">
        <f t="shared" si="37"/>
        <v>0.90080000000000005</v>
      </c>
      <c r="H121" s="502">
        <f t="shared" si="37"/>
        <v>0.90080000000000005</v>
      </c>
      <c r="I121" s="502">
        <f>ROUND(0.7965-0.0185*B117,4)</f>
        <v>0.75029999999999997</v>
      </c>
      <c r="J121" s="502">
        <f t="shared" si="36"/>
        <v>0.75029999999999997</v>
      </c>
      <c r="K121" s="502">
        <f t="shared" si="36"/>
        <v>0.75029999999999997</v>
      </c>
      <c r="L121" s="502">
        <f t="shared" si="36"/>
        <v>0.75029999999999997</v>
      </c>
      <c r="M121" s="504">
        <f t="shared" si="36"/>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6"/>
        <v>0.54300000000000004</v>
      </c>
      <c r="K122" s="503">
        <f t="shared" si="36"/>
        <v>0.54300000000000004</v>
      </c>
      <c r="L122" s="503">
        <f t="shared" si="36"/>
        <v>0.54300000000000004</v>
      </c>
      <c r="M122" s="505">
        <f t="shared" si="36"/>
        <v>0.54300000000000004</v>
      </c>
    </row>
    <row r="123" spans="1:14">
      <c r="A123" s="2492" t="s">
        <v>2901</v>
      </c>
      <c r="B123" s="502">
        <f>ROUND(0.9404-0.0106*B117,4)</f>
        <v>0.91390000000000005</v>
      </c>
      <c r="C123" s="502">
        <f>B123</f>
        <v>0.91390000000000005</v>
      </c>
      <c r="D123" s="502">
        <f>ROUND(0.8955-0.0135*B117,4)</f>
        <v>0.86180000000000001</v>
      </c>
      <c r="E123" s="502">
        <f t="shared" ref="E123" si="38">D123</f>
        <v>0.86180000000000001</v>
      </c>
      <c r="F123" s="502">
        <f t="shared" ref="F123" si="39">E123</f>
        <v>0.86180000000000001</v>
      </c>
      <c r="G123" s="502">
        <f t="shared" ref="G123" si="40">F123</f>
        <v>0.86180000000000001</v>
      </c>
      <c r="H123" s="502">
        <f t="shared" ref="H123" si="41">G123</f>
        <v>0.86180000000000001</v>
      </c>
      <c r="I123" s="502">
        <f>ROUND(0.7632-0.0166*B117,4)</f>
        <v>0.72170000000000001</v>
      </c>
      <c r="J123" s="502">
        <f t="shared" ref="J123" si="42">I123</f>
        <v>0.72170000000000001</v>
      </c>
      <c r="K123" s="502">
        <f t="shared" ref="K123" si="43">J123</f>
        <v>0.72170000000000001</v>
      </c>
      <c r="L123" s="502">
        <f t="shared" ref="L123" si="44">K123</f>
        <v>0.72170000000000001</v>
      </c>
      <c r="M123" s="504">
        <f t="shared" ref="M123" si="45">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3974</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3974</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3091</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44783</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3092</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3093</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3092</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3091</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44783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2022-08-10T05:40:00Z</dcterms:modified>
</cp:coreProperties>
</file>